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7545" windowHeight="4020" tabRatio="803" activeTab="1"/>
  </bookViews>
  <sheets>
    <sheet name="User's Guide" sheetId="1" r:id="rId1"/>
    <sheet name="Activity Description" sheetId="2" r:id="rId2"/>
    <sheet name="ERR &amp; Sensitivity Analysis" sheetId="3" r:id="rId3"/>
    <sheet name="Results" sheetId="4" r:id="rId4"/>
    <sheet name="Assumptions" sheetId="5" r:id="rId5"/>
    <sheet name="ERR Calculations" sheetId="6" r:id="rId6"/>
    <sheet name="Planting" sheetId="7" r:id="rId7"/>
    <sheet name="Social and Environmental" sheetId="8" r:id="rId8"/>
    <sheet name="Alt economic analysis" sheetId="9" r:id="rId9"/>
  </sheets>
  <externalReferences>
    <externalReference r:id="rId12"/>
    <externalReference r:id="rId13"/>
    <externalReference r:id="rId14"/>
    <externalReference r:id="rId15"/>
    <externalReference r:id="rId16"/>
    <externalReference r:id="rId17"/>
  </externalReferences>
  <definedNames>
    <definedName name="Addgrow">#REF!</definedName>
    <definedName name="annwage">#REF!</definedName>
    <definedName name="avgwage">'[1]Key Assumptions'!$G$9</definedName>
    <definedName name="cablife">'Assumptions'!$H$29</definedName>
    <definedName name="CBWorkbookPriority" hidden="1">-1802552942</definedName>
    <definedName name="Costs">#REF!</definedName>
    <definedName name="Costs2">'Assumptions'!$W$7:$AB$15</definedName>
    <definedName name="debt">'[5]Inputs'!$C$13</definedName>
    <definedName name="disc">'[3]Assumptions'!#REF!</definedName>
    <definedName name="disease_cases">'[3]Assumptions'!#REF!</definedName>
    <definedName name="DPY">'[1]Key Assumptions'!$G$24</definedName>
    <definedName name="ECF">'[2]LU'!$AF$8</definedName>
    <definedName name="eduwageadd">'[3]Morogoro'!$K$31</definedName>
    <definedName name="eduwagenr">'[3]Morogoro'!$K$29</definedName>
    <definedName name="ex_rate">'Assumptions'!$H$14</definedName>
    <definedName name="exch">'[6]Assumptions'!$F$7</definedName>
    <definedName name="gasswitch">'Assumptions'!$H$47</definedName>
    <definedName name="grow">'Assumptions'!$H$16</definedName>
    <definedName name="infl">'[1]Key Assumptions'!$G$38</definedName>
    <definedName name="LCC">'[1]Key Assumptions'!$G$38</definedName>
    <definedName name="Lessgrow">#REF!</definedName>
    <definedName name="LF0913">'Assumptions'!$G$12</definedName>
    <definedName name="LF1423">'Assumptions'!$H$12</definedName>
    <definedName name="LF2433">'Assumptions'!$I$12</definedName>
    <definedName name="LF2434">'Assumptions'!$I$12</definedName>
    <definedName name="list">'[3]Assumptions'!#REF!</definedName>
    <definedName name="loadshed">'Assumptions'!#REF!</definedName>
    <definedName name="lpb">'[3]Assumptions'!$F$6</definedName>
    <definedName name="LU1">'[2]LU'!$A$3:$V$57</definedName>
    <definedName name="LUsum">'[2]Summary'!$A$6:$S$16</definedName>
    <definedName name="lva">'[1]Key Assumptions'!$G$37</definedName>
    <definedName name="mvacap">'Assumptions'!$H$31</definedName>
    <definedName name="nmarkup">'[3]Assumptions'!#REF!</definedName>
    <definedName name="omcost">'[3]Assumptions'!$F$9</definedName>
    <definedName name="pfactor">'Assumptions'!$H$13</definedName>
    <definedName name="Phasing">#REF!</definedName>
    <definedName name="Phasing2">'Planting'!$F$4:$S$10</definedName>
    <definedName name="pow_importprice">'Assumptions'!$M$8:$O$35</definedName>
    <definedName name="ppatable">'Assumptions'!$L$9:$P$35</definedName>
    <definedName name="_xlnm.Print_Area" localSheetId="6">'Planting'!$B$6:$BG$133</definedName>
    <definedName name="prod">'[4]Key Assumptions'!$H$41</definedName>
    <definedName name="residcapex">'Assumptions'!$H$49</definedName>
    <definedName name="startyear">'Assumptions'!$H$36</definedName>
    <definedName name="unserved">'Assumptions'!$H$35</definedName>
    <definedName name="UWSSA">'[3]Assumptions'!$E$14:$E$16</definedName>
    <definedName name="voll">'Assumptions'!$H$30</definedName>
    <definedName name="Year1">'[6]Assumptions'!$F$5</definedName>
  </definedNames>
  <calcPr fullCalcOnLoad="1"/>
</workbook>
</file>

<file path=xl/comments5.xml><?xml version="1.0" encoding="utf-8"?>
<comments xmlns="http://schemas.openxmlformats.org/spreadsheetml/2006/main">
  <authors>
    <author>dim40713</author>
    <author>DOY25040</author>
    <author>dennisbn</author>
  </authors>
  <commentList>
    <comment ref="H27" authorId="0">
      <text>
        <r>
          <rPr>
            <sz val="8"/>
            <rFont val="Tahoma"/>
            <family val="0"/>
          </rPr>
          <t>from TZ-investment plant v 3.0</t>
        </r>
      </text>
    </comment>
    <comment ref="H32" authorId="0">
      <text>
        <r>
          <rPr>
            <b/>
            <sz val="8"/>
            <rFont val="Tahoma"/>
            <family val="0"/>
          </rPr>
          <t>dim40713:</t>
        </r>
        <r>
          <rPr>
            <sz val="8"/>
            <rFont val="Tahoma"/>
            <family val="0"/>
          </rPr>
          <t xml:space="preserve">
Agreed 1.5% of capital costs  each year
</t>
        </r>
      </text>
    </comment>
    <comment ref="H28" authorId="1">
      <text>
        <r>
          <rPr>
            <sz val="8"/>
            <rFont val="Tahoma"/>
            <family val="2"/>
          </rPr>
          <t>Not counted in project costs</t>
        </r>
      </text>
    </comment>
    <comment ref="H30" authorId="1">
      <text>
        <r>
          <rPr>
            <sz val="8"/>
            <rFont val="Tahoma"/>
            <family val="2"/>
          </rPr>
          <t>Based on cost of running customer diesels rather than lost economic output</t>
        </r>
        <r>
          <rPr>
            <sz val="8"/>
            <rFont val="Tahoma"/>
            <family val="0"/>
          </rPr>
          <t xml:space="preserve">
</t>
        </r>
      </text>
    </comment>
    <comment ref="H35" authorId="1">
      <text>
        <r>
          <rPr>
            <sz val="8"/>
            <rFont val="Tahoma"/>
            <family val="0"/>
          </rPr>
          <t>reflects probability adjusted shortfall in supplies from TANESCO, as well as outages in cable (latter very small)</t>
        </r>
      </text>
    </comment>
    <comment ref="H39" authorId="1">
      <text>
        <r>
          <rPr>
            <sz val="8"/>
            <rFont val="Tahoma"/>
            <family val="2"/>
          </rPr>
          <t>This is based on a 50:50 split of diesel engine capacity between slow and medium speed - respective costs are USD/1800 and USD1200/kW.</t>
        </r>
        <r>
          <rPr>
            <sz val="8"/>
            <rFont val="Tahoma"/>
            <family val="0"/>
          </rPr>
          <t xml:space="preserve">
</t>
        </r>
      </text>
    </comment>
    <comment ref="H41" authorId="1">
      <text>
        <r>
          <rPr>
            <sz val="8"/>
            <rFont val="Tahoma"/>
            <family val="2"/>
          </rPr>
          <t>Taken from NORPLAN study</t>
        </r>
      </text>
    </comment>
    <comment ref="H42" authorId="1">
      <text>
        <r>
          <rPr>
            <sz val="8"/>
            <rFont val="Tahoma"/>
            <family val="2"/>
          </rPr>
          <t>MML assumption based on spot check in March 07 of price and also assumption of crude at USD70/bbl and USD50/t transport cost</t>
        </r>
        <r>
          <rPr>
            <sz val="8"/>
            <rFont val="Tahoma"/>
            <family val="0"/>
          </rPr>
          <t xml:space="preserve">
</t>
        </r>
      </text>
    </comment>
    <comment ref="H43" authorId="1">
      <text>
        <r>
          <rPr>
            <sz val="8"/>
            <rFont val="Tahoma"/>
            <family val="2"/>
          </rPr>
          <t>NORPLAN assumption</t>
        </r>
      </text>
    </comment>
    <comment ref="H44" authorId="1">
      <text>
        <r>
          <rPr>
            <sz val="8"/>
            <rFont val="Tahoma"/>
            <family val="2"/>
          </rPr>
          <t>NORPLAN assumption</t>
        </r>
        <r>
          <rPr>
            <sz val="8"/>
            <rFont val="Tahoma"/>
            <family val="0"/>
          </rPr>
          <t xml:space="preserve">
</t>
        </r>
      </text>
    </comment>
    <comment ref="H47" authorId="1">
      <text>
        <r>
          <rPr>
            <sz val="8"/>
            <rFont val="Tahoma"/>
            <family val="2"/>
          </rPr>
          <t>Default is off =0</t>
        </r>
      </text>
    </comment>
    <comment ref="H49" authorId="1">
      <text>
        <r>
          <rPr>
            <sz val="8"/>
            <rFont val="Tahoma"/>
            <family val="2"/>
          </rPr>
          <t>Default is off =0</t>
        </r>
      </text>
    </comment>
    <comment ref="M5" authorId="1">
      <text>
        <r>
          <rPr>
            <sz val="8"/>
            <rFont val="Tahoma"/>
            <family val="2"/>
          </rPr>
          <t>Selects import price scenario for cable energy: 1 is NORPLAN assumption, 2 is accelarated increase to NORPLAN level, 3 is LRMC case</t>
        </r>
      </text>
    </comment>
    <comment ref="M7" authorId="1">
      <text>
        <r>
          <t/>
        </r>
      </text>
    </comment>
    <comment ref="N7" authorId="1">
      <text>
        <r>
          <rPr>
            <sz val="8"/>
            <rFont val="Tahoma"/>
            <family val="2"/>
          </rPr>
          <t>Accelerated increase to NORPLAN level in 2011 rather than 2033</t>
        </r>
        <r>
          <rPr>
            <b/>
            <sz val="8"/>
            <rFont val="Tahoma"/>
            <family val="0"/>
          </rPr>
          <t xml:space="preserve">
</t>
        </r>
        <r>
          <rPr>
            <sz val="8"/>
            <rFont val="Tahoma"/>
            <family val="0"/>
          </rPr>
          <t xml:space="preserve">
</t>
        </r>
      </text>
    </comment>
    <comment ref="O7" authorId="1">
      <text>
        <r>
          <rPr>
            <sz val="8"/>
            <rFont val="Tahoma"/>
            <family val="2"/>
          </rPr>
          <t>Price near LRMC of generation for TANESCO</t>
        </r>
      </text>
    </comment>
    <comment ref="K40" authorId="1">
      <text>
        <r>
          <rPr>
            <sz val="8"/>
            <rFont val="Tahoma"/>
            <family val="2"/>
          </rPr>
          <t>Calcs for HFO price</t>
        </r>
      </text>
    </comment>
    <comment ref="B17" authorId="2">
      <text>
        <r>
          <rPr>
            <b/>
            <sz val="8"/>
            <rFont val="Tahoma"/>
            <family val="0"/>
          </rPr>
          <t>MCC:</t>
        </r>
        <r>
          <rPr>
            <sz val="8"/>
            <rFont val="Tahoma"/>
            <family val="0"/>
          </rPr>
          <t xml:space="preserve">
From Calderon and Serven, "The Effects of Infrastructure Development on Growth and Income Distribution," World Bank, WPS 3400, Table 3, columns [5] and [6], effect of "Infrastructure Stocks".</t>
        </r>
      </text>
    </comment>
    <comment ref="H22" authorId="1">
      <text>
        <r>
          <rPr>
            <sz val="8"/>
            <rFont val="Tahoma"/>
            <family val="2"/>
          </rPr>
          <t>Value taken from the bottom end of the range of a study on the economic growth impacts of electricity supply in Sri Lanka by Morimoto &amp; Hope, 2002</t>
        </r>
        <r>
          <rPr>
            <sz val="8"/>
            <rFont val="Tahoma"/>
            <family val="0"/>
          </rPr>
          <t xml:space="preserve">
</t>
        </r>
      </text>
    </comment>
    <comment ref="H23" authorId="2">
      <text>
        <r>
          <rPr>
            <b/>
            <sz val="8"/>
            <rFont val="Tahoma"/>
            <family val="0"/>
          </rPr>
          <t>MCC:</t>
        </r>
        <r>
          <rPr>
            <sz val="8"/>
            <rFont val="Tahoma"/>
            <family val="0"/>
          </rPr>
          <t xml:space="preserve">
Initial MWh energy/# of consumers</t>
        </r>
      </text>
    </comment>
  </commentList>
</comments>
</file>

<file path=xl/comments6.xml><?xml version="1.0" encoding="utf-8"?>
<comments xmlns="http://schemas.openxmlformats.org/spreadsheetml/2006/main">
  <authors>
    <author>DOY25040</author>
    <author>dennisbn</author>
  </authors>
  <commentList>
    <comment ref="F57" authorId="0">
      <text>
        <r>
          <rPr>
            <sz val="8"/>
            <rFont val="Tahoma"/>
            <family val="2"/>
          </rPr>
          <t>Value taken from the bottom end of the range of a study on the economic growth impacts of electricity supply in Sri Lanka by Morimoto &amp; Hope, 2002</t>
        </r>
        <r>
          <rPr>
            <sz val="8"/>
            <rFont val="Tahoma"/>
            <family val="0"/>
          </rPr>
          <t xml:space="preserve">
</t>
        </r>
      </text>
    </comment>
    <comment ref="I62" authorId="0">
      <text>
        <r>
          <rPr>
            <sz val="8"/>
            <rFont val="Tahoma"/>
            <family val="2"/>
          </rPr>
          <t>Starting value of energy fixed at 14,500 MWh for 2010</t>
        </r>
        <r>
          <rPr>
            <b/>
            <sz val="8"/>
            <rFont val="Tahoma"/>
            <family val="0"/>
          </rPr>
          <t xml:space="preserve">
</t>
        </r>
        <r>
          <rPr>
            <sz val="8"/>
            <rFont val="Tahoma"/>
            <family val="0"/>
          </rPr>
          <t xml:space="preserve">
</t>
        </r>
      </text>
    </comment>
    <comment ref="L62" authorId="0">
      <text>
        <r>
          <rPr>
            <sz val="8"/>
            <rFont val="Tahoma"/>
            <family val="2"/>
          </rPr>
          <t>Starting value of energy fixed at 181 
GWh for 2010</t>
        </r>
        <r>
          <rPr>
            <b/>
            <sz val="8"/>
            <rFont val="Tahoma"/>
            <family val="0"/>
          </rPr>
          <t xml:space="preserve">
</t>
        </r>
        <r>
          <rPr>
            <sz val="8"/>
            <rFont val="Tahoma"/>
            <family val="0"/>
          </rPr>
          <t xml:space="preserve">
</t>
        </r>
      </text>
    </comment>
    <comment ref="L94" authorId="1">
      <text>
        <r>
          <rPr>
            <b/>
            <sz val="8"/>
            <rFont val="Tahoma"/>
            <family val="0"/>
          </rPr>
          <t>MCC:</t>
        </r>
        <r>
          <rPr>
            <sz val="8"/>
            <rFont val="Tahoma"/>
            <family val="0"/>
          </rPr>
          <t xml:space="preserve">
181000 is the initial MWh served by exisiting cable</t>
        </r>
      </text>
    </comment>
    <comment ref="M94" authorId="1">
      <text>
        <r>
          <rPr>
            <b/>
            <sz val="8"/>
            <rFont val="Tahoma"/>
            <family val="0"/>
          </rPr>
          <t>MCC:</t>
        </r>
        <r>
          <rPr>
            <sz val="8"/>
            <rFont val="Tahoma"/>
            <family val="0"/>
          </rPr>
          <t xml:space="preserve">
181000 is the initial MWh served by exisiting cable</t>
        </r>
      </text>
    </comment>
    <comment ref="N94" authorId="1">
      <text>
        <r>
          <rPr>
            <b/>
            <sz val="8"/>
            <rFont val="Tahoma"/>
            <family val="2"/>
          </rPr>
          <t>MCC:</t>
        </r>
        <r>
          <rPr>
            <sz val="8"/>
            <rFont val="Tahoma"/>
            <family val="0"/>
          </rPr>
          <t xml:space="preserve">
181000 is the initial MWh served by exisiting cable</t>
        </r>
      </text>
    </comment>
    <comment ref="O94" authorId="1">
      <text>
        <r>
          <rPr>
            <b/>
            <sz val="8"/>
            <rFont val="Tahoma"/>
            <family val="0"/>
          </rPr>
          <t>MCC:</t>
        </r>
        <r>
          <rPr>
            <sz val="8"/>
            <rFont val="Tahoma"/>
            <family val="0"/>
          </rPr>
          <t xml:space="preserve">
181000 is the initial MWh served by exisiting cable</t>
        </r>
      </text>
    </comment>
    <comment ref="P94" authorId="1">
      <text>
        <r>
          <rPr>
            <b/>
            <sz val="8"/>
            <rFont val="Tahoma"/>
            <family val="0"/>
          </rPr>
          <t>MCC:</t>
        </r>
        <r>
          <rPr>
            <sz val="8"/>
            <rFont val="Tahoma"/>
            <family val="0"/>
          </rPr>
          <t xml:space="preserve">
181000 is the initial MWh served by exisiting cable</t>
        </r>
      </text>
    </comment>
    <comment ref="Q94" authorId="1">
      <text>
        <r>
          <rPr>
            <b/>
            <sz val="8"/>
            <rFont val="Tahoma"/>
            <family val="0"/>
          </rPr>
          <t>MCC:</t>
        </r>
        <r>
          <rPr>
            <sz val="8"/>
            <rFont val="Tahoma"/>
            <family val="0"/>
          </rPr>
          <t xml:space="preserve">
181000 is the initial MWh served by exisiting cable</t>
        </r>
      </text>
    </comment>
    <comment ref="R94" authorId="1">
      <text>
        <r>
          <rPr>
            <b/>
            <sz val="8"/>
            <rFont val="Tahoma"/>
            <family val="0"/>
          </rPr>
          <t>MCC:</t>
        </r>
        <r>
          <rPr>
            <sz val="8"/>
            <rFont val="Tahoma"/>
            <family val="0"/>
          </rPr>
          <t xml:space="preserve">
181000 is the initial MWh served by exisiting cable</t>
        </r>
      </text>
    </comment>
    <comment ref="S94" authorId="1">
      <text>
        <r>
          <rPr>
            <b/>
            <sz val="8"/>
            <rFont val="Tahoma"/>
            <family val="0"/>
          </rPr>
          <t>MCC:</t>
        </r>
        <r>
          <rPr>
            <sz val="8"/>
            <rFont val="Tahoma"/>
            <family val="0"/>
          </rPr>
          <t xml:space="preserve">
181000 is the initial MWh served by exisiting cable</t>
        </r>
      </text>
    </comment>
    <comment ref="T94" authorId="1">
      <text>
        <r>
          <rPr>
            <b/>
            <sz val="8"/>
            <rFont val="Tahoma"/>
            <family val="0"/>
          </rPr>
          <t>MCC:</t>
        </r>
        <r>
          <rPr>
            <sz val="8"/>
            <rFont val="Tahoma"/>
            <family val="0"/>
          </rPr>
          <t xml:space="preserve">
181000 is the initial MWh served by exisiting cable</t>
        </r>
      </text>
    </comment>
    <comment ref="U94" authorId="1">
      <text>
        <r>
          <rPr>
            <b/>
            <sz val="8"/>
            <rFont val="Tahoma"/>
            <family val="0"/>
          </rPr>
          <t>MCC:</t>
        </r>
        <r>
          <rPr>
            <sz val="8"/>
            <rFont val="Tahoma"/>
            <family val="0"/>
          </rPr>
          <t xml:space="preserve">
181000 is the initial MWh served by exisiting cable</t>
        </r>
      </text>
    </comment>
    <comment ref="V94" authorId="1">
      <text>
        <r>
          <rPr>
            <b/>
            <sz val="8"/>
            <rFont val="Tahoma"/>
            <family val="0"/>
          </rPr>
          <t>MCC:</t>
        </r>
        <r>
          <rPr>
            <sz val="8"/>
            <rFont val="Tahoma"/>
            <family val="0"/>
          </rPr>
          <t xml:space="preserve">
181000 is the initial MWh served by exisiting cable</t>
        </r>
      </text>
    </comment>
    <comment ref="W94" authorId="1">
      <text>
        <r>
          <rPr>
            <b/>
            <sz val="8"/>
            <rFont val="Tahoma"/>
            <family val="0"/>
          </rPr>
          <t>MCC:</t>
        </r>
        <r>
          <rPr>
            <sz val="8"/>
            <rFont val="Tahoma"/>
            <family val="0"/>
          </rPr>
          <t xml:space="preserve">
181000 is the initial MWh served by exisiting cable</t>
        </r>
      </text>
    </comment>
    <comment ref="X94" authorId="1">
      <text>
        <r>
          <rPr>
            <b/>
            <sz val="8"/>
            <rFont val="Tahoma"/>
            <family val="0"/>
          </rPr>
          <t>MCC:</t>
        </r>
        <r>
          <rPr>
            <sz val="8"/>
            <rFont val="Tahoma"/>
            <family val="0"/>
          </rPr>
          <t xml:space="preserve">
181000 is the initial MWh served by exisiting cable</t>
        </r>
      </text>
    </comment>
    <comment ref="Y94" authorId="1">
      <text>
        <r>
          <rPr>
            <b/>
            <sz val="8"/>
            <rFont val="Tahoma"/>
            <family val="0"/>
          </rPr>
          <t>MCC:</t>
        </r>
        <r>
          <rPr>
            <sz val="8"/>
            <rFont val="Tahoma"/>
            <family val="0"/>
          </rPr>
          <t xml:space="preserve">
181000 is the initial MWh served by exisiting cable</t>
        </r>
      </text>
    </comment>
    <comment ref="Z94" authorId="1">
      <text>
        <r>
          <rPr>
            <b/>
            <sz val="8"/>
            <rFont val="Tahoma"/>
            <family val="0"/>
          </rPr>
          <t>MCC:</t>
        </r>
        <r>
          <rPr>
            <sz val="8"/>
            <rFont val="Tahoma"/>
            <family val="0"/>
          </rPr>
          <t xml:space="preserve">
181000 is the initial MWh served by exisiting cable</t>
        </r>
      </text>
    </comment>
    <comment ref="AA94" authorId="1">
      <text>
        <r>
          <rPr>
            <b/>
            <sz val="8"/>
            <rFont val="Tahoma"/>
            <family val="0"/>
          </rPr>
          <t>MCC:</t>
        </r>
        <r>
          <rPr>
            <sz val="8"/>
            <rFont val="Tahoma"/>
            <family val="0"/>
          </rPr>
          <t xml:space="preserve">
181000 is the initial MWh served by exisiting cable</t>
        </r>
      </text>
    </comment>
    <comment ref="AB94" authorId="1">
      <text>
        <r>
          <rPr>
            <b/>
            <sz val="8"/>
            <rFont val="Tahoma"/>
            <family val="0"/>
          </rPr>
          <t>MCC:</t>
        </r>
        <r>
          <rPr>
            <sz val="8"/>
            <rFont val="Tahoma"/>
            <family val="0"/>
          </rPr>
          <t xml:space="preserve">
181000 is the initial MWh served by exisiting cable</t>
        </r>
      </text>
    </comment>
    <comment ref="AC94" authorId="1">
      <text>
        <r>
          <rPr>
            <b/>
            <sz val="8"/>
            <rFont val="Tahoma"/>
            <family val="0"/>
          </rPr>
          <t>MCC:</t>
        </r>
        <r>
          <rPr>
            <sz val="8"/>
            <rFont val="Tahoma"/>
            <family val="0"/>
          </rPr>
          <t xml:space="preserve">
181000 is the initial MWh served by exisiting cable</t>
        </r>
      </text>
    </comment>
    <comment ref="AD94" authorId="1">
      <text>
        <r>
          <rPr>
            <b/>
            <sz val="8"/>
            <rFont val="Tahoma"/>
            <family val="0"/>
          </rPr>
          <t>MCC:</t>
        </r>
        <r>
          <rPr>
            <sz val="8"/>
            <rFont val="Tahoma"/>
            <family val="0"/>
          </rPr>
          <t xml:space="preserve">
181000 is the initial MWh served by exisiting cable</t>
        </r>
      </text>
    </comment>
    <comment ref="AE94" authorId="1">
      <text>
        <r>
          <rPr>
            <b/>
            <sz val="8"/>
            <rFont val="Tahoma"/>
            <family val="0"/>
          </rPr>
          <t>MCC:</t>
        </r>
        <r>
          <rPr>
            <sz val="8"/>
            <rFont val="Tahoma"/>
            <family val="0"/>
          </rPr>
          <t xml:space="preserve">
181000 is the initial MWh served by exisiting cable</t>
        </r>
      </text>
    </comment>
    <comment ref="AF94" authorId="1">
      <text>
        <r>
          <rPr>
            <b/>
            <sz val="8"/>
            <rFont val="Tahoma"/>
            <family val="0"/>
          </rPr>
          <t>MCC:</t>
        </r>
        <r>
          <rPr>
            <sz val="8"/>
            <rFont val="Tahoma"/>
            <family val="0"/>
          </rPr>
          <t xml:space="preserve">
181000 is the initial MWh served by exisiting cable</t>
        </r>
      </text>
    </comment>
    <comment ref="AG94" authorId="1">
      <text>
        <r>
          <rPr>
            <b/>
            <sz val="8"/>
            <rFont val="Tahoma"/>
            <family val="0"/>
          </rPr>
          <t>MCC:</t>
        </r>
        <r>
          <rPr>
            <sz val="8"/>
            <rFont val="Tahoma"/>
            <family val="0"/>
          </rPr>
          <t xml:space="preserve">
181000 is the initial MWh served by exisiting cable</t>
        </r>
      </text>
    </comment>
    <comment ref="AH94" authorId="1">
      <text>
        <r>
          <rPr>
            <b/>
            <sz val="8"/>
            <rFont val="Tahoma"/>
            <family val="0"/>
          </rPr>
          <t>MCC:</t>
        </r>
        <r>
          <rPr>
            <sz val="8"/>
            <rFont val="Tahoma"/>
            <family val="0"/>
          </rPr>
          <t xml:space="preserve">
181000 is the initial MWh served by exisiting cable</t>
        </r>
      </text>
    </comment>
    <comment ref="B86" authorId="0">
      <text>
        <r>
          <rPr>
            <sz val="8"/>
            <rFont val="Tahoma"/>
            <family val="2"/>
          </rPr>
          <t xml:space="preserve">Benefit per customer in US$ a year
</t>
        </r>
      </text>
    </comment>
    <comment ref="B87" authorId="0">
      <text>
        <r>
          <rPr>
            <sz val="8"/>
            <rFont val="Tahoma"/>
            <family val="2"/>
          </rPr>
          <t>Benefit per customer in US$ a year</t>
        </r>
        <r>
          <rPr>
            <b/>
            <sz val="8"/>
            <rFont val="Tahoma"/>
            <family val="2"/>
          </rPr>
          <t xml:space="preserve">
</t>
        </r>
      </text>
    </comment>
    <comment ref="B88" authorId="0">
      <text>
        <r>
          <rPr>
            <sz val="8"/>
            <rFont val="Tahoma"/>
            <family val="2"/>
          </rPr>
          <t>Benefit per customer in US$ a year</t>
        </r>
        <r>
          <rPr>
            <b/>
            <sz val="8"/>
            <rFont val="Tahoma"/>
            <family val="2"/>
          </rPr>
          <t xml:space="preserve">
</t>
        </r>
      </text>
    </comment>
    <comment ref="B89" authorId="0">
      <text>
        <r>
          <rPr>
            <sz val="8"/>
            <rFont val="Tahoma"/>
            <family val="2"/>
          </rPr>
          <t xml:space="preserve">Benefit per customer in US$ a year
</t>
        </r>
      </text>
    </comment>
    <comment ref="B90" authorId="0">
      <text>
        <r>
          <rPr>
            <sz val="8"/>
            <rFont val="Tahoma"/>
            <family val="2"/>
          </rPr>
          <t>Benefit per customer in US$ a year</t>
        </r>
        <r>
          <rPr>
            <b/>
            <sz val="8"/>
            <rFont val="Tahoma"/>
            <family val="2"/>
          </rPr>
          <t xml:space="preserve">
</t>
        </r>
      </text>
    </comment>
    <comment ref="B91" authorId="0">
      <text>
        <r>
          <rPr>
            <sz val="8"/>
            <rFont val="Tahoma"/>
            <family val="2"/>
          </rPr>
          <t>Benefit per customer in US$ a year</t>
        </r>
        <r>
          <rPr>
            <b/>
            <sz val="8"/>
            <rFont val="Tahoma"/>
            <family val="2"/>
          </rPr>
          <t xml:space="preserve">
</t>
        </r>
      </text>
    </comment>
    <comment ref="M62" authorId="0">
      <text>
        <r>
          <rPr>
            <sz val="8"/>
            <rFont val="Tahoma"/>
            <family val="2"/>
          </rPr>
          <t>Starting value of energy fixed at 181 
GWh for 2010</t>
        </r>
        <r>
          <rPr>
            <b/>
            <sz val="8"/>
            <rFont val="Tahoma"/>
            <family val="0"/>
          </rPr>
          <t xml:space="preserve">
</t>
        </r>
        <r>
          <rPr>
            <sz val="8"/>
            <rFont val="Tahoma"/>
            <family val="0"/>
          </rPr>
          <t xml:space="preserve">
</t>
        </r>
      </text>
    </comment>
    <comment ref="N62" authorId="0">
      <text>
        <r>
          <rPr>
            <sz val="8"/>
            <rFont val="Tahoma"/>
            <family val="2"/>
          </rPr>
          <t>Starting value of energy fixed at 181 
GWh for 2010</t>
        </r>
        <r>
          <rPr>
            <b/>
            <sz val="8"/>
            <rFont val="Tahoma"/>
            <family val="0"/>
          </rPr>
          <t xml:space="preserve">
</t>
        </r>
        <r>
          <rPr>
            <sz val="8"/>
            <rFont val="Tahoma"/>
            <family val="0"/>
          </rPr>
          <t xml:space="preserve">
</t>
        </r>
      </text>
    </comment>
    <comment ref="O62" authorId="0">
      <text>
        <r>
          <rPr>
            <sz val="8"/>
            <rFont val="Tahoma"/>
            <family val="2"/>
          </rPr>
          <t>Starting value of energy fixed at 181 
GWh for 2010</t>
        </r>
        <r>
          <rPr>
            <b/>
            <sz val="8"/>
            <rFont val="Tahoma"/>
            <family val="0"/>
          </rPr>
          <t xml:space="preserve">
</t>
        </r>
        <r>
          <rPr>
            <sz val="8"/>
            <rFont val="Tahoma"/>
            <family val="0"/>
          </rPr>
          <t xml:space="preserve">
</t>
        </r>
      </text>
    </comment>
    <comment ref="P62" authorId="0">
      <text>
        <r>
          <rPr>
            <sz val="8"/>
            <rFont val="Tahoma"/>
            <family val="2"/>
          </rPr>
          <t>Starting value of energy fixed at 181 
GWh for 2010</t>
        </r>
        <r>
          <rPr>
            <b/>
            <sz val="8"/>
            <rFont val="Tahoma"/>
            <family val="0"/>
          </rPr>
          <t xml:space="preserve">
</t>
        </r>
        <r>
          <rPr>
            <sz val="8"/>
            <rFont val="Tahoma"/>
            <family val="0"/>
          </rPr>
          <t xml:space="preserve">
</t>
        </r>
      </text>
    </comment>
    <comment ref="Q62" authorId="0">
      <text>
        <r>
          <rPr>
            <sz val="8"/>
            <rFont val="Tahoma"/>
            <family val="2"/>
          </rPr>
          <t>Starting value of energy fixed at 181 
GWh for 2010</t>
        </r>
        <r>
          <rPr>
            <b/>
            <sz val="8"/>
            <rFont val="Tahoma"/>
            <family val="0"/>
          </rPr>
          <t xml:space="preserve">
</t>
        </r>
        <r>
          <rPr>
            <sz val="8"/>
            <rFont val="Tahoma"/>
            <family val="0"/>
          </rPr>
          <t xml:space="preserve">
</t>
        </r>
      </text>
    </comment>
    <comment ref="R62" authorId="0">
      <text>
        <r>
          <rPr>
            <sz val="8"/>
            <rFont val="Tahoma"/>
            <family val="2"/>
          </rPr>
          <t>Starting value of energy fixed at 181 
GWh for 2010</t>
        </r>
        <r>
          <rPr>
            <b/>
            <sz val="8"/>
            <rFont val="Tahoma"/>
            <family val="0"/>
          </rPr>
          <t xml:space="preserve">
</t>
        </r>
        <r>
          <rPr>
            <sz val="8"/>
            <rFont val="Tahoma"/>
            <family val="0"/>
          </rPr>
          <t xml:space="preserve">
</t>
        </r>
      </text>
    </comment>
    <comment ref="S62" authorId="0">
      <text>
        <r>
          <rPr>
            <sz val="8"/>
            <rFont val="Tahoma"/>
            <family val="2"/>
          </rPr>
          <t>Starting value of energy fixed at 181 
GWh for 2010</t>
        </r>
        <r>
          <rPr>
            <b/>
            <sz val="8"/>
            <rFont val="Tahoma"/>
            <family val="0"/>
          </rPr>
          <t xml:space="preserve">
</t>
        </r>
        <r>
          <rPr>
            <sz val="8"/>
            <rFont val="Tahoma"/>
            <family val="0"/>
          </rPr>
          <t xml:space="preserve">
</t>
        </r>
      </text>
    </comment>
    <comment ref="T62" authorId="0">
      <text>
        <r>
          <rPr>
            <sz val="8"/>
            <rFont val="Tahoma"/>
            <family val="2"/>
          </rPr>
          <t>Starting value of energy fixed at 181 
GWh for 2010</t>
        </r>
        <r>
          <rPr>
            <b/>
            <sz val="8"/>
            <rFont val="Tahoma"/>
            <family val="0"/>
          </rPr>
          <t xml:space="preserve">
</t>
        </r>
        <r>
          <rPr>
            <sz val="8"/>
            <rFont val="Tahoma"/>
            <family val="0"/>
          </rPr>
          <t xml:space="preserve">
</t>
        </r>
      </text>
    </comment>
    <comment ref="U62" authorId="0">
      <text>
        <r>
          <rPr>
            <sz val="8"/>
            <rFont val="Tahoma"/>
            <family val="2"/>
          </rPr>
          <t>Starting value of energy fixed at 181 
GWh for 2010</t>
        </r>
        <r>
          <rPr>
            <b/>
            <sz val="8"/>
            <rFont val="Tahoma"/>
            <family val="0"/>
          </rPr>
          <t xml:space="preserve">
</t>
        </r>
        <r>
          <rPr>
            <sz val="8"/>
            <rFont val="Tahoma"/>
            <family val="0"/>
          </rPr>
          <t xml:space="preserve">
</t>
        </r>
      </text>
    </comment>
    <comment ref="V62" authorId="0">
      <text>
        <r>
          <rPr>
            <sz val="8"/>
            <rFont val="Tahoma"/>
            <family val="2"/>
          </rPr>
          <t xml:space="preserve">Starting value of energy fixed at 181 
GWh for 2010
</t>
        </r>
        <r>
          <rPr>
            <sz val="8"/>
            <rFont val="Tahoma"/>
            <family val="0"/>
          </rPr>
          <t xml:space="preserve">
</t>
        </r>
      </text>
    </comment>
    <comment ref="W62" authorId="0">
      <text>
        <r>
          <rPr>
            <sz val="8"/>
            <rFont val="Tahoma"/>
            <family val="2"/>
          </rPr>
          <t>Starting value of energy fixed at 181 
GWh for 2010</t>
        </r>
        <r>
          <rPr>
            <b/>
            <sz val="8"/>
            <rFont val="Tahoma"/>
            <family val="0"/>
          </rPr>
          <t xml:space="preserve">
</t>
        </r>
        <r>
          <rPr>
            <sz val="8"/>
            <rFont val="Tahoma"/>
            <family val="0"/>
          </rPr>
          <t xml:space="preserve">
</t>
        </r>
      </text>
    </comment>
    <comment ref="X62" authorId="0">
      <text>
        <r>
          <rPr>
            <sz val="8"/>
            <rFont val="Tahoma"/>
            <family val="2"/>
          </rPr>
          <t>Starting value of energy fixed at 181 
GWh for 2010</t>
        </r>
        <r>
          <rPr>
            <b/>
            <sz val="8"/>
            <rFont val="Tahoma"/>
            <family val="0"/>
          </rPr>
          <t xml:space="preserve">
</t>
        </r>
        <r>
          <rPr>
            <sz val="8"/>
            <rFont val="Tahoma"/>
            <family val="0"/>
          </rPr>
          <t xml:space="preserve">
</t>
        </r>
      </text>
    </comment>
    <comment ref="Y62" authorId="0">
      <text>
        <r>
          <rPr>
            <sz val="8"/>
            <rFont val="Tahoma"/>
            <family val="2"/>
          </rPr>
          <t>Starting value of energy fixed at 181 
GWh for 2010</t>
        </r>
        <r>
          <rPr>
            <b/>
            <sz val="8"/>
            <rFont val="Tahoma"/>
            <family val="0"/>
          </rPr>
          <t xml:space="preserve">
</t>
        </r>
        <r>
          <rPr>
            <sz val="8"/>
            <rFont val="Tahoma"/>
            <family val="0"/>
          </rPr>
          <t xml:space="preserve">
</t>
        </r>
      </text>
    </comment>
    <comment ref="Z62" authorId="0">
      <text>
        <r>
          <rPr>
            <sz val="8"/>
            <rFont val="Tahoma"/>
            <family val="2"/>
          </rPr>
          <t>Starting value of energy fixed at 181 
GWh for 2010</t>
        </r>
        <r>
          <rPr>
            <b/>
            <sz val="8"/>
            <rFont val="Tahoma"/>
            <family val="0"/>
          </rPr>
          <t xml:space="preserve">
</t>
        </r>
        <r>
          <rPr>
            <sz val="8"/>
            <rFont val="Tahoma"/>
            <family val="0"/>
          </rPr>
          <t xml:space="preserve">
</t>
        </r>
      </text>
    </comment>
    <comment ref="AA62" authorId="0">
      <text>
        <r>
          <rPr>
            <sz val="8"/>
            <rFont val="Tahoma"/>
            <family val="2"/>
          </rPr>
          <t>Starting value of energy fixed at 181 
GWh for 2010</t>
        </r>
        <r>
          <rPr>
            <b/>
            <sz val="8"/>
            <rFont val="Tahoma"/>
            <family val="0"/>
          </rPr>
          <t xml:space="preserve">
</t>
        </r>
        <r>
          <rPr>
            <sz val="8"/>
            <rFont val="Tahoma"/>
            <family val="0"/>
          </rPr>
          <t xml:space="preserve">
</t>
        </r>
      </text>
    </comment>
    <comment ref="AB62" authorId="0">
      <text>
        <r>
          <rPr>
            <sz val="8"/>
            <rFont val="Tahoma"/>
            <family val="2"/>
          </rPr>
          <t>Starting value of energy fixed at 181 
GWh for 2010</t>
        </r>
        <r>
          <rPr>
            <b/>
            <sz val="8"/>
            <rFont val="Tahoma"/>
            <family val="0"/>
          </rPr>
          <t xml:space="preserve">
</t>
        </r>
        <r>
          <rPr>
            <sz val="8"/>
            <rFont val="Tahoma"/>
            <family val="0"/>
          </rPr>
          <t xml:space="preserve">
</t>
        </r>
      </text>
    </comment>
    <comment ref="AC62" authorId="0">
      <text>
        <r>
          <rPr>
            <sz val="8"/>
            <rFont val="Tahoma"/>
            <family val="2"/>
          </rPr>
          <t>Starting value of energy fixed at 181 
GWh for 2010</t>
        </r>
        <r>
          <rPr>
            <b/>
            <sz val="8"/>
            <rFont val="Tahoma"/>
            <family val="0"/>
          </rPr>
          <t xml:space="preserve">
</t>
        </r>
        <r>
          <rPr>
            <sz val="8"/>
            <rFont val="Tahoma"/>
            <family val="0"/>
          </rPr>
          <t xml:space="preserve">
</t>
        </r>
      </text>
    </comment>
    <comment ref="AD62" authorId="0">
      <text>
        <r>
          <rPr>
            <sz val="8"/>
            <rFont val="Tahoma"/>
            <family val="2"/>
          </rPr>
          <t>Starting value of energy fixed at 181 
GWh for 2010</t>
        </r>
        <r>
          <rPr>
            <b/>
            <sz val="8"/>
            <rFont val="Tahoma"/>
            <family val="0"/>
          </rPr>
          <t xml:space="preserve">
</t>
        </r>
        <r>
          <rPr>
            <sz val="8"/>
            <rFont val="Tahoma"/>
            <family val="0"/>
          </rPr>
          <t xml:space="preserve">
</t>
        </r>
      </text>
    </comment>
    <comment ref="AE62" authorId="0">
      <text>
        <r>
          <rPr>
            <sz val="8"/>
            <rFont val="Tahoma"/>
            <family val="2"/>
          </rPr>
          <t>Starting value of energy fixed at 181 
GWh for 2010</t>
        </r>
        <r>
          <rPr>
            <b/>
            <sz val="8"/>
            <rFont val="Tahoma"/>
            <family val="0"/>
          </rPr>
          <t xml:space="preserve">
</t>
        </r>
        <r>
          <rPr>
            <sz val="8"/>
            <rFont val="Tahoma"/>
            <family val="0"/>
          </rPr>
          <t xml:space="preserve">
</t>
        </r>
      </text>
    </comment>
    <comment ref="AF62" authorId="0">
      <text>
        <r>
          <rPr>
            <sz val="8"/>
            <rFont val="Tahoma"/>
            <family val="2"/>
          </rPr>
          <t>Starting value of energy fixed at 181 
GWh for 2010</t>
        </r>
        <r>
          <rPr>
            <b/>
            <sz val="8"/>
            <rFont val="Tahoma"/>
            <family val="0"/>
          </rPr>
          <t xml:space="preserve">
</t>
        </r>
        <r>
          <rPr>
            <sz val="8"/>
            <rFont val="Tahoma"/>
            <family val="0"/>
          </rPr>
          <t xml:space="preserve">
</t>
        </r>
      </text>
    </comment>
    <comment ref="AG62" authorId="0">
      <text>
        <r>
          <rPr>
            <sz val="8"/>
            <rFont val="Tahoma"/>
            <family val="2"/>
          </rPr>
          <t>Starting value of energy fixed at 181 
GWh for 2010</t>
        </r>
        <r>
          <rPr>
            <b/>
            <sz val="8"/>
            <rFont val="Tahoma"/>
            <family val="0"/>
          </rPr>
          <t xml:space="preserve">
</t>
        </r>
        <r>
          <rPr>
            <sz val="8"/>
            <rFont val="Tahoma"/>
            <family val="0"/>
          </rPr>
          <t xml:space="preserve">
</t>
        </r>
      </text>
    </comment>
    <comment ref="AH62" authorId="0">
      <text>
        <r>
          <rPr>
            <sz val="8"/>
            <rFont val="Tahoma"/>
            <family val="2"/>
          </rPr>
          <t>Starting value of energy fixed at 181 
GWh for 2010</t>
        </r>
        <r>
          <rPr>
            <b/>
            <sz val="8"/>
            <rFont val="Tahoma"/>
            <family val="0"/>
          </rPr>
          <t xml:space="preserve">
</t>
        </r>
        <r>
          <rPr>
            <sz val="8"/>
            <rFont val="Tahoma"/>
            <family val="0"/>
          </rPr>
          <t xml:space="preserve">
</t>
        </r>
      </text>
    </comment>
    <comment ref="E59" authorId="1">
      <text>
        <r>
          <rPr>
            <b/>
            <sz val="8"/>
            <rFont val="Tahoma"/>
            <family val="0"/>
          </rPr>
          <t>MCC:</t>
        </r>
        <r>
          <rPr>
            <sz val="8"/>
            <rFont val="Tahoma"/>
            <family val="0"/>
          </rPr>
          <t xml:space="preserve">
Source: NBS Statistical Abstract, 2002, GOT.  
http://www.nbs.go.tz/abstract2002/pdf/population.pdf</t>
        </r>
      </text>
    </comment>
  </commentList>
</comments>
</file>

<file path=xl/comments7.xml><?xml version="1.0" encoding="utf-8"?>
<comments xmlns="http://schemas.openxmlformats.org/spreadsheetml/2006/main">
  <authors>
    <author>DOY25040</author>
  </authors>
  <commentList>
    <comment ref="A4" authorId="0">
      <text>
        <r>
          <rPr>
            <sz val="8"/>
            <rFont val="Tahoma"/>
            <family val="0"/>
          </rPr>
          <t>This sheet is used to generate the planting schedule of capacity. It should be read in conjunction with the chart in the previous sheet.</t>
        </r>
      </text>
    </comment>
    <comment ref="B106" authorId="0">
      <text>
        <r>
          <rPr>
            <sz val="8"/>
            <rFont val="Tahoma"/>
            <family val="2"/>
          </rPr>
          <t>Demand projections taken from NORPLAN study, modified by MML lead engineer</t>
        </r>
      </text>
    </comment>
    <comment ref="BT106" authorId="0">
      <text>
        <r>
          <rPr>
            <sz val="8"/>
            <rFont val="Tahoma"/>
            <family val="0"/>
          </rPr>
          <t>Factors calculated from IPCC emission factor divided by generation efficiency</t>
        </r>
      </text>
    </comment>
    <comment ref="BU106" authorId="0">
      <text>
        <r>
          <rPr>
            <b/>
            <sz val="8"/>
            <rFont val="Tahoma"/>
            <family val="0"/>
          </rPr>
          <t>Values taken from variable cost element in LRMC calculations</t>
        </r>
      </text>
    </comment>
    <comment ref="BT111" authorId="0">
      <text>
        <r>
          <rPr>
            <b/>
            <sz val="8"/>
            <rFont val="Tahoma"/>
            <family val="0"/>
          </rPr>
          <t xml:space="preserve">Weighted average of column above
</t>
        </r>
      </text>
    </comment>
    <comment ref="BU111" authorId="0">
      <text>
        <r>
          <rPr>
            <b/>
            <sz val="8"/>
            <rFont val="Tahoma"/>
            <family val="0"/>
          </rPr>
          <t xml:space="preserve">Weighted average of column above
</t>
        </r>
      </text>
    </comment>
    <comment ref="BT112" authorId="0">
      <text>
        <r>
          <rPr>
            <b/>
            <sz val="8"/>
            <rFont val="Tahoma"/>
            <family val="0"/>
          </rPr>
          <t>Based on forward price for CERs as of May 07</t>
        </r>
        <r>
          <rPr>
            <sz val="8"/>
            <rFont val="Tahoma"/>
            <family val="0"/>
          </rPr>
          <t xml:space="preserve">
</t>
        </r>
      </text>
    </comment>
    <comment ref="AK134" authorId="0">
      <text>
        <r>
          <rPr>
            <b/>
            <sz val="8"/>
            <rFont val="Tahoma"/>
            <family val="0"/>
          </rPr>
          <t>Residual value of capex</t>
        </r>
      </text>
    </comment>
    <comment ref="AL134" authorId="0">
      <text>
        <r>
          <rPr>
            <b/>
            <sz val="8"/>
            <rFont val="Tahoma"/>
            <family val="0"/>
          </rPr>
          <t>Residual value of capex</t>
        </r>
      </text>
    </comment>
    <comment ref="AM134" authorId="0">
      <text>
        <r>
          <rPr>
            <b/>
            <sz val="8"/>
            <rFont val="Tahoma"/>
            <family val="0"/>
          </rPr>
          <t>Residual value of capex</t>
        </r>
      </text>
    </comment>
    <comment ref="AN134" authorId="0">
      <text>
        <r>
          <rPr>
            <b/>
            <sz val="8"/>
            <rFont val="Tahoma"/>
            <family val="0"/>
          </rPr>
          <t>Residual value of capex</t>
        </r>
      </text>
    </comment>
    <comment ref="AO134" authorId="0">
      <text>
        <r>
          <rPr>
            <b/>
            <sz val="8"/>
            <rFont val="Tahoma"/>
            <family val="0"/>
          </rPr>
          <t>Residual value of capex</t>
        </r>
      </text>
    </comment>
    <comment ref="AP134" authorId="0">
      <text>
        <r>
          <rPr>
            <b/>
            <sz val="8"/>
            <rFont val="Tahoma"/>
            <family val="0"/>
          </rPr>
          <t>Residual value of capex</t>
        </r>
      </text>
    </comment>
    <comment ref="AQ134" authorId="0">
      <text>
        <r>
          <rPr>
            <b/>
            <sz val="8"/>
            <rFont val="Tahoma"/>
            <family val="0"/>
          </rPr>
          <t>Residual value of capex</t>
        </r>
      </text>
    </comment>
    <comment ref="AN106" authorId="0">
      <text>
        <r>
          <rPr>
            <b/>
            <sz val="8"/>
            <rFont val="Tahoma"/>
            <family val="0"/>
          </rPr>
          <t>Capex is assumed to occur a year ahead of plant operation</t>
        </r>
      </text>
    </comment>
    <comment ref="AO106" authorId="0">
      <text>
        <r>
          <rPr>
            <b/>
            <sz val="8"/>
            <rFont val="Tahoma"/>
            <family val="0"/>
          </rPr>
          <t>Capex is assumed to occur a year ahead of plant operation</t>
        </r>
      </text>
    </comment>
    <comment ref="E21" authorId="0">
      <text>
        <r>
          <rPr>
            <sz val="8"/>
            <rFont val="Tahoma"/>
            <family val="2"/>
          </rPr>
          <t>Demand projections taken from NORPLAN study, modified by MML lead engineer</t>
        </r>
      </text>
    </comment>
    <comment ref="B24" authorId="0">
      <text>
        <r>
          <rPr>
            <sz val="8"/>
            <rFont val="Tahoma"/>
            <family val="2"/>
          </rPr>
          <t>Demand projections taken from NORPLAN study, modified by MML lead engineer</t>
        </r>
      </text>
    </comment>
  </commentList>
</comments>
</file>

<file path=xl/comments9.xml><?xml version="1.0" encoding="utf-8"?>
<comments xmlns="http://schemas.openxmlformats.org/spreadsheetml/2006/main">
  <authors>
    <author>DOY25040</author>
  </authors>
  <commentList>
    <comment ref="J52" authorId="0">
      <text>
        <r>
          <rPr>
            <sz val="8"/>
            <rFont val="Tahoma"/>
            <family val="0"/>
          </rPr>
          <t xml:space="preserve">energy and MVA charges - 0.8 factor is to adjust for peak to average monthly load
</t>
        </r>
      </text>
    </comment>
    <comment ref="L52" authorId="0">
      <text>
        <r>
          <rPr>
            <sz val="8"/>
            <rFont val="Tahoma"/>
            <family val="0"/>
          </rPr>
          <t xml:space="preserve">energy and MVA charges - 0.8 factor is to adjust for peak to average monthly load
</t>
        </r>
      </text>
    </comment>
  </commentList>
</comments>
</file>

<file path=xl/sharedStrings.xml><?xml version="1.0" encoding="utf-8"?>
<sst xmlns="http://schemas.openxmlformats.org/spreadsheetml/2006/main" count="520" uniqueCount="312">
  <si>
    <t>1,100 - 1,400</t>
  </si>
  <si>
    <r>
      <t xml:space="preserve">   </t>
    </r>
    <r>
      <rPr>
        <u val="single"/>
        <sz val="10"/>
        <color indexed="12"/>
        <rFont val="Arial"/>
        <family val="0"/>
      </rPr>
      <t>User's Guide</t>
    </r>
  </si>
  <si>
    <t>Tanzania: Zanzibar Interconnector</t>
  </si>
  <si>
    <t>Energy Project</t>
  </si>
  <si>
    <t>Zanzibar Interconnector Activity</t>
  </si>
  <si>
    <t>MCC Funding will be used to increase the electric power supply to Zanzibar’s Unguja Island by laying a submarine transmission cable, to make associated investments to increase the capacity of certain overhead transmission lines and to rehabilitate the main substation near Zanzibar Town.</t>
  </si>
  <si>
    <t>Activity Description</t>
  </si>
  <si>
    <t>Specifically, MCC Funding will support:</t>
  </si>
  <si>
    <t xml:space="preserve">     1.   Final design, and an environmental assessment, together with any resulting resettlement action plans, environmental 
             management plans, and occupational health and safety standards.</t>
  </si>
  <si>
    <t xml:space="preserve">     2.   Construction and installation of an approximately 40 km-long, 132kV, 100MW capacity submarine electric transmission 
             cable (including telecom fiber optic shield wire) from Ras Kiromoni on the mainland to Ras Fumba on Unguja Island.</t>
  </si>
  <si>
    <t xml:space="preserve">     3.   Installation of a 132kV switchgear at Ubungo substation and laying of an approximately 20 km-long, supplementary
             132kV overhead line along an existing transmission line from Ubungo to Ras Kiromoni.</t>
  </si>
  <si>
    <t xml:space="preserve">     4.   Laying of an approximately 22 km-long, supplementary 132kV overhead line along an existing transmission line from 
             Ras Fumba to Mtoni substation.</t>
  </si>
  <si>
    <t xml:space="preserve">     5.   Adding 120MVA of 132/33kV transformation capacity to the Mtoni substation on Unguja Island.</t>
  </si>
  <si>
    <t xml:space="preserve">     6.   Capacity building and technical support for TANESCO and ZECO, including assistance with preparation of engineering 
             design and bidding documents, tender review, supervision of construction, project management, and quality control.</t>
  </si>
  <si>
    <t xml:space="preserve">     7.   Project coordination and construction supervision of all improvements and upgrades under the Zanzibar Interconnector 
             Activity.</t>
  </si>
  <si>
    <t>Planting</t>
  </si>
  <si>
    <t>Social and Environmental</t>
  </si>
  <si>
    <t>Alt economic analysis</t>
  </si>
  <si>
    <t>diesel</t>
  </si>
  <si>
    <t>wind</t>
  </si>
  <si>
    <t>Type</t>
  </si>
  <si>
    <t>Capex $/kW</t>
  </si>
  <si>
    <t>Opex $/kW/p.a.</t>
  </si>
  <si>
    <t>fuel $/kWh</t>
  </si>
  <si>
    <t>System</t>
  </si>
  <si>
    <t>Load factor</t>
  </si>
  <si>
    <t>cable1</t>
  </si>
  <si>
    <t>cable2</t>
  </si>
  <si>
    <t>Margin MW</t>
  </si>
  <si>
    <t>Life</t>
  </si>
  <si>
    <t>Total</t>
  </si>
  <si>
    <t>Total MW by resource</t>
  </si>
  <si>
    <t>Capex by resource $m</t>
  </si>
  <si>
    <t>Opex by resource $m</t>
  </si>
  <si>
    <t>Fuel by resource $m</t>
  </si>
  <si>
    <t>Total Energy by resource GWh</t>
  </si>
  <si>
    <t>System (exc. wind)</t>
  </si>
  <si>
    <t>Opex $/kWh</t>
  </si>
  <si>
    <t>Assumptions</t>
  </si>
  <si>
    <t>HFO based alternative</t>
  </si>
  <si>
    <t>Power station consumption (%)</t>
  </si>
  <si>
    <t>Investment costs (USD million)</t>
  </si>
  <si>
    <t>Investment costs (USD/kW)</t>
  </si>
  <si>
    <t>Energy loss in cable (%)</t>
  </si>
  <si>
    <t>Economic lifetime (year)</t>
  </si>
  <si>
    <t>2006-08</t>
  </si>
  <si>
    <t>2009-13</t>
  </si>
  <si>
    <t>2014-23</t>
  </si>
  <si>
    <t>Fuel consumption (kg/kWh)</t>
  </si>
  <si>
    <t>Fuel price (USD/tonne)</t>
  </si>
  <si>
    <t>Power factor</t>
  </si>
  <si>
    <t>Variable O&amp;M costs (USD/MWh)</t>
  </si>
  <si>
    <t>Exchange rate TZS/USD</t>
  </si>
  <si>
    <t>Fixed O&amp;M costs (USD/kW installed capacity)</t>
  </si>
  <si>
    <t>Capacity (MVA)</t>
  </si>
  <si>
    <t>O and M costs (USD million/year)</t>
  </si>
  <si>
    <t>Tanesco tariff 2006:</t>
  </si>
  <si>
    <t>Year</t>
  </si>
  <si>
    <t>HFO based supply</t>
  </si>
  <si>
    <t>Submarine cable supply</t>
  </si>
  <si>
    <t>Tanesco tariff</t>
  </si>
  <si>
    <t xml:space="preserve"> </t>
  </si>
  <si>
    <t>cable3</t>
  </si>
  <si>
    <t>Economic Analysis - Basic Forecast using HMM proposals for submarine cable pricing &amp; phasing.  Replace existing cable end 2019 by new 100 MW cable</t>
  </si>
  <si>
    <t>Coal</t>
  </si>
  <si>
    <t>gas ex transport</t>
  </si>
  <si>
    <t>Extra capex</t>
  </si>
  <si>
    <t>gas adjustment</t>
  </si>
  <si>
    <t>scal on fuel cost</t>
  </si>
  <si>
    <t>scal on var O&amp;M</t>
  </si>
  <si>
    <t>PPA price assumptions</t>
  </si>
  <si>
    <t>Enter</t>
  </si>
  <si>
    <t>selected</t>
  </si>
  <si>
    <t>Shortfall in supplies: % of annual energy</t>
  </si>
  <si>
    <t>Value of unserved energy (USD/kWh)</t>
  </si>
  <si>
    <t>Run gas option (1=yes, 0=no)</t>
  </si>
  <si>
    <t>Include residual capex (1=yes, 0=no)</t>
  </si>
  <si>
    <t>Tanzania</t>
  </si>
  <si>
    <t>Output: GWh</t>
  </si>
  <si>
    <t>Revenues: US$m</t>
  </si>
  <si>
    <t>Energy price: US$/kWh</t>
  </si>
  <si>
    <t>Carbon price: US$/kWh</t>
  </si>
  <si>
    <t>Net revenues: US$m</t>
  </si>
  <si>
    <t>Costs: US$m</t>
  </si>
  <si>
    <t>EIRR calculation for WIND</t>
  </si>
  <si>
    <t xml:space="preserve">Weighted displacement </t>
  </si>
  <si>
    <t>Oil (av HFO &amp; diesel)</t>
  </si>
  <si>
    <t>Gas - CCGT</t>
  </si>
  <si>
    <t>Gas - OCGT</t>
  </si>
  <si>
    <t>CO2 em. factor: tCO2/MWh</t>
  </si>
  <si>
    <t>Variable gencost: US$/kWh</t>
  </si>
  <si>
    <t>Tsh/kWh</t>
  </si>
  <si>
    <t>Note</t>
  </si>
  <si>
    <t>Cable load factor</t>
  </si>
  <si>
    <t>Submarine Cable Project</t>
  </si>
  <si>
    <t>Tsh/kVA/month</t>
  </si>
  <si>
    <t>Uprate existing Interconnector (USD million)</t>
  </si>
  <si>
    <t>USD/t</t>
  </si>
  <si>
    <t>crude</t>
  </si>
  <si>
    <t>HFO/crude ratio</t>
  </si>
  <si>
    <t>HFO USD/t</t>
  </si>
  <si>
    <t>Values: TSh/kWh</t>
  </si>
  <si>
    <t>Annual growth rates: %</t>
  </si>
  <si>
    <t>Shares of plant displaced</t>
  </si>
  <si>
    <t>Carbon price: US$/t CO2</t>
  </si>
  <si>
    <t>Carbon cost: US$/kWh</t>
  </si>
  <si>
    <t>Value of energy displaced by wind</t>
  </si>
  <si>
    <t>2024-33</t>
  </si>
  <si>
    <t>Discount factor</t>
  </si>
  <si>
    <t xml:space="preserve">Need to set MW values in P3 and Q3 </t>
  </si>
  <si>
    <t>Results</t>
  </si>
  <si>
    <t>Name………....</t>
  </si>
  <si>
    <t>Capacity MW……………….</t>
  </si>
  <si>
    <t>Year………………….</t>
  </si>
  <si>
    <t>Type………………………</t>
  </si>
  <si>
    <t>Cost $m……………….</t>
  </si>
  <si>
    <t>Demand (MW)</t>
  </si>
  <si>
    <t xml:space="preserve">     Energy (GWh)</t>
  </si>
  <si>
    <t>Demand Forecast</t>
  </si>
  <si>
    <t>Energy generated (GWh)………………………………</t>
  </si>
  <si>
    <t xml:space="preserve">  </t>
  </si>
  <si>
    <t>Energy not supplied (USD m)……………..</t>
  </si>
  <si>
    <t>O&amp;M   (USD m)……………………………..</t>
  </si>
  <si>
    <t>Expenditure on power imports (USD m)…………….</t>
  </si>
  <si>
    <t>Energy (GWh)……………………………………</t>
  </si>
  <si>
    <t>Capacity (MVA)……………………………………..</t>
  </si>
  <si>
    <t>Real change  (%)………………………………….</t>
  </si>
  <si>
    <t>Energy Tsh/kWh………………………………………</t>
  </si>
  <si>
    <t>Capacity Tsh/kVA……………………………….</t>
  </si>
  <si>
    <t>Energy purchased (GWh)…………………………</t>
  </si>
  <si>
    <t>Capacity (MVA)……………………………………………</t>
  </si>
  <si>
    <t>Investment (USD m)…………………………</t>
  </si>
  <si>
    <t>Peak load (MW)…………………………………</t>
  </si>
  <si>
    <t>Energy demand (GWh)………………………….</t>
  </si>
  <si>
    <t>Peak load (MW)………………………………….</t>
  </si>
  <si>
    <t>Unserved energy: (USD m)………………………</t>
  </si>
  <si>
    <t>Energy generated (GWh)…………………………</t>
  </si>
  <si>
    <t>Investment (USD m)…………………………………..</t>
  </si>
  <si>
    <t>Fuel costs (USD m)………………………………..</t>
  </si>
  <si>
    <t>Variable O&amp;M costs (USD m)……………………..</t>
  </si>
  <si>
    <t>Fixed O&amp;M costs (USD m)……………………..</t>
  </si>
  <si>
    <t>ERR Calculations</t>
  </si>
  <si>
    <t>Baseline:</t>
  </si>
  <si>
    <t>Benefits -10%:</t>
  </si>
  <si>
    <t>Costs +20%:</t>
  </si>
  <si>
    <t>Delay 1 year:</t>
  </si>
  <si>
    <t>Benefits +10%:</t>
  </si>
  <si>
    <t>Costs -20%:</t>
  </si>
  <si>
    <t>Best:</t>
  </si>
  <si>
    <t>Worst:</t>
  </si>
  <si>
    <t>Costs and Benefits</t>
  </si>
  <si>
    <t>(Monetary values in constant 2007 $)</t>
  </si>
  <si>
    <t>Costs</t>
  </si>
  <si>
    <t>Benefits</t>
  </si>
  <si>
    <t>Scenario 1: Benefits -10%</t>
  </si>
  <si>
    <t>Total benefits………...………………………………….</t>
  </si>
  <si>
    <t>Net benefits…………………………………………………….</t>
  </si>
  <si>
    <t>Scenario 2: Costs +20%</t>
  </si>
  <si>
    <t>Total costs…………………............................................</t>
  </si>
  <si>
    <t>Scenario 3: Delay 1 year</t>
  </si>
  <si>
    <t>Scenario 4: Benefits +10%</t>
  </si>
  <si>
    <t>Scenario 5: Costs -20%</t>
  </si>
  <si>
    <t>Scenario 6: Best Case</t>
  </si>
  <si>
    <t>Scenario 7: Worst Case</t>
  </si>
  <si>
    <t xml:space="preserve">   Net benefits (USD m)…………………………….…</t>
  </si>
  <si>
    <t xml:space="preserve">   Total costs (USD m)………………………………….</t>
  </si>
  <si>
    <t xml:space="preserve">   Total benefits (costs of HFO gen.) (USD m)…………………………….…</t>
  </si>
  <si>
    <t>ECONOMIC ANALYSIS (based on import versus on-island generation)</t>
  </si>
  <si>
    <t>PLANTING (used to calculate costs and benefits of HFO generation option)</t>
  </si>
  <si>
    <t>Start year</t>
  </si>
  <si>
    <t>ECONOMIC ANALYSIS (based on income generation impact of new cable supplies)</t>
  </si>
  <si>
    <t>Capacity of new cable</t>
  </si>
  <si>
    <t>Initial cable/ replacement</t>
  </si>
  <si>
    <t>Project cable supply</t>
  </si>
  <si>
    <t>Beginning regional GDP (2005)</t>
  </si>
  <si>
    <t>Regional GDP with Project</t>
  </si>
  <si>
    <t xml:space="preserve">    Incremental increase in GDP resulting from project</t>
  </si>
  <si>
    <t>Regional GDP without Project</t>
  </si>
  <si>
    <t>Increased investment and economic activity</t>
  </si>
  <si>
    <t>GDP growth rate %</t>
  </si>
  <si>
    <t>Elasticity of growth wrt power</t>
  </si>
  <si>
    <t xml:space="preserve">   Total benefits USD m…………………………….…</t>
  </si>
  <si>
    <t xml:space="preserve">   Net benefits USD m…………………………….…</t>
  </si>
  <si>
    <t>Distribution costs USDm……………………</t>
  </si>
  <si>
    <t>Insurance value of avoided blackouts</t>
  </si>
  <si>
    <t>Economic multiplier (annual USD GDP per MWh energy)</t>
  </si>
  <si>
    <t>Fraction of year it would take to source energy alternative</t>
  </si>
  <si>
    <t>Initial probability of original cable failure</t>
  </si>
  <si>
    <t>Rate of growth of probability of failure</t>
  </si>
  <si>
    <t>Social &amp; Environmental Benefits: Million USD</t>
  </si>
  <si>
    <t>Domestic customer numbers</t>
  </si>
  <si>
    <t>Additional customers</t>
  </si>
  <si>
    <t>Education</t>
  </si>
  <si>
    <t>Health</t>
  </si>
  <si>
    <t>Communication and entertainment</t>
  </si>
  <si>
    <t>Productivity improvement</t>
  </si>
  <si>
    <t>Environmental</t>
  </si>
  <si>
    <t>Indirect (exogenous) benefits  (US$)</t>
  </si>
  <si>
    <t>Beneficiaries (Number of households connected)</t>
  </si>
  <si>
    <r>
      <t xml:space="preserve">           </t>
    </r>
    <r>
      <rPr>
        <i/>
        <u val="single"/>
        <sz val="10"/>
        <rFont val="Arial"/>
        <family val="2"/>
      </rPr>
      <t>Benefits per household</t>
    </r>
    <r>
      <rPr>
        <i/>
        <sz val="10"/>
        <rFont val="Arial"/>
        <family val="2"/>
      </rPr>
      <t>:</t>
    </r>
  </si>
  <si>
    <t xml:space="preserve">                     Education (five years after project completion) 26US$ per month per HH</t>
  </si>
  <si>
    <t xml:space="preserve">                     Productivity (increase in income) 21 US$ per month per HH</t>
  </si>
  <si>
    <t xml:space="preserve">                     Communic and entertainment  5US$ per month per HH</t>
  </si>
  <si>
    <t xml:space="preserve">                     Human health (three years after project completion) 75 US$ per month per HH</t>
  </si>
  <si>
    <t xml:space="preserve">                           Subtotal benefits per household:</t>
  </si>
  <si>
    <t xml:space="preserve">                      Annual Indirect benefits for all beneficiaries (before environment):</t>
  </si>
  <si>
    <t xml:space="preserve">                      Environment benefits (per year in a locality)</t>
  </si>
  <si>
    <t xml:space="preserve">                 Total Indirect benefits before scaling</t>
  </si>
  <si>
    <t xml:space="preserve">                  Scaling factor (=  a ratio of per capita GDP for rural Tanzania to per capita income in rural Brazil 61/110)  = 0.07</t>
  </si>
  <si>
    <t>USD/ month</t>
  </si>
  <si>
    <t>Benefits per household:</t>
  </si>
  <si>
    <t>Brazil</t>
  </si>
  <si>
    <t>USD/yr</t>
  </si>
  <si>
    <t xml:space="preserve">Education (five years after project completion) </t>
  </si>
  <si>
    <t>Communications and entertainment</t>
  </si>
  <si>
    <t>Human health (three years after project completion)</t>
  </si>
  <si>
    <t>Scalar based on ratio of per capita GDPs from Human Development Report, 2005</t>
  </si>
  <si>
    <t>Income generated from electricity supply SLKR/MWh</t>
  </si>
  <si>
    <t>R Morimoto and C Hope, impact of electricity supply on economic growth in Sri Lanka</t>
  </si>
  <si>
    <t>SLKR/US$</t>
  </si>
  <si>
    <t>2002 - University of Cambridge</t>
  </si>
  <si>
    <t>US$/MWh</t>
  </si>
  <si>
    <t>US$m</t>
  </si>
  <si>
    <t>MWh</t>
  </si>
  <si>
    <t>US$/kWh</t>
  </si>
  <si>
    <t>Consumer multiplier (consumers per MWh energy)</t>
  </si>
  <si>
    <t>MWh per consumer (not a measure of consumption!)</t>
  </si>
  <si>
    <t>Cost of energy alternative (USD million)</t>
  </si>
  <si>
    <t>Year 1</t>
  </si>
  <si>
    <t>Year 2</t>
  </si>
  <si>
    <t>Year 3</t>
  </si>
  <si>
    <t>Year 4</t>
  </si>
  <si>
    <t>Year 5</t>
  </si>
  <si>
    <t xml:space="preserve">  in 2007 USD mil, 10% discount rate</t>
  </si>
  <si>
    <t>ERRs (based on income generation)</t>
  </si>
  <si>
    <r>
      <t>NPV (</t>
    </r>
    <r>
      <rPr>
        <b/>
        <sz val="10"/>
        <color indexed="12"/>
        <rFont val="Arial"/>
        <family val="2"/>
      </rPr>
      <t>Net benefits</t>
    </r>
    <r>
      <rPr>
        <b/>
        <sz val="10"/>
        <rFont val="Arial"/>
        <family val="2"/>
      </rPr>
      <t>)</t>
    </r>
  </si>
  <si>
    <r>
      <t>NPV (</t>
    </r>
    <r>
      <rPr>
        <b/>
        <sz val="10"/>
        <color indexed="12"/>
        <rFont val="Arial"/>
        <family val="2"/>
      </rPr>
      <t>Benefits</t>
    </r>
    <r>
      <rPr>
        <b/>
        <sz val="10"/>
        <rFont val="Arial"/>
        <family val="2"/>
      </rPr>
      <t>)</t>
    </r>
  </si>
  <si>
    <r>
      <t xml:space="preserve">Total </t>
    </r>
    <r>
      <rPr>
        <b/>
        <sz val="10"/>
        <color indexed="12"/>
        <rFont val="Arial"/>
        <family val="2"/>
      </rPr>
      <t>Costs</t>
    </r>
  </si>
  <si>
    <t>Regional GDP growth rate with Project</t>
  </si>
  <si>
    <t xml:space="preserve">    Incremental increase in GDP growth rate resulting from project</t>
  </si>
  <si>
    <t xml:space="preserve">      As % of counterfactual regional GDP growth rate</t>
  </si>
  <si>
    <t>Regional GDP growth rate without Project</t>
  </si>
  <si>
    <t xml:space="preserve">         As % of counterfactual GDP</t>
  </si>
  <si>
    <t>Regional per capita GDP growth rate with Project</t>
  </si>
  <si>
    <t xml:space="preserve">    Incremental increase in per capita GDP growth rate resulting from project</t>
  </si>
  <si>
    <t xml:space="preserve">      As % of counterfactual regional per capita GDP growth rate</t>
  </si>
  <si>
    <t>Regional per capita GDP growth rate without Project</t>
  </si>
  <si>
    <t xml:space="preserve">Regional per capita GDP with Project: USD </t>
  </si>
  <si>
    <t xml:space="preserve">    Incremental increase in per capita GDP resulting from project: USD</t>
  </si>
  <si>
    <t xml:space="preserve">Regional per capita GDP without Project: USD </t>
  </si>
  <si>
    <t>Population</t>
  </si>
  <si>
    <t>Project name</t>
  </si>
  <si>
    <t>Spreadsheet version</t>
  </si>
  <si>
    <t>Investment memo, final</t>
  </si>
  <si>
    <t>Date</t>
  </si>
  <si>
    <t>Amount of MCC funds</t>
  </si>
  <si>
    <t>Project description</t>
  </si>
  <si>
    <t>Benefit streams included in ERR</t>
  </si>
  <si>
    <t>Costs included in ERR (other than costs borne by MCC)</t>
  </si>
  <si>
    <t>Operation and maintenance</t>
  </si>
  <si>
    <t>Estimated ERR and time horizon</t>
  </si>
  <si>
    <t>Worksheets in this file</t>
  </si>
  <si>
    <t>One should read this sheet first, as it offers a summary of the project, a list of components, and states the economic rationale for the project.</t>
  </si>
  <si>
    <t>ERR &amp; Sensitivity Analysis</t>
  </si>
  <si>
    <t>A brief summary of the project's key parameters and ERR calculations.</t>
  </si>
  <si>
    <t>Summary</t>
  </si>
  <si>
    <t>ERR and sensitivity analysis</t>
  </si>
  <si>
    <t>Description of key parameters</t>
  </si>
  <si>
    <t>Parameter values</t>
  </si>
  <si>
    <t>Values used in ERR computation</t>
  </si>
  <si>
    <t>Economic rate of return (ERR):</t>
  </si>
  <si>
    <t>MCC Estimate</t>
  </si>
  <si>
    <t>User Input</t>
  </si>
  <si>
    <t>Actual costs as a percentage of estimated costs</t>
  </si>
  <si>
    <t>Actual benefits as a percentage of estimated benefits</t>
  </si>
  <si>
    <t>Specific</t>
  </si>
  <si>
    <t>80 - 120%</t>
  </si>
  <si>
    <t>All summary parameters set to initial values?</t>
  </si>
  <si>
    <t>Parameter type</t>
  </si>
  <si>
    <t xml:space="preserve">   More Info</t>
  </si>
  <si>
    <t>Plausible range</t>
  </si>
  <si>
    <t>Components</t>
  </si>
  <si>
    <t>Economic Rationale</t>
  </si>
  <si>
    <t>Power quality improvements</t>
  </si>
  <si>
    <t>Social gains in education and health</t>
  </si>
  <si>
    <t>Insurance value of avoided blackout</t>
  </si>
  <si>
    <t>In modeling the impact of MCC’s energy investments on economic growth and incomes, we include the following benefits, all of which are ultimately related to growth in income:</t>
  </si>
  <si>
    <r>
      <t>1</t>
    </r>
    <r>
      <rPr>
        <sz val="10"/>
        <rFont val="Arial"/>
        <family val="2"/>
      </rPr>
      <t xml:space="preserve"> Cesar Calderon and Luis Serven. (2005) “The Effects of Infrastructure Development on Growth and Income Distribution,” World Bank Working Paper, WPS 3400.</t>
    </r>
  </si>
  <si>
    <r>
      <t xml:space="preserve">     1.  </t>
    </r>
    <r>
      <rPr>
        <i/>
        <sz val="10"/>
        <rFont val="Arial"/>
        <family val="2"/>
      </rPr>
      <t xml:space="preserve"> Increased investment and economic activity</t>
    </r>
    <r>
      <rPr>
        <sz val="10"/>
        <rFont val="Arial"/>
        <family val="2"/>
      </rPr>
      <t>.  The provision of additional supplies of energy should increase investment 
             and economic activity in the affected regions. The basis for the analysis here is Calderon and Serven, 2005.</t>
    </r>
    <r>
      <rPr>
        <vertAlign val="superscript"/>
        <sz val="10"/>
        <rFont val="Arial"/>
        <family val="2"/>
      </rPr>
      <t>1</t>
    </r>
  </si>
  <si>
    <r>
      <t xml:space="preserve">     2.   </t>
    </r>
    <r>
      <rPr>
        <i/>
        <sz val="10"/>
        <rFont val="Arial"/>
        <family val="2"/>
      </rPr>
      <t>Power quality improvements</t>
    </r>
    <r>
      <rPr>
        <sz val="10"/>
        <rFont val="Arial"/>
        <family val="2"/>
      </rPr>
      <t>.  Benefits from improved power quality are likely to be realized as a result of the improved 
             reliability of electricity supply. We have valued the impact of improved power quality on the basis of the avoided cost of 
             running electrical protection equipment. We assume that all larger users operate protection equipment and that 25% of 
             larger domestic consumers also do.</t>
    </r>
    <r>
      <rPr>
        <vertAlign val="superscript"/>
        <sz val="10"/>
        <rFont val="Arial"/>
        <family val="2"/>
      </rPr>
      <t>2</t>
    </r>
    <r>
      <rPr>
        <sz val="10"/>
        <rFont val="Arial"/>
        <family val="2"/>
      </rPr>
      <t xml:space="preserve"> We have not included the additional costs of damage to consumer equipment, 
             given the lack of data on appliance lives and costs.</t>
    </r>
  </si>
  <si>
    <r>
      <t xml:space="preserve">     3.   </t>
    </r>
    <r>
      <rPr>
        <i/>
        <sz val="10"/>
        <rFont val="Arial"/>
        <family val="2"/>
      </rPr>
      <t>Social gains in education and health</t>
    </r>
    <r>
      <rPr>
        <sz val="10"/>
        <rFont val="Arial"/>
        <family val="2"/>
      </rPr>
      <t>.  There are considerable social and environmental benefits arising from providing 
             more energy in addition to the benefits described above. The main social benefits arise from improvements in education 
             and health, including health benefits related to avoiding emissions from diesel and kerosene use. These social benefits 
             are primarily associated with smaller domestic customers, where the replacement energy is non-electric and there is a 
             closer link to health and education.</t>
    </r>
  </si>
  <si>
    <r>
      <t xml:space="preserve">     4.   </t>
    </r>
    <r>
      <rPr>
        <i/>
        <sz val="10"/>
        <rFont val="Arial"/>
        <family val="2"/>
      </rPr>
      <t>Insurance value of avoided blackout</t>
    </r>
    <r>
      <rPr>
        <sz val="10"/>
        <rFont val="Arial"/>
        <family val="2"/>
      </rPr>
      <t>.  Aside from businesses and households running private generators, Unguja Island 
             is entirely dependent on power supplied by an existing cable from the mainland. The counterfactual used in evaluating 
             an investment in a new cable is continued reliance on the old cable, which is near the end of its rated lifetime. The 
             prospect of a failure of the cable is real, and would imply months of blackout conditions until an alternative power source 
             could be brought online (such as massive generators on barges).</t>
    </r>
  </si>
  <si>
    <t>0 - 0.026</t>
  </si>
  <si>
    <t>1 - 10%</t>
  </si>
  <si>
    <t>0.33 - 1.00</t>
  </si>
  <si>
    <t>950 - 1740</t>
  </si>
  <si>
    <t>Exchange rate (Tanzanian shillings/$)</t>
  </si>
  <si>
    <r>
      <t>Change the "</t>
    </r>
    <r>
      <rPr>
        <sz val="10"/>
        <color indexed="12"/>
        <rFont val="Arial"/>
        <family val="2"/>
      </rPr>
      <t>User Input</t>
    </r>
    <r>
      <rPr>
        <sz val="10"/>
        <rFont val="Arial"/>
        <family val="2"/>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2"/>
      </rPr>
      <t>" button at right.  Be sure to reset all summary parameters to their original values ("MCC Estimate" values) before changing specific parameters.</t>
    </r>
  </si>
  <si>
    <t>Provides a summary table of the results of the ERR analysis, along with the cost and net present value of the project.</t>
  </si>
  <si>
    <t>A table of the main assumptions used in the analysis.</t>
  </si>
  <si>
    <t>Details the annual costs and benefits of the project and computes the resulting ERR over a 25-year time period.</t>
  </si>
  <si>
    <t>206.5 million total for Energy Project</t>
  </si>
  <si>
    <r>
      <t>*Note about the model</t>
    </r>
    <r>
      <rPr>
        <sz val="10"/>
        <rFont val="Arial"/>
        <family val="2"/>
      </rPr>
      <t>:  This ERR model originally was developed by Guy Doyle, an energy economist for Hatch Mott MacDonald, and modified and adapted for use by MCC economists.</t>
    </r>
  </si>
  <si>
    <t>Estimates the social and environmental benefits of the project.</t>
  </si>
  <si>
    <t>This sheet is used to generate the planting schedule of capacity.</t>
  </si>
  <si>
    <t>Calculates a different ERR using an alternative model based on import vs. on-island power generation.</t>
  </si>
  <si>
    <r>
      <t xml:space="preserve">MCC Estimated ERR </t>
    </r>
    <r>
      <rPr>
        <b/>
        <sz val="8"/>
        <rFont val="Arial"/>
        <family val="2"/>
      </rPr>
      <t>(as of 8/30/2007)</t>
    </r>
    <r>
      <rPr>
        <b/>
        <sz val="10"/>
        <rFont val="Arial"/>
        <family val="2"/>
      </rPr>
      <t>:</t>
    </r>
  </si>
  <si>
    <r>
      <t xml:space="preserve">   </t>
    </r>
    <r>
      <rPr>
        <u val="single"/>
        <sz val="10"/>
        <color indexed="12"/>
        <rFont val="Arial"/>
        <family val="2"/>
      </rPr>
      <t>Activity Description</t>
    </r>
  </si>
  <si>
    <r>
      <t>2</t>
    </r>
    <r>
      <rPr>
        <sz val="10"/>
        <rFont val="Arial"/>
        <family val="2"/>
      </rPr>
      <t xml:space="preserve"> We have seen no data on protection equipment deployment.  However, our assumptions have been guided by discussions with a range of customers backed up by a judgment of what would be reasonable purchase considering the balance of costs and risks avoided.</t>
    </r>
  </si>
  <si>
    <t>20.3% over 25 years</t>
  </si>
  <si>
    <t>including capital costs, design and supervision, technical assistance, and unallocated contingencies</t>
  </si>
  <si>
    <t>Last updated:  8/24/2007</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</si>
</sst>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00"/>
    <numFmt numFmtId="170" formatCode="#,##0.0"/>
    <numFmt numFmtId="171" formatCode="#,##0.000"/>
    <numFmt numFmtId="172" formatCode="0.0\ %"/>
    <numFmt numFmtId="173" formatCode="#,##0.00_ ;[Red]\-#,##0.00\ "/>
    <numFmt numFmtId="174" formatCode="0.0%"/>
    <numFmt numFmtId="175" formatCode="#,##0_ ;[Red]\-#,##0\ "/>
    <numFmt numFmtId="176" formatCode="_(* #,##0.00_);_(* \(#,##0.00\);_(* &quot;-&quot;???_);_(@_)"/>
    <numFmt numFmtId="177" formatCode="_(* #,##0_);_(* \(#,##0\);_(* &quot;-&quot;??_);_(@_)"/>
    <numFmt numFmtId="178" formatCode="#,##0.000;[Red]\-#,##0.000"/>
    <numFmt numFmtId="179" formatCode="#,##0.0000"/>
    <numFmt numFmtId="180" formatCode="0.0000"/>
  </numFmts>
  <fonts count="42">
    <font>
      <sz val="10"/>
      <name val="Times New Roman"/>
      <family val="0"/>
    </font>
    <font>
      <sz val="8"/>
      <name val="Times New Roman"/>
      <family val="0"/>
    </font>
    <font>
      <sz val="8"/>
      <name val="Arial"/>
      <family val="0"/>
    </font>
    <font>
      <b/>
      <sz val="10"/>
      <name val="Arial"/>
      <family val="2"/>
    </font>
    <font>
      <sz val="10"/>
      <name val="Arial"/>
      <family val="2"/>
    </font>
    <font>
      <sz val="10"/>
      <color indexed="10"/>
      <name val="Arial"/>
      <family val="2"/>
    </font>
    <font>
      <sz val="8"/>
      <name val="Tahoma"/>
      <family val="0"/>
    </font>
    <font>
      <b/>
      <i/>
      <sz val="10"/>
      <name val="Arial"/>
      <family val="2"/>
    </font>
    <font>
      <b/>
      <sz val="8"/>
      <name val="Tahoma"/>
      <family val="0"/>
    </font>
    <font>
      <u val="single"/>
      <sz val="10"/>
      <color indexed="12"/>
      <name val="Times New Roman"/>
      <family val="0"/>
    </font>
    <font>
      <u val="single"/>
      <sz val="10"/>
      <color indexed="36"/>
      <name val="Times New Roman"/>
      <family val="0"/>
    </font>
    <font>
      <i/>
      <sz val="10"/>
      <name val="Arial"/>
      <family val="2"/>
    </font>
    <font>
      <sz val="10"/>
      <color indexed="12"/>
      <name val="Arial"/>
      <family val="2"/>
    </font>
    <font>
      <u val="single"/>
      <sz val="10"/>
      <name val="Arial"/>
      <family val="2"/>
    </font>
    <font>
      <b/>
      <sz val="10"/>
      <color indexed="10"/>
      <name val="Arial"/>
      <family val="2"/>
    </font>
    <font>
      <i/>
      <sz val="10"/>
      <color indexed="12"/>
      <name val="Arial"/>
      <family val="2"/>
    </font>
    <font>
      <b/>
      <sz val="12"/>
      <name val="Arial"/>
      <family val="2"/>
    </font>
    <font>
      <sz val="10"/>
      <color indexed="8"/>
      <name val="Arial"/>
      <family val="2"/>
    </font>
    <font>
      <b/>
      <sz val="10"/>
      <color indexed="12"/>
      <name val="Arial"/>
      <family val="2"/>
    </font>
    <font>
      <sz val="10"/>
      <color indexed="20"/>
      <name val="Arial"/>
      <family val="2"/>
    </font>
    <font>
      <i/>
      <sz val="10"/>
      <color indexed="20"/>
      <name val="Arial"/>
      <family val="2"/>
    </font>
    <font>
      <b/>
      <u val="single"/>
      <sz val="10"/>
      <name val="Arial"/>
      <family val="2"/>
    </font>
    <font>
      <b/>
      <sz val="10"/>
      <color indexed="16"/>
      <name val="Arial"/>
      <family val="2"/>
    </font>
    <font>
      <b/>
      <i/>
      <sz val="10"/>
      <color indexed="13"/>
      <name val="Arial"/>
      <family val="2"/>
    </font>
    <font>
      <b/>
      <sz val="10"/>
      <color indexed="13"/>
      <name val="Arial"/>
      <family val="2"/>
    </font>
    <font>
      <i/>
      <u val="single"/>
      <sz val="10"/>
      <name val="Arial"/>
      <family val="0"/>
    </font>
    <font>
      <i/>
      <sz val="10"/>
      <color indexed="62"/>
      <name val="Arial"/>
      <family val="0"/>
    </font>
    <font>
      <sz val="10"/>
      <color indexed="62"/>
      <name val="Arial"/>
      <family val="2"/>
    </font>
    <font>
      <sz val="10"/>
      <color indexed="20"/>
      <name val="Times New Roman"/>
      <family val="0"/>
    </font>
    <font>
      <b/>
      <sz val="16"/>
      <name val="Arial"/>
      <family val="2"/>
    </font>
    <font>
      <u val="single"/>
      <sz val="10"/>
      <color indexed="12"/>
      <name val="Arial"/>
      <family val="0"/>
    </font>
    <font>
      <b/>
      <sz val="18"/>
      <color indexed="32"/>
      <name val="Arial"/>
      <family val="2"/>
    </font>
    <font>
      <sz val="8"/>
      <color indexed="17"/>
      <name val="Arial"/>
      <family val="2"/>
    </font>
    <font>
      <sz val="14"/>
      <name val="Arial"/>
      <family val="2"/>
    </font>
    <font>
      <sz val="10"/>
      <color indexed="23"/>
      <name val="Arial"/>
      <family val="2"/>
    </font>
    <font>
      <b/>
      <sz val="10"/>
      <color indexed="55"/>
      <name val="Arial"/>
      <family val="2"/>
    </font>
    <font>
      <sz val="10"/>
      <color indexed="9"/>
      <name val="Arial"/>
      <family val="2"/>
    </font>
    <font>
      <b/>
      <sz val="10"/>
      <color indexed="9"/>
      <name val="Arial"/>
      <family val="2"/>
    </font>
    <font>
      <b/>
      <sz val="8"/>
      <name val="Arial"/>
      <family val="2"/>
    </font>
    <font>
      <sz val="8"/>
      <color indexed="21"/>
      <name val="Arial"/>
      <family val="2"/>
    </font>
    <font>
      <vertAlign val="superscript"/>
      <sz val="10"/>
      <name val="Arial"/>
      <family val="2"/>
    </font>
    <font>
      <b/>
      <sz val="8"/>
      <name val="Times New Roman"/>
      <family val="2"/>
    </font>
  </fonts>
  <fills count="10">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
      <patternFill patternType="solid">
        <fgColor indexed="10"/>
        <bgColor indexed="64"/>
      </patternFill>
    </fill>
  </fills>
  <borders count="49">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style="thin"/>
      <top>
        <color indexed="63"/>
      </top>
      <bottom>
        <color indexed="63"/>
      </bottom>
    </border>
    <border>
      <left>
        <color indexed="63"/>
      </left>
      <right style="double"/>
      <top>
        <color indexed="63"/>
      </top>
      <bottom>
        <color indexed="63"/>
      </bottom>
    </border>
    <border>
      <left style="double"/>
      <right style="thin"/>
      <top style="thin"/>
      <bottom style="thin"/>
    </border>
    <border>
      <left>
        <color indexed="63"/>
      </left>
      <right style="double"/>
      <top style="thin"/>
      <bottom style="thin"/>
    </border>
    <border>
      <left style="double"/>
      <right style="thin"/>
      <top>
        <color indexed="63"/>
      </top>
      <bottom style="thin"/>
    </border>
    <border>
      <left>
        <color indexed="63"/>
      </left>
      <right style="double"/>
      <top>
        <color indexed="63"/>
      </top>
      <bottom style="thin"/>
    </border>
    <border>
      <left style="thin"/>
      <right style="double"/>
      <top style="thin"/>
      <bottom>
        <color indexed="63"/>
      </bottom>
    </border>
    <border>
      <left style="double"/>
      <right>
        <color indexed="63"/>
      </right>
      <top>
        <color indexed="63"/>
      </top>
      <bottom>
        <color indexed="63"/>
      </bottom>
    </border>
    <border>
      <left style="thin"/>
      <right style="double"/>
      <top>
        <color indexed="63"/>
      </top>
      <bottom>
        <color indexed="63"/>
      </bottom>
    </border>
    <border>
      <left style="thin"/>
      <right style="double"/>
      <top>
        <color indexed="63"/>
      </top>
      <bottom style="thin"/>
    </border>
    <border>
      <left style="double"/>
      <right style="thin"/>
      <top style="thin"/>
      <bottom>
        <color indexed="63"/>
      </bottom>
    </border>
    <border>
      <left style="thin"/>
      <right style="thin"/>
      <top style="thin"/>
      <bottom style="medium"/>
    </border>
    <border>
      <left style="thin"/>
      <right style="thin"/>
      <top style="thin"/>
      <bottom style="thin"/>
    </border>
    <border>
      <left>
        <color indexed="63"/>
      </left>
      <right style="double"/>
      <top style="double"/>
      <bottom>
        <color indexed="63"/>
      </bottom>
    </border>
    <border>
      <left>
        <color indexed="63"/>
      </left>
      <right style="double"/>
      <top>
        <color indexed="63"/>
      </top>
      <bottom style="double"/>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double"/>
      <right>
        <color indexed="63"/>
      </right>
      <top style="thin"/>
      <bottom>
        <color indexed="63"/>
      </bottom>
    </border>
    <border>
      <left style="double"/>
      <right style="thin"/>
      <top style="double"/>
      <bottom>
        <color indexed="63"/>
      </bottom>
    </border>
    <border>
      <left style="double"/>
      <right style="thin"/>
      <top>
        <color indexed="63"/>
      </top>
      <bottom style="double"/>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26">
    <xf numFmtId="0" fontId="4"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0" fillId="2" borderId="0" applyNumberFormat="0" applyBorder="0" applyAlignment="0">
      <protection locked="0"/>
    </xf>
    <xf numFmtId="0" fontId="0" fillId="2" borderId="0" applyNumberFormat="0" applyFont="0" applyBorder="0" applyAlignment="0">
      <protection locked="0"/>
    </xf>
    <xf numFmtId="0" fontId="10" fillId="0" borderId="0" applyNumberFormat="0" applyFill="0" applyBorder="0" applyAlignment="0" applyProtection="0"/>
    <xf numFmtId="0" fontId="9" fillId="0" borderId="0" applyNumberFormat="0" applyFill="0" applyBorder="0" applyAlignment="0" applyProtection="0"/>
    <xf numFmtId="0" fontId="4" fillId="0" borderId="0">
      <alignment/>
      <protection/>
    </xf>
    <xf numFmtId="0" fontId="2" fillId="0" borderId="0" applyBorder="0">
      <alignment/>
      <protection/>
    </xf>
    <xf numFmtId="9" fontId="0" fillId="0" borderId="0" applyFont="0" applyFill="0" applyBorder="0" applyAlignment="0" applyProtection="0"/>
  </cellStyleXfs>
  <cellXfs count="679">
    <xf numFmtId="0" fontId="0" fillId="0" borderId="0" xfId="0" applyAlignment="1">
      <alignment/>
    </xf>
    <xf numFmtId="0" fontId="0" fillId="3" borderId="1" xfId="0" applyFill="1" applyBorder="1" applyAlignment="1">
      <alignment/>
    </xf>
    <xf numFmtId="0" fontId="0" fillId="3" borderId="0" xfId="0" applyFill="1" applyBorder="1" applyAlignment="1">
      <alignment/>
    </xf>
    <xf numFmtId="0" fontId="3" fillId="4" borderId="0" xfId="0" applyFont="1" applyFill="1" applyAlignment="1">
      <alignment/>
    </xf>
    <xf numFmtId="0" fontId="11" fillId="5" borderId="1" xfId="0" applyFont="1" applyFill="1" applyBorder="1" applyAlignment="1">
      <alignment/>
    </xf>
    <xf numFmtId="0" fontId="4" fillId="4" borderId="0" xfId="0" applyFont="1" applyFill="1" applyAlignment="1">
      <alignment/>
    </xf>
    <xf numFmtId="3" fontId="12" fillId="5" borderId="0" xfId="0" applyNumberFormat="1" applyFont="1" applyFill="1" applyBorder="1" applyAlignment="1">
      <alignment/>
    </xf>
    <xf numFmtId="0" fontId="12" fillId="5" borderId="0" xfId="0" applyFont="1" applyFill="1" applyBorder="1" applyAlignment="1">
      <alignment/>
    </xf>
    <xf numFmtId="168" fontId="12" fillId="5" borderId="0" xfId="0" applyNumberFormat="1" applyFont="1" applyFill="1" applyBorder="1" applyAlignment="1">
      <alignment/>
    </xf>
    <xf numFmtId="174" fontId="12" fillId="5" borderId="0" xfId="25" applyNumberFormat="1" applyFont="1" applyFill="1" applyBorder="1" applyAlignment="1">
      <alignment/>
    </xf>
    <xf numFmtId="0" fontId="4" fillId="5" borderId="2" xfId="0" applyFont="1" applyFill="1" applyBorder="1" applyAlignment="1">
      <alignment/>
    </xf>
    <xf numFmtId="2" fontId="12" fillId="4" borderId="0" xfId="0" applyNumberFormat="1" applyFont="1" applyFill="1" applyBorder="1" applyAlignment="1">
      <alignment/>
    </xf>
    <xf numFmtId="169" fontId="4" fillId="4" borderId="0" xfId="0" applyNumberFormat="1" applyFont="1" applyFill="1" applyBorder="1" applyAlignment="1">
      <alignment/>
    </xf>
    <xf numFmtId="0" fontId="4" fillId="4" borderId="0" xfId="0" applyFont="1" applyFill="1" applyBorder="1" applyAlignment="1">
      <alignment/>
    </xf>
    <xf numFmtId="174" fontId="4" fillId="5" borderId="0" xfId="25" applyNumberFormat="1" applyFont="1" applyFill="1" applyBorder="1" applyAlignment="1">
      <alignment/>
    </xf>
    <xf numFmtId="0" fontId="12" fillId="5" borderId="3" xfId="0" applyFont="1" applyFill="1" applyBorder="1" applyAlignment="1">
      <alignment/>
    </xf>
    <xf numFmtId="0" fontId="4" fillId="4" borderId="3" xfId="0" applyFont="1" applyFill="1" applyBorder="1" applyAlignment="1">
      <alignment/>
    </xf>
    <xf numFmtId="0" fontId="11" fillId="4" borderId="0" xfId="0" applyFont="1" applyFill="1" applyBorder="1" applyAlignment="1">
      <alignment/>
    </xf>
    <xf numFmtId="0" fontId="4" fillId="3" borderId="4" xfId="0" applyFont="1" applyFill="1" applyBorder="1" applyAlignment="1">
      <alignment/>
    </xf>
    <xf numFmtId="0" fontId="4" fillId="3" borderId="5" xfId="0" applyFont="1" applyFill="1" applyBorder="1" applyAlignment="1">
      <alignment/>
    </xf>
    <xf numFmtId="0" fontId="11" fillId="3" borderId="1" xfId="0" applyFont="1" applyFill="1" applyBorder="1" applyAlignment="1">
      <alignment/>
    </xf>
    <xf numFmtId="0" fontId="4" fillId="3" borderId="0" xfId="0" applyFont="1" applyFill="1" applyBorder="1" applyAlignment="1">
      <alignment/>
    </xf>
    <xf numFmtId="0" fontId="4" fillId="3" borderId="6" xfId="0" applyFont="1" applyFill="1" applyBorder="1" applyAlignment="1">
      <alignment/>
    </xf>
    <xf numFmtId="0" fontId="4" fillId="3" borderId="3" xfId="0" applyFont="1" applyFill="1" applyBorder="1" applyAlignment="1">
      <alignment/>
    </xf>
    <xf numFmtId="0" fontId="11" fillId="6" borderId="1" xfId="0" applyFont="1" applyFill="1" applyBorder="1" applyAlignment="1">
      <alignment/>
    </xf>
    <xf numFmtId="0" fontId="11" fillId="6" borderId="0" xfId="0" applyFont="1" applyFill="1" applyBorder="1" applyAlignment="1">
      <alignment/>
    </xf>
    <xf numFmtId="0" fontId="11" fillId="6" borderId="2" xfId="0" applyFont="1" applyFill="1" applyBorder="1" applyAlignment="1">
      <alignment/>
    </xf>
    <xf numFmtId="2" fontId="4" fillId="6" borderId="7" xfId="0" applyNumberFormat="1" applyFont="1" applyFill="1" applyBorder="1" applyAlignment="1">
      <alignment/>
    </xf>
    <xf numFmtId="0" fontId="4" fillId="2" borderId="4" xfId="0" applyFont="1" applyFill="1" applyBorder="1" applyAlignment="1">
      <alignment/>
    </xf>
    <xf numFmtId="0" fontId="4" fillId="2" borderId="5" xfId="0" applyFont="1" applyFill="1" applyBorder="1" applyAlignment="1">
      <alignment/>
    </xf>
    <xf numFmtId="0" fontId="4" fillId="2" borderId="0" xfId="0" applyFont="1" applyFill="1" applyBorder="1" applyAlignment="1">
      <alignment/>
    </xf>
    <xf numFmtId="0" fontId="4" fillId="2" borderId="6" xfId="0" applyFont="1" applyFill="1" applyBorder="1" applyAlignment="1">
      <alignment/>
    </xf>
    <xf numFmtId="0" fontId="12" fillId="2" borderId="0" xfId="0" applyFont="1" applyFill="1" applyBorder="1" applyAlignment="1">
      <alignment/>
    </xf>
    <xf numFmtId="0" fontId="4" fillId="2" borderId="3" xfId="0" applyFont="1" applyFill="1" applyBorder="1" applyAlignment="1">
      <alignment/>
    </xf>
    <xf numFmtId="0" fontId="4" fillId="2" borderId="7" xfId="0" applyFont="1" applyFill="1" applyBorder="1" applyAlignment="1">
      <alignment/>
    </xf>
    <xf numFmtId="0" fontId="4" fillId="4" borderId="0" xfId="0" applyFont="1" applyFill="1" applyBorder="1" applyAlignment="1">
      <alignment horizontal="center"/>
    </xf>
    <xf numFmtId="0" fontId="3" fillId="3" borderId="8" xfId="0" applyFont="1" applyFill="1" applyBorder="1" applyAlignment="1">
      <alignment/>
    </xf>
    <xf numFmtId="0" fontId="4" fillId="3" borderId="1" xfId="0" applyFont="1" applyFill="1" applyBorder="1" applyAlignment="1">
      <alignment/>
    </xf>
    <xf numFmtId="0" fontId="4" fillId="3" borderId="2" xfId="0" applyFont="1" applyFill="1" applyBorder="1" applyAlignment="1">
      <alignment/>
    </xf>
    <xf numFmtId="0" fontId="4" fillId="3" borderId="7" xfId="0" applyFont="1" applyFill="1" applyBorder="1" applyAlignment="1">
      <alignment/>
    </xf>
    <xf numFmtId="0" fontId="11" fillId="4" borderId="6" xfId="0" applyFont="1" applyFill="1" applyBorder="1" applyAlignment="1">
      <alignment/>
    </xf>
    <xf numFmtId="0" fontId="4" fillId="6" borderId="0" xfId="0" applyFont="1" applyFill="1" applyBorder="1" applyAlignment="1">
      <alignment/>
    </xf>
    <xf numFmtId="0" fontId="4" fillId="6" borderId="1" xfId="0" applyFont="1" applyFill="1" applyBorder="1" applyAlignment="1">
      <alignment/>
    </xf>
    <xf numFmtId="0" fontId="4" fillId="6" borderId="0" xfId="0" applyFont="1" applyFill="1" applyBorder="1" applyAlignment="1">
      <alignment wrapText="1"/>
    </xf>
    <xf numFmtId="0" fontId="11" fillId="6" borderId="4" xfId="0" applyFont="1" applyFill="1" applyBorder="1" applyAlignment="1">
      <alignment/>
    </xf>
    <xf numFmtId="0" fontId="4" fillId="6" borderId="3" xfId="0" applyFont="1" applyFill="1" applyBorder="1" applyAlignment="1">
      <alignment/>
    </xf>
    <xf numFmtId="168" fontId="4" fillId="6" borderId="0" xfId="0" applyNumberFormat="1" applyFont="1" applyFill="1" applyBorder="1" applyAlignment="1">
      <alignment/>
    </xf>
    <xf numFmtId="2" fontId="4" fillId="2" borderId="3" xfId="0" applyNumberFormat="1" applyFont="1" applyFill="1" applyBorder="1" applyAlignment="1">
      <alignment horizontal="center"/>
    </xf>
    <xf numFmtId="2" fontId="4" fillId="2" borderId="8" xfId="0" applyNumberFormat="1" applyFont="1" applyFill="1" applyBorder="1" applyAlignment="1">
      <alignment/>
    </xf>
    <xf numFmtId="0" fontId="11" fillId="2" borderId="0" xfId="0" applyFont="1" applyFill="1" applyBorder="1" applyAlignment="1">
      <alignment/>
    </xf>
    <xf numFmtId="0" fontId="11" fillId="5" borderId="8" xfId="0" applyFont="1" applyFill="1" applyBorder="1" applyAlignment="1">
      <alignment horizontal="right"/>
    </xf>
    <xf numFmtId="0" fontId="4" fillId="3" borderId="8" xfId="0" applyFont="1" applyFill="1" applyBorder="1" applyAlignment="1">
      <alignment/>
    </xf>
    <xf numFmtId="0" fontId="4" fillId="5" borderId="8" xfId="0" applyFont="1" applyFill="1" applyBorder="1" applyAlignment="1">
      <alignment/>
    </xf>
    <xf numFmtId="0" fontId="4" fillId="5" borderId="4" xfId="0" applyFont="1" applyFill="1" applyBorder="1" applyAlignment="1">
      <alignment/>
    </xf>
    <xf numFmtId="0" fontId="4" fillId="5" borderId="5" xfId="0" applyFont="1" applyFill="1" applyBorder="1" applyAlignment="1">
      <alignment/>
    </xf>
    <xf numFmtId="0" fontId="4" fillId="5" borderId="1" xfId="0" applyFont="1" applyFill="1" applyBorder="1" applyAlignment="1">
      <alignment/>
    </xf>
    <xf numFmtId="0" fontId="4" fillId="5" borderId="0" xfId="0" applyFont="1" applyFill="1" applyBorder="1" applyAlignment="1">
      <alignment/>
    </xf>
    <xf numFmtId="0" fontId="11" fillId="4" borderId="0" xfId="0" applyFont="1" applyFill="1" applyAlignment="1">
      <alignment/>
    </xf>
    <xf numFmtId="0" fontId="11" fillId="3" borderId="0" xfId="0" applyFont="1" applyFill="1" applyBorder="1" applyAlignment="1">
      <alignment/>
    </xf>
    <xf numFmtId="0" fontId="11" fillId="3" borderId="0" xfId="0" applyFont="1" applyFill="1" applyAlignment="1">
      <alignment/>
    </xf>
    <xf numFmtId="0" fontId="5" fillId="3" borderId="0" xfId="0" applyFont="1" applyFill="1" applyBorder="1" applyAlignment="1">
      <alignment/>
    </xf>
    <xf numFmtId="0" fontId="5" fillId="3" borderId="6" xfId="0" applyFont="1" applyFill="1" applyBorder="1" applyAlignment="1">
      <alignment/>
    </xf>
    <xf numFmtId="0" fontId="4" fillId="3" borderId="0" xfId="19" applyFont="1" applyFill="1" applyBorder="1" applyAlignment="1">
      <alignment horizontal="center"/>
      <protection locked="0"/>
    </xf>
    <xf numFmtId="0" fontId="4" fillId="3" borderId="6" xfId="19" applyFont="1" applyFill="1" applyBorder="1" applyAlignment="1">
      <alignment horizontal="center"/>
      <protection locked="0"/>
    </xf>
    <xf numFmtId="0" fontId="4" fillId="3" borderId="0" xfId="0" applyFont="1" applyFill="1" applyBorder="1" applyAlignment="1">
      <alignment horizontal="center"/>
    </xf>
    <xf numFmtId="0" fontId="4" fillId="3" borderId="6" xfId="0" applyFont="1" applyFill="1" applyBorder="1" applyAlignment="1">
      <alignment horizontal="center"/>
    </xf>
    <xf numFmtId="0" fontId="11" fillId="3" borderId="3" xfId="0" applyFont="1" applyFill="1" applyBorder="1" applyAlignment="1">
      <alignment/>
    </xf>
    <xf numFmtId="0" fontId="4" fillId="3" borderId="3" xfId="0" applyFont="1" applyFill="1" applyBorder="1" applyAlignment="1">
      <alignment horizontal="center"/>
    </xf>
    <xf numFmtId="0" fontId="4" fillId="3" borderId="7" xfId="0" applyFont="1" applyFill="1" applyBorder="1" applyAlignment="1">
      <alignment horizontal="center"/>
    </xf>
    <xf numFmtId="0" fontId="4" fillId="4" borderId="0" xfId="0" applyFont="1" applyFill="1" applyBorder="1" applyAlignment="1">
      <alignment horizontal="right" wrapText="1"/>
    </xf>
    <xf numFmtId="0" fontId="4" fillId="5" borderId="0" xfId="0" applyFont="1" applyFill="1" applyBorder="1" applyAlignment="1">
      <alignment horizontal="right" wrapText="1"/>
    </xf>
    <xf numFmtId="0" fontId="4" fillId="5" borderId="6" xfId="0" applyFont="1" applyFill="1" applyBorder="1" applyAlignment="1">
      <alignment/>
    </xf>
    <xf numFmtId="168" fontId="5" fillId="5" borderId="1" xfId="0" applyNumberFormat="1" applyFont="1" applyFill="1" applyBorder="1" applyAlignment="1">
      <alignment/>
    </xf>
    <xf numFmtId="0" fontId="4" fillId="5" borderId="7" xfId="0" applyFont="1" applyFill="1" applyBorder="1" applyAlignment="1">
      <alignment/>
    </xf>
    <xf numFmtId="0" fontId="15" fillId="4" borderId="0" xfId="0" applyFont="1" applyFill="1" applyBorder="1" applyAlignment="1">
      <alignment/>
    </xf>
    <xf numFmtId="0" fontId="11" fillId="4" borderId="1" xfId="0" applyFont="1" applyFill="1" applyBorder="1" applyAlignment="1">
      <alignment vertical="top" wrapText="1"/>
    </xf>
    <xf numFmtId="0" fontId="11" fillId="4" borderId="0" xfId="0" applyFont="1" applyFill="1" applyBorder="1" applyAlignment="1">
      <alignment vertical="top" wrapText="1"/>
    </xf>
    <xf numFmtId="0" fontId="15" fillId="6" borderId="0" xfId="0" applyFont="1" applyFill="1" applyBorder="1" applyAlignment="1">
      <alignment/>
    </xf>
    <xf numFmtId="0" fontId="11" fillId="7" borderId="0" xfId="0" applyFont="1" applyFill="1" applyBorder="1" applyAlignment="1">
      <alignment/>
    </xf>
    <xf numFmtId="0" fontId="4" fillId="7" borderId="0" xfId="0" applyFont="1" applyFill="1" applyBorder="1" applyAlignment="1">
      <alignment/>
    </xf>
    <xf numFmtId="0" fontId="11" fillId="3" borderId="0" xfId="0" applyFont="1" applyFill="1" applyBorder="1" applyAlignment="1">
      <alignment/>
    </xf>
    <xf numFmtId="0" fontId="14" fillId="5" borderId="4" xfId="0" applyFont="1" applyFill="1" applyBorder="1" applyAlignment="1">
      <alignment/>
    </xf>
    <xf numFmtId="2" fontId="4" fillId="5" borderId="0" xfId="0" applyNumberFormat="1" applyFont="1" applyFill="1" applyBorder="1" applyAlignment="1">
      <alignment/>
    </xf>
    <xf numFmtId="2" fontId="4" fillId="2" borderId="0" xfId="0" applyNumberFormat="1" applyFont="1" applyFill="1" applyBorder="1" applyAlignment="1">
      <alignment/>
    </xf>
    <xf numFmtId="0" fontId="4" fillId="4" borderId="0" xfId="24" applyFont="1" applyFill="1" applyBorder="1">
      <alignment/>
      <protection/>
    </xf>
    <xf numFmtId="0" fontId="4" fillId="4" borderId="0" xfId="24" applyFont="1" applyFill="1" applyBorder="1" applyAlignment="1">
      <alignment horizontal="left"/>
      <protection/>
    </xf>
    <xf numFmtId="0" fontId="5" fillId="4" borderId="0" xfId="24" applyFont="1" applyFill="1" applyBorder="1">
      <alignment/>
      <protection/>
    </xf>
    <xf numFmtId="172" fontId="3" fillId="4" borderId="0" xfId="24" applyNumberFormat="1" applyFont="1" applyFill="1" applyBorder="1">
      <alignment/>
      <protection/>
    </xf>
    <xf numFmtId="0" fontId="11" fillId="4" borderId="0" xfId="0" applyFont="1" applyFill="1" applyBorder="1" applyAlignment="1">
      <alignment wrapText="1"/>
    </xf>
    <xf numFmtId="0" fontId="11" fillId="4" borderId="0" xfId="0" applyFont="1" applyFill="1" applyBorder="1" applyAlignment="1">
      <alignment horizontal="right" wrapText="1"/>
    </xf>
    <xf numFmtId="0" fontId="11" fillId="6" borderId="0" xfId="0" applyFont="1" applyFill="1" applyBorder="1" applyAlignment="1">
      <alignment wrapText="1"/>
    </xf>
    <xf numFmtId="168" fontId="5" fillId="4" borderId="0" xfId="0" applyNumberFormat="1" applyFont="1" applyFill="1" applyBorder="1" applyAlignment="1">
      <alignment/>
    </xf>
    <xf numFmtId="0" fontId="11" fillId="4" borderId="0" xfId="0" applyFont="1" applyFill="1" applyBorder="1" applyAlignment="1">
      <alignment horizontal="right"/>
    </xf>
    <xf numFmtId="168" fontId="4" fillId="4" borderId="0" xfId="0" applyNumberFormat="1" applyFont="1" applyFill="1" applyBorder="1" applyAlignment="1">
      <alignment/>
    </xf>
    <xf numFmtId="0" fontId="4" fillId="4" borderId="0" xfId="0" applyFont="1" applyFill="1" applyBorder="1" applyAlignment="1">
      <alignment horizontal="right"/>
    </xf>
    <xf numFmtId="2" fontId="4" fillId="4" borderId="0" xfId="0" applyNumberFormat="1" applyFont="1" applyFill="1" applyBorder="1" applyAlignment="1">
      <alignment/>
    </xf>
    <xf numFmtId="0" fontId="4" fillId="4" borderId="0" xfId="0" applyFont="1" applyFill="1" applyAlignment="1">
      <alignment horizontal="right"/>
    </xf>
    <xf numFmtId="0" fontId="4" fillId="8" borderId="4" xfId="0" applyFont="1" applyFill="1" applyBorder="1" applyAlignment="1">
      <alignment horizontal="right"/>
    </xf>
    <xf numFmtId="0" fontId="15" fillId="8" borderId="5" xfId="0" applyFont="1" applyFill="1" applyBorder="1" applyAlignment="1">
      <alignment/>
    </xf>
    <xf numFmtId="0" fontId="4" fillId="8" borderId="0" xfId="0" applyFont="1" applyFill="1" applyBorder="1" applyAlignment="1">
      <alignment horizontal="right"/>
    </xf>
    <xf numFmtId="0" fontId="15" fillId="8" borderId="6" xfId="0" applyFont="1" applyFill="1" applyBorder="1" applyAlignment="1">
      <alignment/>
    </xf>
    <xf numFmtId="0" fontId="4" fillId="8" borderId="0" xfId="0" applyFont="1" applyFill="1" applyBorder="1" applyAlignment="1">
      <alignment horizontal="right" wrapText="1"/>
    </xf>
    <xf numFmtId="168" fontId="4" fillId="8" borderId="3" xfId="0" applyNumberFormat="1" applyFont="1" applyFill="1" applyBorder="1" applyAlignment="1">
      <alignment horizontal="right"/>
    </xf>
    <xf numFmtId="168" fontId="4" fillId="3" borderId="4" xfId="0" applyNumberFormat="1" applyFont="1" applyFill="1" applyBorder="1" applyAlignment="1">
      <alignment horizontal="center"/>
    </xf>
    <xf numFmtId="168" fontId="4" fillId="3" borderId="4" xfId="0" applyNumberFormat="1" applyFont="1" applyFill="1" applyBorder="1" applyAlignment="1">
      <alignment/>
    </xf>
    <xf numFmtId="168" fontId="11" fillId="3" borderId="4" xfId="0" applyNumberFormat="1" applyFont="1" applyFill="1" applyBorder="1" applyAlignment="1">
      <alignment/>
    </xf>
    <xf numFmtId="168" fontId="4" fillId="3" borderId="0" xfId="0" applyNumberFormat="1" applyFont="1" applyFill="1" applyBorder="1" applyAlignment="1">
      <alignment horizontal="center"/>
    </xf>
    <xf numFmtId="168" fontId="4" fillId="3" borderId="0" xfId="0" applyNumberFormat="1" applyFont="1" applyFill="1" applyBorder="1" applyAlignment="1">
      <alignment/>
    </xf>
    <xf numFmtId="168" fontId="11" fillId="3" borderId="0" xfId="0" applyNumberFormat="1" applyFont="1" applyFill="1" applyBorder="1" applyAlignment="1">
      <alignment/>
    </xf>
    <xf numFmtId="168" fontId="4" fillId="3" borderId="3" xfId="0" applyNumberFormat="1" applyFont="1" applyFill="1" applyBorder="1" applyAlignment="1">
      <alignment horizontal="center"/>
    </xf>
    <xf numFmtId="168" fontId="4" fillId="3" borderId="3" xfId="0" applyNumberFormat="1" applyFont="1" applyFill="1" applyBorder="1" applyAlignment="1">
      <alignment/>
    </xf>
    <xf numFmtId="168" fontId="11" fillId="3" borderId="3" xfId="0" applyNumberFormat="1" applyFont="1" applyFill="1" applyBorder="1" applyAlignment="1">
      <alignment/>
    </xf>
    <xf numFmtId="0" fontId="11" fillId="5" borderId="1" xfId="0" applyFont="1" applyFill="1" applyBorder="1" applyAlignment="1">
      <alignment horizontal="right" wrapText="1"/>
    </xf>
    <xf numFmtId="0" fontId="4" fillId="4" borderId="4" xfId="0" applyFont="1" applyFill="1" applyBorder="1" applyAlignment="1">
      <alignment/>
    </xf>
    <xf numFmtId="0" fontId="15" fillId="4" borderId="3" xfId="0" applyFont="1" applyFill="1" applyBorder="1" applyAlignment="1">
      <alignment/>
    </xf>
    <xf numFmtId="0" fontId="11" fillId="4" borderId="3" xfId="0" applyFont="1" applyFill="1" applyBorder="1" applyAlignment="1">
      <alignment/>
    </xf>
    <xf numFmtId="0" fontId="11" fillId="4" borderId="3" xfId="0" applyFont="1" applyFill="1" applyBorder="1" applyAlignment="1">
      <alignment wrapText="1"/>
    </xf>
    <xf numFmtId="0" fontId="4" fillId="4" borderId="9" xfId="0" applyFont="1" applyFill="1" applyBorder="1" applyAlignment="1">
      <alignment horizontal="center"/>
    </xf>
    <xf numFmtId="0" fontId="4" fillId="4" borderId="9" xfId="0" applyFont="1" applyFill="1" applyBorder="1" applyAlignment="1">
      <alignment/>
    </xf>
    <xf numFmtId="0" fontId="15" fillId="4" borderId="9" xfId="0" applyFont="1" applyFill="1" applyBorder="1" applyAlignment="1">
      <alignment/>
    </xf>
    <xf numFmtId="0" fontId="11" fillId="4" borderId="9" xfId="0" applyFont="1" applyFill="1" applyBorder="1" applyAlignment="1">
      <alignment/>
    </xf>
    <xf numFmtId="0" fontId="11" fillId="4" borderId="9" xfId="0" applyFont="1" applyFill="1" applyBorder="1" applyAlignment="1">
      <alignment wrapText="1"/>
    </xf>
    <xf numFmtId="168" fontId="4" fillId="8" borderId="0" xfId="0" applyNumberFormat="1" applyFont="1" applyFill="1" applyBorder="1" applyAlignment="1">
      <alignment horizontal="right"/>
    </xf>
    <xf numFmtId="168" fontId="4" fillId="8" borderId="0" xfId="0" applyNumberFormat="1" applyFont="1" applyFill="1" applyBorder="1" applyAlignment="1">
      <alignment horizontal="right" wrapText="1"/>
    </xf>
    <xf numFmtId="0" fontId="4" fillId="4" borderId="4" xfId="0" applyFont="1" applyFill="1" applyBorder="1" applyAlignment="1">
      <alignment horizontal="center"/>
    </xf>
    <xf numFmtId="0" fontId="11" fillId="4" borderId="4" xfId="0" applyFont="1" applyFill="1" applyBorder="1" applyAlignment="1">
      <alignment/>
    </xf>
    <xf numFmtId="0" fontId="11" fillId="4" borderId="4" xfId="0" applyFont="1" applyFill="1" applyBorder="1" applyAlignment="1">
      <alignment wrapText="1"/>
    </xf>
    <xf numFmtId="0" fontId="12" fillId="3" borderId="0" xfId="0" applyFont="1" applyFill="1" applyBorder="1" applyAlignment="1">
      <alignment/>
    </xf>
    <xf numFmtId="0" fontId="15" fillId="6" borderId="5" xfId="0" applyFont="1" applyFill="1" applyBorder="1" applyAlignment="1">
      <alignment/>
    </xf>
    <xf numFmtId="169" fontId="4" fillId="6" borderId="1" xfId="0" applyNumberFormat="1" applyFont="1" applyFill="1" applyBorder="1" applyAlignment="1">
      <alignment/>
    </xf>
    <xf numFmtId="169" fontId="4" fillId="6" borderId="0" xfId="0" applyNumberFormat="1" applyFont="1" applyFill="1" applyBorder="1" applyAlignment="1">
      <alignment/>
    </xf>
    <xf numFmtId="0" fontId="15" fillId="6" borderId="6" xfId="0" applyFont="1" applyFill="1" applyBorder="1" applyAlignment="1">
      <alignment/>
    </xf>
    <xf numFmtId="0" fontId="4" fillId="6" borderId="0" xfId="0" applyFont="1" applyFill="1" applyBorder="1" applyAlignment="1">
      <alignment horizontal="center"/>
    </xf>
    <xf numFmtId="168" fontId="5" fillId="6" borderId="1" xfId="0" applyNumberFormat="1" applyFont="1" applyFill="1" applyBorder="1" applyAlignment="1">
      <alignment/>
    </xf>
    <xf numFmtId="168" fontId="5" fillId="6" borderId="0" xfId="0" applyNumberFormat="1" applyFont="1" applyFill="1" applyBorder="1" applyAlignment="1">
      <alignment/>
    </xf>
    <xf numFmtId="1" fontId="4" fillId="6" borderId="0" xfId="0" applyNumberFormat="1" applyFont="1" applyFill="1" applyBorder="1" applyAlignment="1">
      <alignment/>
    </xf>
    <xf numFmtId="0" fontId="4" fillId="6" borderId="0" xfId="0" applyFont="1" applyFill="1" applyBorder="1" applyAlignment="1">
      <alignment horizontal="right"/>
    </xf>
    <xf numFmtId="0" fontId="4" fillId="6" borderId="6" xfId="0" applyFont="1" applyFill="1" applyBorder="1" applyAlignment="1">
      <alignment horizontal="right"/>
    </xf>
    <xf numFmtId="0" fontId="4" fillId="6" borderId="3" xfId="0" applyFont="1" applyFill="1" applyBorder="1" applyAlignment="1">
      <alignment horizontal="center"/>
    </xf>
    <xf numFmtId="0" fontId="15" fillId="6" borderId="7" xfId="0" applyFont="1" applyFill="1" applyBorder="1" applyAlignment="1">
      <alignment/>
    </xf>
    <xf numFmtId="0" fontId="4" fillId="2" borderId="4" xfId="0" applyFont="1" applyFill="1" applyBorder="1" applyAlignment="1">
      <alignment horizontal="center"/>
    </xf>
    <xf numFmtId="0" fontId="12" fillId="2" borderId="4" xfId="0" applyFont="1" applyFill="1" applyBorder="1" applyAlignment="1">
      <alignment/>
    </xf>
    <xf numFmtId="0" fontId="4" fillId="2" borderId="4" xfId="0" applyFont="1" applyFill="1" applyBorder="1" applyAlignment="1">
      <alignment wrapText="1"/>
    </xf>
    <xf numFmtId="0" fontId="4" fillId="2" borderId="0" xfId="0" applyFont="1" applyFill="1" applyBorder="1" applyAlignment="1">
      <alignment horizontal="center"/>
    </xf>
    <xf numFmtId="0" fontId="4" fillId="2" borderId="0" xfId="0" applyFont="1" applyFill="1" applyBorder="1" applyAlignment="1">
      <alignment wrapText="1"/>
    </xf>
    <xf numFmtId="0" fontId="4" fillId="2" borderId="3" xfId="0" applyFont="1" applyFill="1" applyBorder="1" applyAlignment="1">
      <alignment horizontal="center"/>
    </xf>
    <xf numFmtId="0" fontId="12" fillId="2" borderId="3" xfId="0" applyFont="1" applyFill="1" applyBorder="1" applyAlignment="1">
      <alignment/>
    </xf>
    <xf numFmtId="0" fontId="4" fillId="2" borderId="3" xfId="0" applyFont="1" applyFill="1" applyBorder="1" applyAlignment="1">
      <alignment wrapText="1"/>
    </xf>
    <xf numFmtId="2" fontId="4" fillId="6" borderId="8" xfId="0" applyNumberFormat="1" applyFont="1" applyFill="1" applyBorder="1" applyAlignment="1">
      <alignment/>
    </xf>
    <xf numFmtId="2" fontId="4" fillId="6" borderId="4" xfId="0" applyNumberFormat="1" applyFont="1" applyFill="1" applyBorder="1" applyAlignment="1">
      <alignment horizontal="center"/>
    </xf>
    <xf numFmtId="2" fontId="4" fillId="6" borderId="4" xfId="0" applyNumberFormat="1" applyFont="1" applyFill="1" applyBorder="1" applyAlignment="1">
      <alignment/>
    </xf>
    <xf numFmtId="2" fontId="4" fillId="6" borderId="4" xfId="0" applyNumberFormat="1" applyFont="1" applyFill="1" applyBorder="1" applyAlignment="1">
      <alignment wrapText="1"/>
    </xf>
    <xf numFmtId="2" fontId="4" fillId="6" borderId="1" xfId="0" applyNumberFormat="1" applyFont="1" applyFill="1" applyBorder="1" applyAlignment="1">
      <alignment/>
    </xf>
    <xf numFmtId="2" fontId="4" fillId="6" borderId="0" xfId="0" applyNumberFormat="1" applyFont="1" applyFill="1" applyBorder="1" applyAlignment="1">
      <alignment horizontal="center"/>
    </xf>
    <xf numFmtId="2" fontId="4" fillId="6" borderId="0" xfId="0" applyNumberFormat="1" applyFont="1" applyFill="1" applyBorder="1" applyAlignment="1">
      <alignment/>
    </xf>
    <xf numFmtId="2" fontId="4" fillId="6" borderId="0" xfId="0" applyNumberFormat="1" applyFont="1" applyFill="1" applyBorder="1" applyAlignment="1">
      <alignment wrapText="1"/>
    </xf>
    <xf numFmtId="2" fontId="4" fillId="6" borderId="2" xfId="0" applyNumberFormat="1" applyFont="1" applyFill="1" applyBorder="1" applyAlignment="1">
      <alignment/>
    </xf>
    <xf numFmtId="2" fontId="4" fillId="6" borderId="3" xfId="0" applyNumberFormat="1" applyFont="1" applyFill="1" applyBorder="1" applyAlignment="1">
      <alignment horizontal="center"/>
    </xf>
    <xf numFmtId="2" fontId="4" fillId="6" borderId="3" xfId="0" applyNumberFormat="1" applyFont="1" applyFill="1" applyBorder="1" applyAlignment="1">
      <alignment/>
    </xf>
    <xf numFmtId="2" fontId="4" fillId="6" borderId="3" xfId="0" applyNumberFormat="1" applyFont="1" applyFill="1" applyBorder="1" applyAlignment="1">
      <alignment wrapText="1"/>
    </xf>
    <xf numFmtId="0" fontId="11" fillId="6" borderId="6" xfId="0" applyFont="1" applyFill="1" applyBorder="1" applyAlignment="1">
      <alignment/>
    </xf>
    <xf numFmtId="169" fontId="12" fillId="4" borderId="0" xfId="0" applyNumberFormat="1" applyFont="1" applyFill="1" applyBorder="1" applyAlignment="1">
      <alignment/>
    </xf>
    <xf numFmtId="2" fontId="4" fillId="8" borderId="8" xfId="0" applyNumberFormat="1" applyFont="1" applyFill="1" applyBorder="1" applyAlignment="1">
      <alignment/>
    </xf>
    <xf numFmtId="2" fontId="4" fillId="8" borderId="4" xfId="0" applyNumberFormat="1" applyFont="1" applyFill="1" applyBorder="1" applyAlignment="1">
      <alignment horizontal="center"/>
    </xf>
    <xf numFmtId="2" fontId="4" fillId="8" borderId="4" xfId="0" applyNumberFormat="1" applyFont="1" applyFill="1" applyBorder="1" applyAlignment="1">
      <alignment/>
    </xf>
    <xf numFmtId="2" fontId="4" fillId="8" borderId="4" xfId="0" applyNumberFormat="1" applyFont="1" applyFill="1" applyBorder="1" applyAlignment="1">
      <alignment wrapText="1"/>
    </xf>
    <xf numFmtId="2" fontId="4" fillId="8" borderId="1" xfId="0" applyNumberFormat="1" applyFont="1" applyFill="1" applyBorder="1" applyAlignment="1">
      <alignment/>
    </xf>
    <xf numFmtId="2" fontId="4" fillId="8" borderId="0" xfId="0" applyNumberFormat="1" applyFont="1" applyFill="1" applyBorder="1" applyAlignment="1">
      <alignment horizontal="center"/>
    </xf>
    <xf numFmtId="2" fontId="4" fillId="8" borderId="0" xfId="0" applyNumberFormat="1" applyFont="1" applyFill="1" applyBorder="1" applyAlignment="1">
      <alignment/>
    </xf>
    <xf numFmtId="2" fontId="4" fillId="8" borderId="0" xfId="0" applyNumberFormat="1" applyFont="1" applyFill="1" applyBorder="1" applyAlignment="1">
      <alignment wrapText="1"/>
    </xf>
    <xf numFmtId="2" fontId="4" fillId="8" borderId="2" xfId="0" applyNumberFormat="1" applyFont="1" applyFill="1" applyBorder="1" applyAlignment="1">
      <alignment/>
    </xf>
    <xf numFmtId="2" fontId="4" fillId="8" borderId="3" xfId="0" applyNumberFormat="1" applyFont="1" applyFill="1" applyBorder="1" applyAlignment="1">
      <alignment horizontal="center"/>
    </xf>
    <xf numFmtId="2" fontId="4" fillId="8" borderId="3" xfId="0" applyNumberFormat="1" applyFont="1" applyFill="1" applyBorder="1" applyAlignment="1">
      <alignment/>
    </xf>
    <xf numFmtId="2" fontId="4" fillId="8" borderId="3" xfId="0" applyNumberFormat="1" applyFont="1" applyFill="1" applyBorder="1" applyAlignment="1">
      <alignment wrapText="1"/>
    </xf>
    <xf numFmtId="0" fontId="7" fillId="5" borderId="8" xfId="0" applyFont="1" applyFill="1" applyBorder="1" applyAlignment="1">
      <alignment wrapText="1"/>
    </xf>
    <xf numFmtId="0" fontId="15" fillId="5" borderId="4" xfId="0" applyFont="1" applyFill="1" applyBorder="1" applyAlignment="1">
      <alignment/>
    </xf>
    <xf numFmtId="0" fontId="15" fillId="5" borderId="5" xfId="0" applyFont="1" applyFill="1" applyBorder="1" applyAlignment="1">
      <alignment/>
    </xf>
    <xf numFmtId="0" fontId="15" fillId="5" borderId="0" xfId="0" applyFont="1" applyFill="1" applyBorder="1" applyAlignment="1">
      <alignment/>
    </xf>
    <xf numFmtId="0" fontId="15" fillId="5" borderId="6" xfId="0" applyFont="1" applyFill="1" applyBorder="1" applyAlignment="1">
      <alignment/>
    </xf>
    <xf numFmtId="0" fontId="11" fillId="5" borderId="0" xfId="0" applyFont="1" applyFill="1" applyBorder="1" applyAlignment="1">
      <alignment/>
    </xf>
    <xf numFmtId="0" fontId="11" fillId="5" borderId="6" xfId="0" applyFont="1" applyFill="1" applyBorder="1" applyAlignment="1">
      <alignment/>
    </xf>
    <xf numFmtId="0" fontId="11" fillId="5" borderId="6" xfId="0" applyFont="1" applyFill="1" applyBorder="1" applyAlignment="1">
      <alignment wrapText="1"/>
    </xf>
    <xf numFmtId="0" fontId="11" fillId="5" borderId="7" xfId="0" applyFont="1" applyFill="1" applyBorder="1" applyAlignment="1">
      <alignment wrapText="1"/>
    </xf>
    <xf numFmtId="9" fontId="12" fillId="5" borderId="5" xfId="0" applyNumberFormat="1" applyFont="1" applyFill="1" applyBorder="1" applyAlignment="1">
      <alignment/>
    </xf>
    <xf numFmtId="9" fontId="12" fillId="5" borderId="6" xfId="0" applyNumberFormat="1" applyFont="1" applyFill="1" applyBorder="1" applyAlignment="1">
      <alignment/>
    </xf>
    <xf numFmtId="0" fontId="11" fillId="5" borderId="3" xfId="0" applyFont="1" applyFill="1" applyBorder="1" applyAlignment="1">
      <alignment/>
    </xf>
    <xf numFmtId="2" fontId="4" fillId="2" borderId="4" xfId="0" applyNumberFormat="1" applyFont="1" applyFill="1" applyBorder="1" applyAlignment="1">
      <alignment horizontal="center"/>
    </xf>
    <xf numFmtId="2" fontId="4" fillId="2" borderId="4" xfId="0" applyNumberFormat="1" applyFont="1" applyFill="1" applyBorder="1" applyAlignment="1">
      <alignment/>
    </xf>
    <xf numFmtId="2" fontId="4" fillId="2" borderId="4" xfId="0" applyNumberFormat="1" applyFont="1" applyFill="1" applyBorder="1" applyAlignment="1">
      <alignment wrapText="1"/>
    </xf>
    <xf numFmtId="2" fontId="4" fillId="2" borderId="1" xfId="0" applyNumberFormat="1" applyFont="1" applyFill="1" applyBorder="1" applyAlignment="1">
      <alignment/>
    </xf>
    <xf numFmtId="2" fontId="4" fillId="2" borderId="0" xfId="0" applyNumberFormat="1" applyFont="1" applyFill="1" applyBorder="1" applyAlignment="1">
      <alignment horizontal="center"/>
    </xf>
    <xf numFmtId="2" fontId="4" fillId="2" borderId="0" xfId="0" applyNumberFormat="1" applyFont="1" applyFill="1" applyBorder="1" applyAlignment="1">
      <alignment wrapText="1"/>
    </xf>
    <xf numFmtId="2" fontId="4" fillId="2" borderId="2" xfId="0" applyNumberFormat="1" applyFont="1" applyFill="1" applyBorder="1" applyAlignment="1">
      <alignment/>
    </xf>
    <xf numFmtId="2" fontId="4" fillId="2" borderId="3" xfId="0" applyNumberFormat="1" applyFont="1" applyFill="1" applyBorder="1" applyAlignment="1">
      <alignment/>
    </xf>
    <xf numFmtId="2" fontId="4" fillId="2" borderId="3" xfId="0" applyNumberFormat="1" applyFont="1" applyFill="1" applyBorder="1" applyAlignment="1">
      <alignment wrapText="1"/>
    </xf>
    <xf numFmtId="0" fontId="7" fillId="5" borderId="8" xfId="0" applyFont="1" applyFill="1" applyBorder="1" applyAlignment="1">
      <alignment/>
    </xf>
    <xf numFmtId="0" fontId="3" fillId="4" borderId="0" xfId="0" applyFont="1" applyFill="1" applyBorder="1" applyAlignment="1">
      <alignment/>
    </xf>
    <xf numFmtId="0" fontId="7" fillId="5" borderId="1" xfId="0" applyFont="1" applyFill="1" applyBorder="1" applyAlignment="1">
      <alignment/>
    </xf>
    <xf numFmtId="0" fontId="15" fillId="5" borderId="1" xfId="0" applyFont="1" applyFill="1" applyBorder="1" applyAlignment="1">
      <alignment/>
    </xf>
    <xf numFmtId="0" fontId="15" fillId="5" borderId="2" xfId="0" applyFont="1" applyFill="1" applyBorder="1" applyAlignment="1">
      <alignment/>
    </xf>
    <xf numFmtId="0" fontId="15" fillId="5" borderId="3" xfId="0" applyFont="1" applyFill="1" applyBorder="1" applyAlignment="1">
      <alignment/>
    </xf>
    <xf numFmtId="2" fontId="11" fillId="5" borderId="0" xfId="0" applyNumberFormat="1" applyFont="1" applyFill="1" applyBorder="1" applyAlignment="1">
      <alignment/>
    </xf>
    <xf numFmtId="2" fontId="15" fillId="5" borderId="0" xfId="0" applyNumberFormat="1" applyFont="1" applyFill="1" applyBorder="1" applyAlignment="1">
      <alignment/>
    </xf>
    <xf numFmtId="0" fontId="11" fillId="5" borderId="0" xfId="0" applyFont="1" applyFill="1" applyBorder="1" applyAlignment="1">
      <alignment horizontal="center" wrapText="1"/>
    </xf>
    <xf numFmtId="2" fontId="4" fillId="2" borderId="5" xfId="0" applyNumberFormat="1" applyFont="1" applyFill="1" applyBorder="1" applyAlignment="1">
      <alignment/>
    </xf>
    <xf numFmtId="2" fontId="4" fillId="2" borderId="6" xfId="0" applyNumberFormat="1" applyFont="1" applyFill="1" applyBorder="1" applyAlignment="1">
      <alignment/>
    </xf>
    <xf numFmtId="2" fontId="4" fillId="2" borderId="7" xfId="0" applyNumberFormat="1" applyFont="1" applyFill="1" applyBorder="1" applyAlignment="1">
      <alignment/>
    </xf>
    <xf numFmtId="2" fontId="4" fillId="6" borderId="5" xfId="0" applyNumberFormat="1" applyFont="1" applyFill="1" applyBorder="1" applyAlignment="1">
      <alignment/>
    </xf>
    <xf numFmtId="2" fontId="4" fillId="6" borderId="6" xfId="0" applyNumberFormat="1" applyFont="1" applyFill="1" applyBorder="1" applyAlignment="1">
      <alignment/>
    </xf>
    <xf numFmtId="2" fontId="4" fillId="8" borderId="5" xfId="0" applyNumberFormat="1" applyFont="1" applyFill="1" applyBorder="1" applyAlignment="1">
      <alignment/>
    </xf>
    <xf numFmtId="2" fontId="4" fillId="8" borderId="6" xfId="0" applyNumberFormat="1" applyFont="1" applyFill="1" applyBorder="1" applyAlignment="1">
      <alignment/>
    </xf>
    <xf numFmtId="2" fontId="4" fillId="8" borderId="7" xfId="0" applyNumberFormat="1" applyFont="1" applyFill="1" applyBorder="1" applyAlignment="1">
      <alignment/>
    </xf>
    <xf numFmtId="0" fontId="11" fillId="8" borderId="6" xfId="0" applyFont="1" applyFill="1" applyBorder="1" applyAlignment="1">
      <alignment/>
    </xf>
    <xf numFmtId="0" fontId="11" fillId="8" borderId="7" xfId="0" applyFont="1" applyFill="1" applyBorder="1" applyAlignment="1">
      <alignment/>
    </xf>
    <xf numFmtId="168" fontId="4" fillId="3" borderId="4" xfId="0" applyNumberFormat="1" applyFont="1" applyFill="1" applyBorder="1" applyAlignment="1">
      <alignment wrapText="1"/>
    </xf>
    <xf numFmtId="168" fontId="4" fillId="3" borderId="5" xfId="0" applyNumberFormat="1" applyFont="1" applyFill="1" applyBorder="1" applyAlignment="1">
      <alignment/>
    </xf>
    <xf numFmtId="168" fontId="4" fillId="3" borderId="0" xfId="0" applyNumberFormat="1" applyFont="1" applyFill="1" applyBorder="1" applyAlignment="1">
      <alignment wrapText="1"/>
    </xf>
    <xf numFmtId="168" fontId="4" fillId="3" borderId="6" xfId="0" applyNumberFormat="1" applyFont="1" applyFill="1" applyBorder="1" applyAlignment="1">
      <alignment/>
    </xf>
    <xf numFmtId="0" fontId="4" fillId="3" borderId="0" xfId="0" applyFont="1" applyFill="1" applyBorder="1" applyAlignment="1">
      <alignment wrapText="1"/>
    </xf>
    <xf numFmtId="168" fontId="4" fillId="3" borderId="3" xfId="0" applyNumberFormat="1" applyFont="1" applyFill="1" applyBorder="1" applyAlignment="1">
      <alignment wrapText="1"/>
    </xf>
    <xf numFmtId="168" fontId="4" fillId="3" borderId="7" xfId="0" applyNumberFormat="1" applyFont="1" applyFill="1" applyBorder="1" applyAlignment="1">
      <alignment/>
    </xf>
    <xf numFmtId="9" fontId="12" fillId="4" borderId="0" xfId="0" applyNumberFormat="1" applyFont="1" applyFill="1" applyBorder="1" applyAlignment="1">
      <alignment/>
    </xf>
    <xf numFmtId="174" fontId="4" fillId="4" borderId="0" xfId="0" applyNumberFormat="1" applyFont="1" applyFill="1" applyBorder="1" applyAlignment="1">
      <alignment/>
    </xf>
    <xf numFmtId="0" fontId="11" fillId="4" borderId="0" xfId="0" applyFont="1" applyFill="1" applyBorder="1" applyAlignment="1">
      <alignment horizontal="right" vertical="top" wrapText="1"/>
    </xf>
    <xf numFmtId="0" fontId="4" fillId="4" borderId="0" xfId="0" applyFont="1" applyFill="1" applyBorder="1" applyAlignment="1">
      <alignment vertical="top" wrapText="1"/>
    </xf>
    <xf numFmtId="9" fontId="12" fillId="4" borderId="0" xfId="25" applyFont="1" applyFill="1" applyBorder="1" applyAlignment="1">
      <alignment/>
    </xf>
    <xf numFmtId="9" fontId="4" fillId="4" borderId="0" xfId="25" applyFont="1" applyFill="1" applyBorder="1" applyAlignment="1">
      <alignment/>
    </xf>
    <xf numFmtId="0" fontId="3" fillId="4" borderId="0" xfId="0" applyFont="1" applyFill="1" applyBorder="1" applyAlignment="1">
      <alignment horizontal="right"/>
    </xf>
    <xf numFmtId="168" fontId="4" fillId="6" borderId="1" xfId="0" applyNumberFormat="1" applyFont="1" applyFill="1" applyBorder="1" applyAlignment="1">
      <alignment/>
    </xf>
    <xf numFmtId="0" fontId="11" fillId="6" borderId="8" xfId="0" applyFont="1" applyFill="1" applyBorder="1" applyAlignment="1">
      <alignment/>
    </xf>
    <xf numFmtId="174" fontId="3" fillId="4" borderId="0" xfId="25" applyNumberFormat="1" applyFont="1" applyFill="1" applyBorder="1" applyAlignment="1">
      <alignment/>
    </xf>
    <xf numFmtId="0" fontId="4" fillId="4" borderId="0" xfId="24" applyFont="1" applyFill="1" applyBorder="1" applyAlignment="1">
      <alignment horizontal="center"/>
      <protection/>
    </xf>
    <xf numFmtId="170" fontId="4" fillId="4" borderId="0" xfId="24" applyNumberFormat="1" applyFont="1" applyFill="1" applyBorder="1">
      <alignment/>
      <protection/>
    </xf>
    <xf numFmtId="0" fontId="3" fillId="4" borderId="0" xfId="24" applyFont="1" applyFill="1" applyBorder="1">
      <alignment/>
      <protection/>
    </xf>
    <xf numFmtId="2" fontId="4" fillId="4" borderId="0" xfId="24" applyNumberFormat="1" applyFont="1" applyFill="1" applyBorder="1">
      <alignment/>
      <protection/>
    </xf>
    <xf numFmtId="9" fontId="3" fillId="4" borderId="0" xfId="25" applyFont="1" applyFill="1" applyBorder="1" applyAlignment="1">
      <alignment/>
    </xf>
    <xf numFmtId="0" fontId="16" fillId="4" borderId="0" xfId="0" applyFont="1" applyFill="1" applyAlignment="1">
      <alignment/>
    </xf>
    <xf numFmtId="0" fontId="4" fillId="3" borderId="1" xfId="24" applyFont="1" applyFill="1" applyBorder="1" applyAlignment="1">
      <alignment horizontal="center"/>
      <protection/>
    </xf>
    <xf numFmtId="0" fontId="4" fillId="3" borderId="0" xfId="24" applyFont="1" applyFill="1" applyBorder="1" applyAlignment="1">
      <alignment horizontal="center"/>
      <protection/>
    </xf>
    <xf numFmtId="170" fontId="4" fillId="3" borderId="0" xfId="24" applyNumberFormat="1" applyFont="1" applyFill="1" applyBorder="1">
      <alignment/>
      <protection/>
    </xf>
    <xf numFmtId="0" fontId="4" fillId="3" borderId="0" xfId="24" applyFont="1" applyFill="1" applyBorder="1">
      <alignment/>
      <protection/>
    </xf>
    <xf numFmtId="0" fontId="4" fillId="3" borderId="6" xfId="24" applyFont="1" applyFill="1" applyBorder="1">
      <alignment/>
      <protection/>
    </xf>
    <xf numFmtId="0" fontId="4" fillId="3" borderId="1" xfId="24" applyFont="1" applyFill="1" applyBorder="1">
      <alignment/>
      <protection/>
    </xf>
    <xf numFmtId="168" fontId="4" fillId="3" borderId="0" xfId="24" applyNumberFormat="1" applyFont="1" applyFill="1" applyBorder="1">
      <alignment/>
      <protection/>
    </xf>
    <xf numFmtId="0" fontId="4" fillId="4" borderId="0" xfId="24" applyFont="1" applyFill="1" applyBorder="1" applyAlignment="1">
      <alignment horizontal="center" wrapText="1"/>
      <protection/>
    </xf>
    <xf numFmtId="170" fontId="5" fillId="4" borderId="0" xfId="24" applyNumberFormat="1" applyFont="1" applyFill="1" applyBorder="1">
      <alignment/>
      <protection/>
    </xf>
    <xf numFmtId="168" fontId="4" fillId="4" borderId="0" xfId="24" applyNumberFormat="1" applyFont="1" applyFill="1" applyBorder="1" applyAlignment="1">
      <alignment horizontal="right" wrapText="1"/>
      <protection/>
    </xf>
    <xf numFmtId="2" fontId="4" fillId="4" borderId="0" xfId="24" applyNumberFormat="1" applyFont="1" applyFill="1" applyBorder="1" applyAlignment="1">
      <alignment horizontal="right" wrapText="1"/>
      <protection/>
    </xf>
    <xf numFmtId="4" fontId="4" fillId="4" borderId="0" xfId="24" applyNumberFormat="1" applyFont="1" applyFill="1" applyBorder="1" applyAlignment="1">
      <alignment horizontal="right" wrapText="1"/>
      <protection/>
    </xf>
    <xf numFmtId="169" fontId="4" fillId="4" borderId="0" xfId="24" applyNumberFormat="1" applyFont="1" applyFill="1" applyBorder="1" applyAlignment="1">
      <alignment horizontal="right" wrapText="1"/>
      <protection/>
    </xf>
    <xf numFmtId="170" fontId="4" fillId="4" borderId="0" xfId="24" applyNumberFormat="1" applyFont="1" applyFill="1" applyBorder="1" applyAlignment="1">
      <alignment horizontal="right" wrapText="1"/>
      <protection/>
    </xf>
    <xf numFmtId="168" fontId="4" fillId="4" borderId="0" xfId="24" applyNumberFormat="1" applyFont="1" applyFill="1" applyBorder="1">
      <alignment/>
      <protection/>
    </xf>
    <xf numFmtId="168" fontId="17" fillId="4" borderId="0" xfId="24" applyNumberFormat="1" applyFont="1" applyFill="1" applyBorder="1">
      <alignment/>
      <protection/>
    </xf>
    <xf numFmtId="0" fontId="4" fillId="4" borderId="0" xfId="24" applyFont="1" applyFill="1" applyBorder="1" applyAlignment="1">
      <alignment/>
      <protection/>
    </xf>
    <xf numFmtId="0" fontId="3" fillId="4" borderId="0" xfId="24" applyFont="1" applyFill="1" applyBorder="1" applyAlignment="1">
      <alignment horizontal="left"/>
      <protection/>
    </xf>
    <xf numFmtId="9" fontId="4" fillId="4" borderId="0" xfId="0" applyNumberFormat="1" applyFont="1" applyFill="1" applyBorder="1" applyAlignment="1">
      <alignment/>
    </xf>
    <xf numFmtId="170" fontId="4" fillId="4" borderId="0" xfId="0" applyNumberFormat="1" applyFont="1" applyFill="1" applyBorder="1" applyAlignment="1">
      <alignment/>
    </xf>
    <xf numFmtId="0" fontId="4" fillId="4" borderId="0" xfId="24" applyFont="1" applyFill="1" applyBorder="1" applyAlignment="1">
      <alignment wrapText="1"/>
      <protection/>
    </xf>
    <xf numFmtId="0" fontId="18" fillId="4" borderId="0" xfId="24" applyFont="1" applyFill="1" applyBorder="1">
      <alignment/>
      <protection/>
    </xf>
    <xf numFmtId="0" fontId="3" fillId="4" borderId="0" xfId="24" applyFont="1" applyFill="1" applyBorder="1" applyAlignment="1">
      <alignment horizontal="left" vertical="top"/>
      <protection/>
    </xf>
    <xf numFmtId="0" fontId="3" fillId="4" borderId="0" xfId="24" applyFont="1" applyFill="1" applyBorder="1" applyAlignment="1">
      <alignment horizontal="right"/>
      <protection/>
    </xf>
    <xf numFmtId="168" fontId="4" fillId="3" borderId="0" xfId="24" applyNumberFormat="1" applyFont="1" applyFill="1" applyBorder="1" applyAlignment="1">
      <alignment horizontal="right" wrapText="1"/>
      <protection/>
    </xf>
    <xf numFmtId="169" fontId="4" fillId="3" borderId="0" xfId="24" applyNumberFormat="1" applyFont="1" applyFill="1" applyBorder="1" applyAlignment="1">
      <alignment horizontal="right" wrapText="1"/>
      <protection/>
    </xf>
    <xf numFmtId="170" fontId="4" fillId="3" borderId="0" xfId="24" applyNumberFormat="1" applyFont="1" applyFill="1" applyBorder="1" applyAlignment="1">
      <alignment horizontal="right" wrapText="1"/>
      <protection/>
    </xf>
    <xf numFmtId="0" fontId="4" fillId="3" borderId="4" xfId="24" applyFont="1" applyFill="1" applyBorder="1">
      <alignment/>
      <protection/>
    </xf>
    <xf numFmtId="0" fontId="5" fillId="3" borderId="4" xfId="24" applyFont="1" applyFill="1" applyBorder="1">
      <alignment/>
      <protection/>
    </xf>
    <xf numFmtId="0" fontId="4" fillId="3" borderId="0" xfId="24" applyFont="1" applyFill="1" applyBorder="1" applyAlignment="1">
      <alignment horizontal="center" wrapText="1"/>
      <protection/>
    </xf>
    <xf numFmtId="0" fontId="5" fillId="3" borderId="0" xfId="24" applyFont="1" applyFill="1" applyBorder="1">
      <alignment/>
      <protection/>
    </xf>
    <xf numFmtId="0" fontId="11" fillId="3" borderId="0" xfId="24" applyFont="1" applyFill="1" applyBorder="1" applyAlignment="1">
      <alignment horizontal="center" wrapText="1"/>
      <protection/>
    </xf>
    <xf numFmtId="0" fontId="11" fillId="3" borderId="1" xfId="24" applyFont="1" applyFill="1" applyBorder="1" applyAlignment="1">
      <alignment horizontal="center" wrapText="1"/>
      <protection/>
    </xf>
    <xf numFmtId="0" fontId="19" fillId="3" borderId="6" xfId="0" applyFont="1" applyFill="1" applyBorder="1" applyAlignment="1">
      <alignment/>
    </xf>
    <xf numFmtId="0" fontId="20" fillId="3" borderId="1" xfId="24" applyFont="1" applyFill="1" applyBorder="1" applyAlignment="1">
      <alignment horizontal="center" wrapText="1"/>
      <protection/>
    </xf>
    <xf numFmtId="0" fontId="20" fillId="3" borderId="0" xfId="24" applyFont="1" applyFill="1" applyBorder="1" applyAlignment="1">
      <alignment horizontal="center" wrapText="1"/>
      <protection/>
    </xf>
    <xf numFmtId="170" fontId="19" fillId="3" borderId="0" xfId="24" applyNumberFormat="1" applyFont="1" applyFill="1" applyBorder="1">
      <alignment/>
      <protection/>
    </xf>
    <xf numFmtId="168" fontId="19" fillId="3" borderId="0" xfId="24" applyNumberFormat="1" applyFont="1" applyFill="1" applyBorder="1" applyAlignment="1">
      <alignment horizontal="right" wrapText="1"/>
      <protection/>
    </xf>
    <xf numFmtId="169" fontId="19" fillId="3" borderId="0" xfId="24" applyNumberFormat="1" applyFont="1" applyFill="1" applyBorder="1" applyAlignment="1">
      <alignment horizontal="right" wrapText="1"/>
      <protection/>
    </xf>
    <xf numFmtId="0" fontId="19" fillId="3" borderId="0" xfId="24" applyFont="1" applyFill="1" applyBorder="1">
      <alignment/>
      <protection/>
    </xf>
    <xf numFmtId="170" fontId="19" fillId="3" borderId="0" xfId="24" applyNumberFormat="1" applyFont="1" applyFill="1" applyBorder="1" applyAlignment="1">
      <alignment horizontal="right" wrapText="1"/>
      <protection/>
    </xf>
    <xf numFmtId="0" fontId="20" fillId="3" borderId="0" xfId="24" applyFont="1" applyFill="1" applyBorder="1" applyAlignment="1">
      <alignment horizontal="left"/>
      <protection/>
    </xf>
    <xf numFmtId="0" fontId="20" fillId="3" borderId="1" xfId="24" applyFont="1" applyFill="1" applyBorder="1" applyAlignment="1">
      <alignment wrapText="1"/>
      <protection/>
    </xf>
    <xf numFmtId="0" fontId="20" fillId="3" borderId="0" xfId="24" applyFont="1" applyFill="1" applyBorder="1" applyAlignment="1">
      <alignment wrapText="1"/>
      <protection/>
    </xf>
    <xf numFmtId="0" fontId="19" fillId="3" borderId="1" xfId="0" applyFont="1" applyFill="1" applyBorder="1" applyAlignment="1">
      <alignment/>
    </xf>
    <xf numFmtId="0" fontId="19" fillId="3" borderId="0" xfId="0" applyFont="1" applyFill="1" applyBorder="1" applyAlignment="1">
      <alignment/>
    </xf>
    <xf numFmtId="0" fontId="19" fillId="4" borderId="0" xfId="0" applyFont="1" applyFill="1" applyBorder="1" applyAlignment="1">
      <alignment/>
    </xf>
    <xf numFmtId="0" fontId="3" fillId="5" borderId="4" xfId="0" applyFont="1" applyFill="1" applyBorder="1" applyAlignment="1">
      <alignment horizontal="center"/>
    </xf>
    <xf numFmtId="0" fontId="3" fillId="5" borderId="5" xfId="0" applyFont="1" applyFill="1" applyBorder="1" applyAlignment="1">
      <alignment horizontal="center"/>
    </xf>
    <xf numFmtId="0" fontId="4" fillId="5" borderId="0" xfId="19" applyFont="1" applyFill="1" applyBorder="1" applyAlignment="1">
      <alignment/>
      <protection locked="0"/>
    </xf>
    <xf numFmtId="1" fontId="4" fillId="5" borderId="0" xfId="19" applyNumberFormat="1" applyFont="1" applyFill="1" applyBorder="1" applyAlignment="1">
      <alignment/>
      <protection locked="0"/>
    </xf>
    <xf numFmtId="0" fontId="4" fillId="5" borderId="6" xfId="19" applyFont="1" applyFill="1" applyBorder="1" applyAlignment="1">
      <alignment/>
      <protection locked="0"/>
    </xf>
    <xf numFmtId="2" fontId="4" fillId="5" borderId="0" xfId="19" applyNumberFormat="1" applyFont="1" applyFill="1" applyBorder="1" applyAlignment="1">
      <alignment/>
      <protection locked="0"/>
    </xf>
    <xf numFmtId="2" fontId="4" fillId="5" borderId="6" xfId="19" applyNumberFormat="1" applyFont="1" applyFill="1" applyBorder="1" applyAlignment="1">
      <alignment/>
      <protection locked="0"/>
    </xf>
    <xf numFmtId="9" fontId="4" fillId="5" borderId="3" xfId="19" applyNumberFormat="1" applyFont="1" applyFill="1" applyBorder="1" applyAlignment="1">
      <alignment/>
      <protection locked="0"/>
    </xf>
    <xf numFmtId="9" fontId="4" fillId="5" borderId="7" xfId="19" applyNumberFormat="1" applyFont="1" applyFill="1" applyBorder="1" applyAlignment="1">
      <alignment/>
      <protection locked="0"/>
    </xf>
    <xf numFmtId="0" fontId="4" fillId="3" borderId="5" xfId="24" applyFont="1" applyFill="1" applyBorder="1">
      <alignment/>
      <protection/>
    </xf>
    <xf numFmtId="0" fontId="18" fillId="3" borderId="0" xfId="0" applyFont="1" applyFill="1" applyBorder="1" applyAlignment="1">
      <alignment/>
    </xf>
    <xf numFmtId="1" fontId="12" fillId="3" borderId="0" xfId="24" applyNumberFormat="1" applyFont="1" applyFill="1" applyBorder="1" applyAlignment="1">
      <alignment horizontal="right" wrapText="1"/>
      <protection/>
    </xf>
    <xf numFmtId="0" fontId="12" fillId="3" borderId="0" xfId="24" applyFont="1" applyFill="1" applyBorder="1">
      <alignment/>
      <protection/>
    </xf>
    <xf numFmtId="0" fontId="4" fillId="3" borderId="2" xfId="24" applyFont="1" applyFill="1" applyBorder="1" applyAlignment="1">
      <alignment horizontal="center"/>
      <protection/>
    </xf>
    <xf numFmtId="1" fontId="12" fillId="3" borderId="3" xfId="24" applyNumberFormat="1" applyFont="1" applyFill="1" applyBorder="1" applyAlignment="1">
      <alignment horizontal="right" wrapText="1"/>
      <protection/>
    </xf>
    <xf numFmtId="0" fontId="12" fillId="3" borderId="3" xfId="0" applyFont="1" applyFill="1" applyBorder="1" applyAlignment="1">
      <alignment/>
    </xf>
    <xf numFmtId="0" fontId="12" fillId="3" borderId="3" xfId="24" applyFont="1" applyFill="1" applyBorder="1">
      <alignment/>
      <protection/>
    </xf>
    <xf numFmtId="0" fontId="11" fillId="3" borderId="1" xfId="24" applyFont="1" applyFill="1" applyBorder="1">
      <alignment/>
      <protection/>
    </xf>
    <xf numFmtId="0" fontId="13" fillId="5" borderId="1" xfId="24" applyFont="1" applyFill="1" applyBorder="1">
      <alignment/>
      <protection/>
    </xf>
    <xf numFmtId="0" fontId="4" fillId="5" borderId="0" xfId="24" applyFont="1" applyFill="1" applyBorder="1">
      <alignment/>
      <protection/>
    </xf>
    <xf numFmtId="0" fontId="11" fillId="5" borderId="1" xfId="24" applyFont="1" applyFill="1" applyBorder="1">
      <alignment/>
      <protection/>
    </xf>
    <xf numFmtId="0" fontId="4" fillId="5" borderId="0" xfId="24" applyFont="1" applyFill="1" applyBorder="1" applyAlignment="1">
      <alignment horizontal="center"/>
      <protection/>
    </xf>
    <xf numFmtId="3" fontId="12" fillId="5" borderId="0" xfId="20" applyNumberFormat="1" applyFont="1" applyFill="1" applyBorder="1" applyAlignment="1">
      <alignment/>
      <protection locked="0"/>
    </xf>
    <xf numFmtId="0" fontId="11" fillId="5" borderId="0" xfId="24" applyFont="1" applyFill="1" applyBorder="1" applyAlignment="1">
      <alignment horizontal="right"/>
      <protection/>
    </xf>
    <xf numFmtId="0" fontId="4" fillId="5" borderId="0" xfId="24" applyFont="1" applyFill="1" applyBorder="1" applyAlignment="1">
      <alignment horizontal="right"/>
      <protection/>
    </xf>
    <xf numFmtId="0" fontId="5" fillId="5" borderId="6" xfId="20" applyFont="1" applyFill="1" applyBorder="1" applyAlignment="1">
      <alignment/>
      <protection locked="0"/>
    </xf>
    <xf numFmtId="0" fontId="3" fillId="5" borderId="1" xfId="24" applyFont="1" applyFill="1" applyBorder="1">
      <alignment/>
      <protection/>
    </xf>
    <xf numFmtId="0" fontId="5" fillId="5" borderId="0" xfId="0" applyFont="1" applyFill="1" applyBorder="1" applyAlignment="1">
      <alignment/>
    </xf>
    <xf numFmtId="0" fontId="3" fillId="5" borderId="1" xfId="0" applyFont="1" applyFill="1" applyBorder="1" applyAlignment="1">
      <alignment/>
    </xf>
    <xf numFmtId="0" fontId="4" fillId="5" borderId="2" xfId="24" applyFont="1" applyFill="1" applyBorder="1">
      <alignment/>
      <protection/>
    </xf>
    <xf numFmtId="0" fontId="4" fillId="5" borderId="3" xfId="24" applyFont="1" applyFill="1" applyBorder="1">
      <alignment/>
      <protection/>
    </xf>
    <xf numFmtId="0" fontId="4" fillId="5" borderId="7" xfId="24" applyFont="1" applyFill="1" applyBorder="1">
      <alignment/>
      <protection/>
    </xf>
    <xf numFmtId="0" fontId="21" fillId="3" borderId="0" xfId="0" applyFont="1" applyFill="1" applyBorder="1" applyAlignment="1">
      <alignment/>
    </xf>
    <xf numFmtId="0" fontId="7" fillId="3" borderId="0" xfId="24" applyFont="1" applyFill="1" applyBorder="1" applyAlignment="1">
      <alignment/>
      <protection/>
    </xf>
    <xf numFmtId="0" fontId="7" fillId="3" borderId="1" xfId="24" applyFont="1" applyFill="1" applyBorder="1" applyAlignment="1">
      <alignment/>
      <protection/>
    </xf>
    <xf numFmtId="0" fontId="0" fillId="3" borderId="0" xfId="0" applyFont="1" applyFill="1" applyBorder="1" applyAlignment="1">
      <alignment/>
    </xf>
    <xf numFmtId="0" fontId="21" fillId="3" borderId="1" xfId="0" applyFont="1" applyFill="1" applyBorder="1" applyAlignment="1">
      <alignment/>
    </xf>
    <xf numFmtId="174" fontId="3" fillId="3" borderId="1" xfId="25" applyNumberFormat="1" applyFont="1" applyFill="1" applyBorder="1" applyAlignment="1">
      <alignment horizontal="left"/>
    </xf>
    <xf numFmtId="0" fontId="11" fillId="3" borderId="1" xfId="24" applyFont="1" applyFill="1" applyBorder="1" applyAlignment="1">
      <alignment wrapText="1"/>
      <protection/>
    </xf>
    <xf numFmtId="0" fontId="11" fillId="3" borderId="0" xfId="24" applyFont="1" applyFill="1" applyBorder="1" applyAlignment="1">
      <alignment wrapText="1"/>
      <protection/>
    </xf>
    <xf numFmtId="0" fontId="11" fillId="3" borderId="0" xfId="24" applyFont="1" applyFill="1" applyBorder="1" applyAlignment="1">
      <alignment horizontal="left"/>
      <protection/>
    </xf>
    <xf numFmtId="169" fontId="4" fillId="3" borderId="0" xfId="24" applyNumberFormat="1" applyFont="1" applyFill="1" applyBorder="1">
      <alignment/>
      <protection/>
    </xf>
    <xf numFmtId="0" fontId="7" fillId="2" borderId="10" xfId="0" applyFont="1" applyFill="1" applyBorder="1" applyAlignment="1">
      <alignment/>
    </xf>
    <xf numFmtId="0" fontId="7" fillId="7" borderId="10" xfId="0"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8" fontId="4" fillId="2" borderId="10" xfId="0" applyNumberFormat="1" applyFont="1" applyFill="1" applyBorder="1" applyAlignment="1">
      <alignment/>
    </xf>
    <xf numFmtId="0" fontId="4" fillId="2" borderId="10" xfId="0" applyFont="1" applyFill="1" applyBorder="1" applyAlignment="1">
      <alignment horizontal="right"/>
    </xf>
    <xf numFmtId="0" fontId="4" fillId="2" borderId="12" xfId="0" applyFont="1" applyFill="1" applyBorder="1" applyAlignment="1">
      <alignment/>
    </xf>
    <xf numFmtId="0" fontId="4" fillId="2" borderId="13" xfId="0" applyFont="1" applyFill="1" applyBorder="1" applyAlignment="1">
      <alignment/>
    </xf>
    <xf numFmtId="10" fontId="4" fillId="2" borderId="0" xfId="0" applyNumberFormat="1" applyFont="1" applyFill="1" applyBorder="1" applyAlignment="1">
      <alignment/>
    </xf>
    <xf numFmtId="0" fontId="4" fillId="2" borderId="0" xfId="0" applyFont="1" applyFill="1" applyBorder="1" applyAlignment="1">
      <alignment horizontal="right"/>
    </xf>
    <xf numFmtId="0" fontId="4" fillId="2" borderId="14" xfId="0" applyFont="1" applyFill="1" applyBorder="1" applyAlignment="1">
      <alignment/>
    </xf>
    <xf numFmtId="3" fontId="4" fillId="2" borderId="0" xfId="15" applyNumberFormat="1" applyFont="1" applyFill="1" applyBorder="1" applyAlignment="1">
      <alignment/>
    </xf>
    <xf numFmtId="3" fontId="4" fillId="2" borderId="0" xfId="0" applyNumberFormat="1" applyFont="1" applyFill="1" applyBorder="1" applyAlignment="1">
      <alignment/>
    </xf>
    <xf numFmtId="3" fontId="4" fillId="2" borderId="0" xfId="0" applyNumberFormat="1" applyFont="1" applyFill="1" applyBorder="1" applyAlignment="1">
      <alignment horizontal="right"/>
    </xf>
    <xf numFmtId="0" fontId="4" fillId="2" borderId="15" xfId="0" applyFont="1" applyFill="1" applyBorder="1" applyAlignment="1">
      <alignment/>
    </xf>
    <xf numFmtId="0" fontId="4" fillId="2" borderId="16" xfId="0" applyFont="1" applyFill="1" applyBorder="1" applyAlignment="1">
      <alignment/>
    </xf>
    <xf numFmtId="0" fontId="4" fillId="2" borderId="16" xfId="0" applyFont="1" applyFill="1" applyBorder="1" applyAlignment="1">
      <alignment horizontal="right"/>
    </xf>
    <xf numFmtId="0" fontId="4" fillId="2" borderId="17" xfId="0" applyFont="1" applyFill="1" applyBorder="1" applyAlignment="1">
      <alignment/>
    </xf>
    <xf numFmtId="0" fontId="4" fillId="7" borderId="11" xfId="0" applyFont="1" applyFill="1" applyBorder="1" applyAlignment="1">
      <alignment/>
    </xf>
    <xf numFmtId="0" fontId="4" fillId="7" borderId="10" xfId="0" applyFont="1" applyFill="1" applyBorder="1" applyAlignment="1">
      <alignment/>
    </xf>
    <xf numFmtId="0" fontId="4" fillId="7" borderId="10" xfId="0" applyFont="1" applyFill="1" applyBorder="1" applyAlignment="1">
      <alignment horizontal="right"/>
    </xf>
    <xf numFmtId="0" fontId="4" fillId="7" borderId="12" xfId="0" applyFont="1" applyFill="1" applyBorder="1" applyAlignment="1">
      <alignment/>
    </xf>
    <xf numFmtId="0" fontId="4" fillId="7" borderId="13" xfId="0" applyFont="1" applyFill="1" applyBorder="1" applyAlignment="1">
      <alignment/>
    </xf>
    <xf numFmtId="0" fontId="4" fillId="7" borderId="0" xfId="0" applyFont="1" applyFill="1" applyBorder="1" applyAlignment="1">
      <alignment horizontal="right"/>
    </xf>
    <xf numFmtId="0" fontId="4" fillId="7" borderId="14" xfId="0" applyFont="1" applyFill="1" applyBorder="1" applyAlignment="1">
      <alignment/>
    </xf>
    <xf numFmtId="3" fontId="4" fillId="7" borderId="0" xfId="0" applyNumberFormat="1" applyFont="1" applyFill="1" applyBorder="1" applyAlignment="1">
      <alignment/>
    </xf>
    <xf numFmtId="3" fontId="4" fillId="7" borderId="0" xfId="0" applyNumberFormat="1" applyFont="1" applyFill="1" applyBorder="1" applyAlignment="1">
      <alignment horizontal="right"/>
    </xf>
    <xf numFmtId="0" fontId="4" fillId="7" borderId="15" xfId="0" applyFont="1" applyFill="1" applyBorder="1" applyAlignment="1">
      <alignment/>
    </xf>
    <xf numFmtId="0" fontId="4" fillId="7" borderId="16" xfId="0" applyFont="1" applyFill="1" applyBorder="1" applyAlignment="1">
      <alignment/>
    </xf>
    <xf numFmtId="0" fontId="4" fillId="7" borderId="16" xfId="0" applyFont="1" applyFill="1" applyBorder="1" applyAlignment="1">
      <alignment horizontal="right"/>
    </xf>
    <xf numFmtId="0" fontId="4" fillId="7" borderId="17" xfId="0" applyFont="1" applyFill="1" applyBorder="1" applyAlignment="1">
      <alignment/>
    </xf>
    <xf numFmtId="0" fontId="7" fillId="3" borderId="0" xfId="24" applyFont="1" applyFill="1" applyBorder="1" applyAlignment="1">
      <alignment horizontal="left"/>
      <protection/>
    </xf>
    <xf numFmtId="0" fontId="4" fillId="4" borderId="0" xfId="24" applyFont="1" applyFill="1" applyBorder="1">
      <alignment/>
      <protection/>
    </xf>
    <xf numFmtId="4" fontId="11" fillId="4" borderId="0" xfId="24" applyNumberFormat="1" applyFont="1" applyFill="1" applyBorder="1">
      <alignment/>
      <protection/>
    </xf>
    <xf numFmtId="168" fontId="11" fillId="4" borderId="0" xfId="25" applyNumberFormat="1" applyFont="1" applyFill="1" applyBorder="1" applyAlignment="1">
      <alignment horizontal="right"/>
    </xf>
    <xf numFmtId="0" fontId="4" fillId="4" borderId="0" xfId="24" applyFont="1" applyFill="1" applyBorder="1" applyAlignment="1">
      <alignment horizontal="center"/>
      <protection/>
    </xf>
    <xf numFmtId="9" fontId="11" fillId="4" borderId="0" xfId="25" applyFont="1" applyFill="1" applyBorder="1" applyAlignment="1">
      <alignment/>
    </xf>
    <xf numFmtId="9" fontId="4" fillId="4" borderId="0" xfId="25" applyFont="1" applyFill="1" applyBorder="1" applyAlignment="1">
      <alignment horizontal="right"/>
    </xf>
    <xf numFmtId="174" fontId="3" fillId="4" borderId="0" xfId="25" applyNumberFormat="1" applyFont="1" applyFill="1" applyBorder="1" applyAlignment="1">
      <alignment horizontal="right"/>
    </xf>
    <xf numFmtId="9" fontId="11" fillId="4" borderId="0" xfId="25" applyFont="1" applyFill="1" applyBorder="1" applyAlignment="1">
      <alignment horizontal="right"/>
    </xf>
    <xf numFmtId="0" fontId="4" fillId="4" borderId="0" xfId="24" applyFont="1" applyFill="1" applyBorder="1" applyAlignment="1">
      <alignment horizontal="right"/>
      <protection/>
    </xf>
    <xf numFmtId="1" fontId="11" fillId="4" borderId="0" xfId="24" applyNumberFormat="1" applyFont="1" applyFill="1" applyBorder="1">
      <alignment/>
      <protection/>
    </xf>
    <xf numFmtId="0" fontId="11" fillId="4" borderId="0" xfId="24" applyFont="1" applyFill="1" applyBorder="1" applyAlignment="1">
      <alignment horizontal="right"/>
      <protection/>
    </xf>
    <xf numFmtId="0" fontId="11" fillId="4" borderId="0" xfId="24" applyFont="1" applyFill="1" applyBorder="1">
      <alignment/>
      <protection/>
    </xf>
    <xf numFmtId="9" fontId="3" fillId="4" borderId="0" xfId="25" applyFont="1" applyFill="1" applyBorder="1" applyAlignment="1">
      <alignment horizontal="right"/>
    </xf>
    <xf numFmtId="9" fontId="4" fillId="4" borderId="0" xfId="25" applyFont="1" applyFill="1" applyBorder="1" applyAlignment="1">
      <alignment horizontal="right"/>
    </xf>
    <xf numFmtId="168" fontId="4" fillId="4" borderId="0" xfId="24" applyNumberFormat="1" applyFont="1" applyFill="1" applyBorder="1" applyAlignment="1">
      <alignment horizontal="right" wrapText="1"/>
      <protection/>
    </xf>
    <xf numFmtId="170" fontId="4" fillId="4" borderId="0" xfId="25" applyNumberFormat="1" applyFont="1" applyFill="1" applyBorder="1" applyAlignment="1">
      <alignment/>
    </xf>
    <xf numFmtId="1" fontId="4" fillId="4" borderId="0" xfId="24" applyNumberFormat="1" applyFont="1" applyFill="1" applyBorder="1">
      <alignment/>
      <protection/>
    </xf>
    <xf numFmtId="0" fontId="5" fillId="5" borderId="6" xfId="24" applyFont="1" applyFill="1" applyBorder="1" applyAlignment="1">
      <alignment horizontal="center" wrapText="1"/>
      <protection/>
    </xf>
    <xf numFmtId="0" fontId="4" fillId="3" borderId="0" xfId="24" applyFont="1" applyFill="1" applyBorder="1" applyAlignment="1">
      <alignment horizontal="right"/>
      <protection/>
    </xf>
    <xf numFmtId="170" fontId="19" fillId="3" borderId="0" xfId="0" applyNumberFormat="1" applyFont="1" applyFill="1" applyBorder="1" applyAlignment="1">
      <alignment/>
    </xf>
    <xf numFmtId="1" fontId="19" fillId="3" borderId="0" xfId="0" applyNumberFormat="1" applyFont="1" applyFill="1" applyBorder="1" applyAlignment="1">
      <alignment/>
    </xf>
    <xf numFmtId="1" fontId="4" fillId="3" borderId="0" xfId="0" applyNumberFormat="1" applyFont="1" applyFill="1" applyBorder="1" applyAlignment="1">
      <alignment/>
    </xf>
    <xf numFmtId="3" fontId="0" fillId="3" borderId="0" xfId="15" applyNumberFormat="1" applyFill="1" applyBorder="1" applyAlignment="1">
      <alignment/>
    </xf>
    <xf numFmtId="0" fontId="11" fillId="5" borderId="1" xfId="0" applyFont="1" applyFill="1" applyBorder="1" applyAlignment="1">
      <alignment/>
    </xf>
    <xf numFmtId="0" fontId="7" fillId="3" borderId="0" xfId="0" applyFont="1" applyFill="1" applyBorder="1" applyAlignment="1">
      <alignment horizontal="left" indent="5"/>
    </xf>
    <xf numFmtId="0" fontId="25" fillId="3" borderId="0" xfId="0" applyFont="1" applyFill="1" applyBorder="1" applyAlignment="1">
      <alignment horizontal="left" indent="2"/>
    </xf>
    <xf numFmtId="3" fontId="4" fillId="3" borderId="0" xfId="15" applyNumberFormat="1" applyFont="1" applyFill="1" applyBorder="1" applyAlignment="1">
      <alignment/>
    </xf>
    <xf numFmtId="0" fontId="4" fillId="5" borderId="1" xfId="24" applyFont="1" applyFill="1" applyBorder="1" applyAlignment="1">
      <alignment horizontal="center"/>
      <protection/>
    </xf>
    <xf numFmtId="0" fontId="4" fillId="5" borderId="6" xfId="24" applyFont="1" applyFill="1" applyBorder="1">
      <alignment/>
      <protection/>
    </xf>
    <xf numFmtId="0" fontId="11" fillId="5" borderId="1" xfId="24" applyFont="1" applyFill="1" applyBorder="1" applyAlignment="1">
      <alignment horizontal="left"/>
      <protection/>
    </xf>
    <xf numFmtId="0" fontId="4" fillId="5" borderId="0" xfId="24" applyFont="1" applyFill="1" applyBorder="1" applyAlignment="1">
      <alignment horizontal="center" wrapText="1"/>
      <protection/>
    </xf>
    <xf numFmtId="169" fontId="12" fillId="5" borderId="0" xfId="0" applyNumberFormat="1" applyFont="1" applyFill="1" applyBorder="1" applyAlignment="1">
      <alignment horizontal="center"/>
    </xf>
    <xf numFmtId="169" fontId="12" fillId="5" borderId="0" xfId="0" applyNumberFormat="1" applyFont="1" applyFill="1" applyBorder="1" applyAlignment="1">
      <alignment horizontal="right"/>
    </xf>
    <xf numFmtId="0" fontId="4" fillId="4" borderId="0" xfId="23" applyFont="1" applyFill="1" applyBorder="1">
      <alignment/>
      <protection/>
    </xf>
    <xf numFmtId="0" fontId="4" fillId="5" borderId="8" xfId="23" applyFont="1" applyFill="1" applyBorder="1">
      <alignment/>
      <protection/>
    </xf>
    <xf numFmtId="0" fontId="4" fillId="5" borderId="4" xfId="23" applyFont="1" applyFill="1" applyBorder="1">
      <alignment/>
      <protection/>
    </xf>
    <xf numFmtId="40" fontId="4" fillId="5" borderId="4" xfId="23" applyNumberFormat="1" applyFont="1" applyFill="1" applyBorder="1">
      <alignment/>
      <protection/>
    </xf>
    <xf numFmtId="0" fontId="4" fillId="5" borderId="5" xfId="23" applyFont="1" applyFill="1" applyBorder="1">
      <alignment/>
      <protection/>
    </xf>
    <xf numFmtId="0" fontId="4" fillId="4" borderId="0" xfId="23" applyFont="1" applyFill="1">
      <alignment/>
      <protection/>
    </xf>
    <xf numFmtId="0" fontId="3" fillId="5" borderId="1" xfId="23" applyFont="1" applyFill="1" applyBorder="1" applyAlignment="1">
      <alignment horizontal="left" indent="2"/>
      <protection/>
    </xf>
    <xf numFmtId="0" fontId="3" fillId="5" borderId="0" xfId="23" applyFont="1" applyFill="1" applyBorder="1" applyAlignment="1">
      <alignment horizontal="left" indent="2"/>
      <protection/>
    </xf>
    <xf numFmtId="177" fontId="4" fillId="5" borderId="0" xfId="15" applyNumberFormat="1" applyFont="1" applyFill="1" applyBorder="1" applyAlignment="1">
      <alignment/>
    </xf>
    <xf numFmtId="0" fontId="4" fillId="5" borderId="6" xfId="23" applyFont="1" applyFill="1" applyBorder="1">
      <alignment/>
      <protection/>
    </xf>
    <xf numFmtId="0" fontId="11" fillId="5" borderId="1" xfId="23" applyFont="1" applyFill="1" applyBorder="1" applyAlignment="1">
      <alignment horizontal="left" indent="4"/>
      <protection/>
    </xf>
    <xf numFmtId="0" fontId="4" fillId="5" borderId="0" xfId="23" applyFont="1" applyFill="1" applyBorder="1" applyAlignment="1">
      <alignment horizontal="left" indent="4"/>
      <protection/>
    </xf>
    <xf numFmtId="0" fontId="4" fillId="5" borderId="0" xfId="23" applyFont="1" applyFill="1" applyBorder="1">
      <alignment/>
      <protection/>
    </xf>
    <xf numFmtId="0" fontId="11" fillId="5" borderId="1" xfId="23" applyFont="1" applyFill="1" applyBorder="1">
      <alignment/>
      <protection/>
    </xf>
    <xf numFmtId="0" fontId="12" fillId="5" borderId="0" xfId="23" applyFont="1" applyFill="1" applyBorder="1">
      <alignment/>
      <protection/>
    </xf>
    <xf numFmtId="0" fontId="3" fillId="4" borderId="0" xfId="23" applyFont="1" applyFill="1" applyBorder="1">
      <alignment/>
      <protection/>
    </xf>
    <xf numFmtId="0" fontId="11" fillId="5" borderId="1" xfId="23" applyFont="1" applyFill="1" applyBorder="1" applyAlignment="1">
      <alignment horizontal="right"/>
      <protection/>
    </xf>
    <xf numFmtId="0" fontId="3" fillId="5" borderId="0" xfId="23" applyFont="1" applyFill="1" applyBorder="1">
      <alignment/>
      <protection/>
    </xf>
    <xf numFmtId="0" fontId="3" fillId="4" borderId="0" xfId="23" applyFont="1" applyFill="1">
      <alignment/>
      <protection/>
    </xf>
    <xf numFmtId="0" fontId="4" fillId="5" borderId="1" xfId="23" applyFont="1" applyFill="1" applyBorder="1">
      <alignment/>
      <protection/>
    </xf>
    <xf numFmtId="169" fontId="4" fillId="5" borderId="0" xfId="23" applyNumberFormat="1" applyFont="1" applyFill="1" applyBorder="1">
      <alignment/>
      <protection/>
    </xf>
    <xf numFmtId="0" fontId="3" fillId="5" borderId="2" xfId="23" applyFont="1" applyFill="1" applyBorder="1" applyAlignment="1">
      <alignment horizontal="right"/>
      <protection/>
    </xf>
    <xf numFmtId="0" fontId="3" fillId="5" borderId="3" xfId="23" applyFont="1" applyFill="1" applyBorder="1" applyAlignment="1">
      <alignment horizontal="right"/>
      <protection/>
    </xf>
    <xf numFmtId="40" fontId="3" fillId="5" borderId="3" xfId="15" applyNumberFormat="1" applyFont="1" applyFill="1" applyBorder="1" applyAlignment="1">
      <alignment/>
    </xf>
    <xf numFmtId="0" fontId="4" fillId="5" borderId="7" xfId="23" applyFont="1" applyFill="1" applyBorder="1">
      <alignment/>
      <protection/>
    </xf>
    <xf numFmtId="40" fontId="4" fillId="4" borderId="0" xfId="23" applyNumberFormat="1" applyFont="1" applyFill="1" applyBorder="1">
      <alignment/>
      <protection/>
    </xf>
    <xf numFmtId="0" fontId="14" fillId="4" borderId="0" xfId="23" applyFont="1" applyFill="1" applyBorder="1">
      <alignment/>
      <protection/>
    </xf>
    <xf numFmtId="0" fontId="4" fillId="4" borderId="3" xfId="23" applyFont="1" applyFill="1" applyBorder="1">
      <alignment/>
      <protection/>
    </xf>
    <xf numFmtId="0" fontId="4" fillId="3" borderId="8" xfId="23" applyFont="1" applyFill="1" applyBorder="1">
      <alignment/>
      <protection/>
    </xf>
    <xf numFmtId="0" fontId="11" fillId="3" borderId="4" xfId="23" applyFont="1" applyFill="1" applyBorder="1" applyAlignment="1">
      <alignment horizontal="center"/>
      <protection/>
    </xf>
    <xf numFmtId="40" fontId="11" fillId="3" borderId="4" xfId="23" applyNumberFormat="1" applyFont="1" applyFill="1" applyBorder="1" applyAlignment="1">
      <alignment horizontal="center"/>
      <protection/>
    </xf>
    <xf numFmtId="0" fontId="4" fillId="3" borderId="6" xfId="23" applyFont="1" applyFill="1" applyBorder="1">
      <alignment/>
      <protection/>
    </xf>
    <xf numFmtId="0" fontId="21" fillId="3" borderId="1" xfId="23" applyFont="1" applyFill="1" applyBorder="1" applyAlignment="1">
      <alignment horizontal="left"/>
      <protection/>
    </xf>
    <xf numFmtId="0" fontId="11" fillId="3" borderId="0" xfId="23" applyFont="1" applyFill="1" applyBorder="1" applyAlignment="1">
      <alignment horizontal="center"/>
      <protection/>
    </xf>
    <xf numFmtId="40" fontId="11" fillId="3" borderId="0" xfId="23" applyNumberFormat="1" applyFont="1" applyFill="1" applyBorder="1" applyAlignment="1">
      <alignment horizontal="center"/>
      <protection/>
    </xf>
    <xf numFmtId="0" fontId="11" fillId="3" borderId="6" xfId="23" applyFont="1" applyFill="1" applyBorder="1" applyAlignment="1">
      <alignment horizontal="center"/>
      <protection/>
    </xf>
    <xf numFmtId="0" fontId="3" fillId="3" borderId="1" xfId="23" applyFont="1" applyFill="1" applyBorder="1" applyAlignment="1">
      <alignment horizontal="left"/>
      <protection/>
    </xf>
    <xf numFmtId="0" fontId="11" fillId="3" borderId="1" xfId="23" applyFont="1" applyFill="1" applyBorder="1" applyAlignment="1">
      <alignment horizontal="left" indent="2"/>
      <protection/>
    </xf>
    <xf numFmtId="2" fontId="4" fillId="3" borderId="0" xfId="23" applyNumberFormat="1" applyFont="1" applyFill="1" applyBorder="1">
      <alignment/>
      <protection/>
    </xf>
    <xf numFmtId="40" fontId="4" fillId="3" borderId="0" xfId="23" applyNumberFormat="1" applyFont="1" applyFill="1" applyBorder="1">
      <alignment/>
      <protection/>
    </xf>
    <xf numFmtId="2" fontId="4" fillId="3" borderId="6" xfId="23" applyNumberFormat="1" applyFont="1" applyFill="1" applyBorder="1">
      <alignment/>
      <protection/>
    </xf>
    <xf numFmtId="0" fontId="4" fillId="3" borderId="1" xfId="23" applyFont="1" applyFill="1" applyBorder="1">
      <alignment/>
      <protection/>
    </xf>
    <xf numFmtId="0" fontId="4" fillId="3" borderId="0" xfId="23" applyFont="1" applyFill="1" applyBorder="1">
      <alignment/>
      <protection/>
    </xf>
    <xf numFmtId="0" fontId="4" fillId="3" borderId="2" xfId="23" applyFont="1" applyFill="1" applyBorder="1" applyAlignment="1">
      <alignment wrapText="1"/>
      <protection/>
    </xf>
    <xf numFmtId="0" fontId="4" fillId="3" borderId="3" xfId="23" applyFont="1" applyFill="1" applyBorder="1">
      <alignment/>
      <protection/>
    </xf>
    <xf numFmtId="178" fontId="4" fillId="3" borderId="3" xfId="23" applyNumberFormat="1" applyFont="1" applyFill="1" applyBorder="1">
      <alignment/>
      <protection/>
    </xf>
    <xf numFmtId="2" fontId="4" fillId="3" borderId="7" xfId="23" applyNumberFormat="1" applyFont="1" applyFill="1" applyBorder="1">
      <alignment/>
      <protection/>
    </xf>
    <xf numFmtId="0" fontId="3" fillId="4" borderId="0" xfId="23" applyFont="1" applyFill="1" applyBorder="1" applyAlignment="1">
      <alignment horizontal="left"/>
      <protection/>
    </xf>
    <xf numFmtId="40" fontId="4" fillId="4" borderId="0" xfId="15" applyNumberFormat="1" applyFont="1" applyFill="1" applyBorder="1" applyAlignment="1">
      <alignment/>
    </xf>
    <xf numFmtId="0" fontId="4" fillId="4" borderId="0" xfId="23" applyFont="1" applyFill="1" applyBorder="1" applyAlignment="1">
      <alignment/>
      <protection/>
    </xf>
    <xf numFmtId="38" fontId="4" fillId="5" borderId="8" xfId="15" applyNumberFormat="1" applyFont="1" applyFill="1" applyBorder="1" applyAlignment="1">
      <alignment/>
    </xf>
    <xf numFmtId="0" fontId="4" fillId="4" borderId="0" xfId="23" applyFont="1" applyFill="1" applyBorder="1" applyAlignment="1">
      <alignment horizontal="right"/>
      <protection/>
    </xf>
    <xf numFmtId="40" fontId="4" fillId="5" borderId="1" xfId="15" applyNumberFormat="1" applyFont="1" applyFill="1" applyBorder="1" applyAlignment="1">
      <alignment/>
    </xf>
    <xf numFmtId="40" fontId="4" fillId="5" borderId="2" xfId="15" applyNumberFormat="1" applyFont="1" applyFill="1" applyBorder="1" applyAlignment="1">
      <alignment/>
    </xf>
    <xf numFmtId="38" fontId="4" fillId="5" borderId="18" xfId="15" applyNumberFormat="1" applyFont="1" applyFill="1" applyBorder="1" applyAlignment="1">
      <alignment/>
    </xf>
    <xf numFmtId="38" fontId="4" fillId="5" borderId="19" xfId="15" applyNumberFormat="1" applyFont="1" applyFill="1" applyBorder="1" applyAlignment="1">
      <alignment/>
    </xf>
    <xf numFmtId="40" fontId="4" fillId="5" borderId="19" xfId="15" applyNumberFormat="1" applyFont="1" applyFill="1" applyBorder="1" applyAlignment="1">
      <alignment/>
    </xf>
    <xf numFmtId="40" fontId="4" fillId="5" borderId="20" xfId="15" applyNumberFormat="1" applyFont="1" applyFill="1" applyBorder="1" applyAlignment="1">
      <alignment/>
    </xf>
    <xf numFmtId="1" fontId="4" fillId="4" borderId="0" xfId="0" applyNumberFormat="1" applyFont="1" applyFill="1" applyAlignment="1">
      <alignment/>
    </xf>
    <xf numFmtId="2" fontId="4" fillId="5" borderId="0" xfId="24" applyNumberFormat="1" applyFont="1" applyFill="1" applyBorder="1">
      <alignment/>
      <protection/>
    </xf>
    <xf numFmtId="0" fontId="25" fillId="3" borderId="0" xfId="0" applyFont="1" applyFill="1" applyBorder="1" applyAlignment="1">
      <alignment horizontal="left" indent="2"/>
    </xf>
    <xf numFmtId="0" fontId="7" fillId="3" borderId="0" xfId="0" applyFont="1" applyFill="1" applyBorder="1" applyAlignment="1">
      <alignment horizontal="left" indent="2"/>
    </xf>
    <xf numFmtId="0" fontId="11" fillId="3" borderId="0" xfId="0" applyFont="1" applyFill="1" applyBorder="1" applyAlignment="1">
      <alignment horizontal="left" indent="5"/>
    </xf>
    <xf numFmtId="0" fontId="11" fillId="3" borderId="0" xfId="0" applyFont="1" applyFill="1" applyBorder="1" applyAlignment="1">
      <alignment horizontal="left" indent="8"/>
    </xf>
    <xf numFmtId="0" fontId="25" fillId="3" borderId="1" xfId="0" applyFont="1" applyFill="1" applyBorder="1" applyAlignment="1">
      <alignment horizontal="left" indent="2"/>
    </xf>
    <xf numFmtId="0" fontId="7" fillId="3" borderId="1" xfId="0" applyFont="1" applyFill="1" applyBorder="1" applyAlignment="1">
      <alignment horizontal="left" indent="2"/>
    </xf>
    <xf numFmtId="0" fontId="11" fillId="3" borderId="1" xfId="0" applyFont="1" applyFill="1" applyBorder="1" applyAlignment="1">
      <alignment horizontal="left" indent="5"/>
    </xf>
    <xf numFmtId="0" fontId="11" fillId="3" borderId="1" xfId="0" applyFont="1" applyFill="1" applyBorder="1" applyAlignment="1">
      <alignment horizontal="left" indent="8"/>
    </xf>
    <xf numFmtId="1" fontId="12" fillId="4" borderId="0" xfId="0" applyNumberFormat="1" applyFont="1" applyFill="1" applyAlignment="1">
      <alignment/>
    </xf>
    <xf numFmtId="4" fontId="4" fillId="3" borderId="0" xfId="15" applyNumberFormat="1" applyFont="1" applyFill="1" applyBorder="1" applyAlignment="1">
      <alignment/>
    </xf>
    <xf numFmtId="170" fontId="3" fillId="3" borderId="0" xfId="24" applyNumberFormat="1" applyFont="1" applyFill="1" applyBorder="1">
      <alignment/>
      <protection/>
    </xf>
    <xf numFmtId="9" fontId="4" fillId="5" borderId="0" xfId="0" applyNumberFormat="1" applyFont="1" applyFill="1" applyBorder="1" applyAlignment="1">
      <alignment/>
    </xf>
    <xf numFmtId="9" fontId="4" fillId="5" borderId="0" xfId="24" applyNumberFormat="1" applyFont="1" applyFill="1" applyBorder="1">
      <alignment/>
      <protection/>
    </xf>
    <xf numFmtId="0" fontId="24" fillId="3" borderId="0" xfId="0" applyFont="1" applyFill="1" applyBorder="1" applyAlignment="1">
      <alignment/>
    </xf>
    <xf numFmtId="9" fontId="4" fillId="3" borderId="0" xfId="25" applyFont="1" applyFill="1" applyBorder="1" applyAlignment="1">
      <alignment/>
    </xf>
    <xf numFmtId="171" fontId="4" fillId="3" borderId="0" xfId="15" applyNumberFormat="1" applyFont="1" applyFill="1" applyBorder="1" applyAlignment="1">
      <alignment/>
    </xf>
    <xf numFmtId="171" fontId="19" fillId="3" borderId="0" xfId="0" applyNumberFormat="1" applyFont="1" applyFill="1" applyBorder="1" applyAlignment="1">
      <alignment/>
    </xf>
    <xf numFmtId="0" fontId="23" fillId="3" borderId="0" xfId="0" applyFont="1" applyFill="1" applyBorder="1" applyAlignment="1">
      <alignment horizontal="left" indent="5"/>
    </xf>
    <xf numFmtId="3" fontId="24" fillId="3" borderId="0" xfId="0" applyNumberFormat="1" applyFont="1" applyFill="1" applyBorder="1" applyAlignment="1">
      <alignment/>
    </xf>
    <xf numFmtId="0" fontId="19" fillId="3" borderId="6" xfId="0" applyFont="1" applyFill="1" applyBorder="1" applyAlignment="1">
      <alignment/>
    </xf>
    <xf numFmtId="0" fontId="20" fillId="3" borderId="1" xfId="0" applyFont="1" applyFill="1" applyBorder="1" applyAlignment="1">
      <alignment horizontal="left" indent="5"/>
    </xf>
    <xf numFmtId="0" fontId="26" fillId="3" borderId="0" xfId="0" applyFont="1" applyFill="1" applyBorder="1" applyAlignment="1">
      <alignment horizontal="left" indent="2"/>
    </xf>
    <xf numFmtId="174" fontId="27" fillId="3" borderId="0" xfId="25" applyNumberFormat="1" applyFont="1" applyFill="1" applyBorder="1" applyAlignment="1">
      <alignment/>
    </xf>
    <xf numFmtId="0" fontId="28" fillId="4" borderId="0" xfId="0" applyFont="1" applyFill="1" applyAlignment="1">
      <alignment/>
    </xf>
    <xf numFmtId="0" fontId="28" fillId="3" borderId="1" xfId="0" applyFont="1" applyFill="1" applyBorder="1" applyAlignment="1">
      <alignment/>
    </xf>
    <xf numFmtId="0" fontId="28" fillId="3" borderId="0" xfId="0" applyFont="1" applyFill="1" applyBorder="1" applyAlignment="1">
      <alignment/>
    </xf>
    <xf numFmtId="170" fontId="4" fillId="5" borderId="0" xfId="24" applyNumberFormat="1" applyFont="1" applyFill="1" applyBorder="1" applyAlignment="1">
      <alignment horizontal="right" wrapText="1"/>
      <protection/>
    </xf>
    <xf numFmtId="9" fontId="4" fillId="5" borderId="0" xfId="25" applyFont="1" applyFill="1" applyBorder="1" applyAlignment="1">
      <alignment/>
    </xf>
    <xf numFmtId="170" fontId="4" fillId="5" borderId="0" xfId="24" applyNumberFormat="1" applyFont="1" applyFill="1" applyBorder="1">
      <alignment/>
      <protection/>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14" fontId="4" fillId="0" borderId="24" xfId="0" applyNumberFormat="1"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vertical="center" wrapText="1"/>
    </xf>
    <xf numFmtId="0" fontId="4" fillId="0" borderId="28" xfId="0" applyFont="1" applyBorder="1" applyAlignment="1">
      <alignment horizontal="left"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4" fillId="0" borderId="26" xfId="0" applyFont="1" applyBorder="1" applyAlignment="1">
      <alignment vertical="center" wrapText="1"/>
    </xf>
    <xf numFmtId="0" fontId="4" fillId="0" borderId="24" xfId="0" applyFont="1" applyBorder="1" applyAlignment="1">
      <alignment horizontal="left" vertical="center" wrapText="1"/>
    </xf>
    <xf numFmtId="0" fontId="4" fillId="0" borderId="31" xfId="0" applyFont="1" applyBorder="1" applyAlignment="1">
      <alignment horizontal="left" vertical="center" wrapText="1"/>
    </xf>
    <xf numFmtId="0" fontId="4" fillId="0" borderId="0" xfId="0" applyFont="1" applyAlignment="1">
      <alignment vertical="center"/>
    </xf>
    <xf numFmtId="0" fontId="31" fillId="0" borderId="0" xfId="0" applyFont="1" applyAlignment="1">
      <alignment vertical="center"/>
    </xf>
    <xf numFmtId="0" fontId="4" fillId="0" borderId="0" xfId="0" applyFont="1" applyAlignment="1">
      <alignment horizontal="center" vertical="center"/>
    </xf>
    <xf numFmtId="0" fontId="32" fillId="0" borderId="0" xfId="0" applyFont="1" applyAlignment="1">
      <alignment horizontal="right" vertical="center"/>
    </xf>
    <xf numFmtId="0" fontId="33" fillId="0" borderId="0" xfId="0" applyFont="1" applyAlignment="1">
      <alignment vertical="center"/>
    </xf>
    <xf numFmtId="14" fontId="32" fillId="0" borderId="0" xfId="0" applyNumberFormat="1" applyFont="1" applyAlignment="1">
      <alignment horizontal="right" vertical="center"/>
    </xf>
    <xf numFmtId="0" fontId="4" fillId="0" borderId="0" xfId="0" applyFont="1" applyAlignment="1">
      <alignment vertical="center" wrapText="1"/>
    </xf>
    <xf numFmtId="0" fontId="18" fillId="0" borderId="32" xfId="0" applyFont="1" applyBorder="1" applyAlignment="1">
      <alignment horizontal="center" vertical="center"/>
    </xf>
    <xf numFmtId="0" fontId="4" fillId="0" borderId="32" xfId="0" applyFont="1" applyBorder="1" applyAlignment="1">
      <alignment horizontal="center" vertical="center" wrapText="1"/>
    </xf>
    <xf numFmtId="0" fontId="34" fillId="0" borderId="18" xfId="0" applyFont="1" applyBorder="1" applyAlignment="1">
      <alignment horizontal="center" vertical="center" wrapText="1"/>
    </xf>
    <xf numFmtId="0" fontId="4" fillId="0" borderId="1" xfId="0" applyFont="1" applyBorder="1" applyAlignment="1">
      <alignment vertical="center"/>
    </xf>
    <xf numFmtId="9" fontId="18" fillId="5" borderId="19" xfId="0" applyNumberFormat="1" applyFont="1" applyFill="1" applyBorder="1" applyAlignment="1">
      <alignment horizontal="center" vertical="center" wrapText="1"/>
    </xf>
    <xf numFmtId="9" fontId="4" fillId="0" borderId="19" xfId="0" applyNumberFormat="1" applyFont="1" applyBorder="1" applyAlignment="1">
      <alignment horizontal="center" vertical="center" wrapText="1"/>
    </xf>
    <xf numFmtId="0" fontId="4" fillId="0" borderId="6" xfId="0" applyFont="1" applyBorder="1" applyAlignment="1">
      <alignment horizontal="center" vertical="center" wrapText="1"/>
    </xf>
    <xf numFmtId="9" fontId="4" fillId="6" borderId="6" xfId="0" applyNumberFormat="1" applyFont="1" applyFill="1" applyBorder="1" applyAlignment="1">
      <alignment horizontal="center" vertical="center"/>
    </xf>
    <xf numFmtId="0" fontId="35" fillId="0" borderId="20" xfId="0" applyFont="1" applyFill="1" applyBorder="1" applyAlignment="1">
      <alignment horizontal="center" vertical="center" wrapText="1"/>
    </xf>
    <xf numFmtId="0" fontId="4" fillId="0" borderId="1" xfId="0" applyFont="1" applyFill="1" applyBorder="1" applyAlignment="1">
      <alignment vertical="center"/>
    </xf>
    <xf numFmtId="0" fontId="36" fillId="0" borderId="0" xfId="0" applyFont="1" applyAlignment="1">
      <alignment horizontal="center" vertical="center"/>
    </xf>
    <xf numFmtId="0" fontId="4" fillId="0" borderId="9" xfId="0" applyFont="1" applyBorder="1" applyAlignment="1">
      <alignment vertical="center"/>
    </xf>
    <xf numFmtId="0" fontId="3" fillId="0" borderId="4" xfId="0" applyFont="1" applyBorder="1" applyAlignment="1">
      <alignment horizontal="left" vertical="center"/>
    </xf>
    <xf numFmtId="0" fontId="3" fillId="0" borderId="4" xfId="0" applyFont="1" applyFill="1" applyBorder="1" applyAlignment="1">
      <alignment horizontal="center" vertical="center" wrapText="1"/>
    </xf>
    <xf numFmtId="0" fontId="4" fillId="0" borderId="4" xfId="0" applyFont="1" applyFill="1" applyBorder="1" applyAlignment="1">
      <alignment vertical="center"/>
    </xf>
    <xf numFmtId="0" fontId="4" fillId="0" borderId="18" xfId="0" applyFont="1" applyFill="1" applyBorder="1" applyAlignment="1">
      <alignment vertical="center"/>
    </xf>
    <xf numFmtId="0" fontId="3" fillId="0" borderId="33" xfId="0" applyFont="1" applyBorder="1" applyAlignment="1">
      <alignment vertical="center"/>
    </xf>
    <xf numFmtId="0" fontId="4" fillId="0" borderId="19" xfId="0" applyFont="1" applyFill="1" applyBorder="1" applyAlignment="1">
      <alignment vertical="center"/>
    </xf>
    <xf numFmtId="174" fontId="18" fillId="5" borderId="0" xfId="25" applyNumberFormat="1" applyFont="1" applyFill="1" applyBorder="1" applyAlignment="1">
      <alignment horizontal="center" vertical="center"/>
    </xf>
    <xf numFmtId="174" fontId="4" fillId="6" borderId="19" xfId="15" applyNumberFormat="1" applyFont="1" applyFill="1" applyBorder="1" applyAlignment="1">
      <alignment horizontal="center" vertical="center"/>
    </xf>
    <xf numFmtId="0" fontId="12" fillId="0" borderId="19" xfId="22" applyFont="1" applyBorder="1" applyAlignment="1">
      <alignment vertical="center"/>
    </xf>
    <xf numFmtId="0" fontId="12" fillId="0" borderId="20" xfId="22" applyFont="1" applyBorder="1" applyAlignment="1">
      <alignment vertical="center"/>
    </xf>
    <xf numFmtId="0" fontId="0" fillId="0" borderId="2" xfId="0" applyBorder="1" applyAlignment="1">
      <alignment vertical="center"/>
    </xf>
    <xf numFmtId="0" fontId="4" fillId="0" borderId="20" xfId="0" applyFont="1" applyFill="1" applyBorder="1" applyAlignment="1">
      <alignment vertical="center"/>
    </xf>
    <xf numFmtId="0" fontId="12" fillId="0" borderId="0" xfId="22" applyFont="1" applyBorder="1" applyAlignment="1">
      <alignment vertical="center"/>
    </xf>
    <xf numFmtId="0" fontId="0" fillId="0" borderId="0" xfId="0" applyAlignment="1">
      <alignment vertical="center"/>
    </xf>
    <xf numFmtId="0" fontId="4" fillId="0" borderId="0" xfId="0" applyFont="1" applyFill="1" applyBorder="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174" fontId="37" fillId="9" borderId="33" xfId="0" applyNumberFormat="1" applyFont="1" applyFill="1" applyBorder="1" applyAlignment="1">
      <alignment horizontal="center" vertical="center"/>
    </xf>
    <xf numFmtId="174" fontId="37" fillId="0" borderId="0" xfId="0" applyNumberFormat="1" applyFont="1" applyFill="1" applyBorder="1" applyAlignment="1">
      <alignment horizontal="center" vertical="center"/>
    </xf>
    <xf numFmtId="174" fontId="3" fillId="0" borderId="33" xfId="0" applyNumberFormat="1" applyFont="1" applyBorder="1" applyAlignment="1">
      <alignment horizontal="center" vertical="center"/>
    </xf>
    <xf numFmtId="0" fontId="4" fillId="0" borderId="22" xfId="0" applyFont="1" applyBorder="1" applyAlignment="1">
      <alignment vertical="center" wrapText="1"/>
    </xf>
    <xf numFmtId="0" fontId="3"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0" xfId="0" applyFont="1" applyFill="1" applyBorder="1" applyAlignment="1">
      <alignment vertical="center" wrapText="1"/>
    </xf>
    <xf numFmtId="0" fontId="29" fillId="0" borderId="0" xfId="0" applyFont="1" applyAlignment="1">
      <alignment vertical="center" wrapText="1"/>
    </xf>
    <xf numFmtId="0" fontId="33" fillId="0" borderId="0" xfId="0" applyFont="1" applyAlignment="1">
      <alignment vertical="center" wrapText="1"/>
    </xf>
    <xf numFmtId="0" fontId="3" fillId="0" borderId="0" xfId="0" applyFont="1" applyAlignment="1">
      <alignment vertical="center" wrapText="1"/>
    </xf>
    <xf numFmtId="0" fontId="40" fillId="0" borderId="0" xfId="0" applyFont="1" applyAlignment="1">
      <alignment vertical="center" wrapText="1"/>
    </xf>
    <xf numFmtId="0" fontId="4" fillId="0" borderId="19" xfId="0" applyFont="1" applyBorder="1" applyAlignment="1">
      <alignment vertical="center" wrapText="1"/>
    </xf>
    <xf numFmtId="0" fontId="3" fillId="0" borderId="0" xfId="0" applyFont="1" applyFill="1" applyBorder="1" applyAlignment="1">
      <alignment horizontal="center" vertical="center"/>
    </xf>
    <xf numFmtId="174" fontId="37" fillId="0" borderId="0" xfId="0" applyNumberFormat="1" applyFont="1" applyFill="1" applyBorder="1" applyAlignment="1">
      <alignment horizontal="center" vertical="center" wrapText="1"/>
    </xf>
    <xf numFmtId="10"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74" fontId="3" fillId="0" borderId="0" xfId="0" applyNumberFormat="1" applyFont="1" applyFill="1" applyBorder="1" applyAlignment="1">
      <alignment horizontal="center" vertical="center"/>
    </xf>
    <xf numFmtId="180" fontId="18" fillId="5" borderId="4" xfId="25" applyNumberFormat="1" applyFont="1" applyFill="1" applyBorder="1" applyAlignment="1">
      <alignment horizontal="center" vertical="center"/>
    </xf>
    <xf numFmtId="179" fontId="4" fillId="6" borderId="18" xfId="15" applyNumberFormat="1" applyFont="1" applyFill="1" applyBorder="1" applyAlignment="1">
      <alignment horizontal="center" vertical="center"/>
    </xf>
    <xf numFmtId="2" fontId="18" fillId="5" borderId="0" xfId="0" applyNumberFormat="1" applyFont="1" applyFill="1" applyBorder="1" applyAlignment="1">
      <alignment horizontal="center" vertical="center"/>
    </xf>
    <xf numFmtId="2" fontId="4" fillId="6" borderId="19" xfId="15" applyNumberFormat="1" applyFont="1" applyFill="1" applyBorder="1" applyAlignment="1">
      <alignment horizontal="center" vertical="center"/>
    </xf>
    <xf numFmtId="3" fontId="18" fillId="5" borderId="3" xfId="0" applyNumberFormat="1" applyFont="1" applyFill="1" applyBorder="1" applyAlignment="1">
      <alignment horizontal="center" vertical="center"/>
    </xf>
    <xf numFmtId="3" fontId="4" fillId="6" borderId="20" xfId="15" applyNumberFormat="1" applyFont="1" applyFill="1" applyBorder="1" applyAlignment="1">
      <alignment horizontal="center" vertical="center"/>
    </xf>
    <xf numFmtId="3" fontId="18" fillId="5" borderId="0" xfId="0" applyNumberFormat="1" applyFont="1" applyFill="1" applyBorder="1" applyAlignment="1">
      <alignment horizontal="center" vertical="center"/>
    </xf>
    <xf numFmtId="0" fontId="0" fillId="0" borderId="1" xfId="0" applyBorder="1" applyAlignment="1">
      <alignment vertical="center"/>
    </xf>
    <xf numFmtId="3" fontId="4" fillId="6" borderId="19" xfId="15" applyNumberFormat="1" applyFont="1" applyFill="1" applyBorder="1" applyAlignment="1">
      <alignment horizontal="center" vertical="center"/>
    </xf>
    <xf numFmtId="0" fontId="4" fillId="0" borderId="8" xfId="0" applyFont="1" applyBorder="1" applyAlignment="1">
      <alignment vertical="center"/>
    </xf>
    <xf numFmtId="3" fontId="4" fillId="0" borderId="2" xfId="0" applyNumberFormat="1" applyFont="1" applyFill="1" applyBorder="1" applyAlignment="1">
      <alignment horizontal="center" vertical="center"/>
    </xf>
    <xf numFmtId="180" fontId="4" fillId="0" borderId="8" xfId="25" applyNumberFormat="1" applyFont="1" applyFill="1" applyBorder="1" applyAlignment="1">
      <alignment horizontal="center" vertical="center"/>
    </xf>
    <xf numFmtId="174" fontId="4" fillId="0" borderId="1" xfId="25"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9" fontId="4" fillId="0" borderId="19" xfId="0" applyNumberFormat="1" applyFont="1" applyFill="1" applyBorder="1" applyAlignment="1">
      <alignment horizontal="center" vertical="center"/>
    </xf>
    <xf numFmtId="9" fontId="4" fillId="0" borderId="20" xfId="0" applyNumberFormat="1" applyFont="1" applyFill="1" applyBorder="1" applyAlignment="1">
      <alignment horizontal="center" vertical="center"/>
    </xf>
    <xf numFmtId="0" fontId="4" fillId="5" borderId="0" xfId="20" applyFont="1" applyFill="1" applyBorder="1" applyAlignment="1">
      <alignment/>
      <protection locked="0"/>
    </xf>
    <xf numFmtId="9" fontId="4" fillId="5" borderId="0" xfId="25" applyFont="1" applyFill="1" applyBorder="1" applyAlignment="1">
      <alignment/>
    </xf>
    <xf numFmtId="2" fontId="4" fillId="5" borderId="0" xfId="20" applyNumberFormat="1" applyFont="1" applyFill="1" applyBorder="1" applyAlignment="1">
      <alignment/>
      <protection locked="0"/>
    </xf>
    <xf numFmtId="1" fontId="4" fillId="5" borderId="0" xfId="25" applyNumberFormat="1" applyFont="1" applyFill="1" applyBorder="1" applyAlignment="1">
      <alignment/>
    </xf>
    <xf numFmtId="0" fontId="29" fillId="0" borderId="0" xfId="0" applyFont="1" applyAlignment="1">
      <alignment vertical="center"/>
    </xf>
    <xf numFmtId="0" fontId="11" fillId="0" borderId="0" xfId="0" applyFont="1" applyAlignment="1">
      <alignment vertical="center" wrapText="1"/>
    </xf>
    <xf numFmtId="0" fontId="0" fillId="3" borderId="12" xfId="0" applyFill="1" applyBorder="1" applyAlignment="1">
      <alignment/>
    </xf>
    <xf numFmtId="0" fontId="3" fillId="3" borderId="13" xfId="0" applyFont="1" applyFill="1" applyBorder="1" applyAlignment="1">
      <alignment horizontal="left"/>
    </xf>
    <xf numFmtId="0" fontId="3" fillId="3" borderId="0" xfId="0" applyFont="1" applyFill="1" applyBorder="1" applyAlignment="1">
      <alignment horizontal="center"/>
    </xf>
    <xf numFmtId="0" fontId="3" fillId="3" borderId="15" xfId="0" applyFont="1" applyFill="1" applyBorder="1" applyAlignment="1">
      <alignment horizontal="left"/>
    </xf>
    <xf numFmtId="0" fontId="3" fillId="3" borderId="16" xfId="0" applyFont="1" applyFill="1" applyBorder="1" applyAlignment="1">
      <alignment horizontal="center"/>
    </xf>
    <xf numFmtId="174" fontId="22" fillId="3" borderId="17" xfId="0" applyNumberFormat="1" applyFont="1" applyFill="1" applyBorder="1" applyAlignment="1">
      <alignment horizontal="center"/>
    </xf>
    <xf numFmtId="174" fontId="3" fillId="3" borderId="14" xfId="0" applyNumberFormat="1" applyFont="1" applyFill="1" applyBorder="1" applyAlignment="1">
      <alignment horizontal="center"/>
    </xf>
    <xf numFmtId="168" fontId="3" fillId="3" borderId="14" xfId="0" applyNumberFormat="1" applyFont="1" applyFill="1" applyBorder="1" applyAlignment="1">
      <alignment horizontal="center"/>
    </xf>
    <xf numFmtId="0" fontId="21" fillId="5" borderId="11" xfId="0" applyFont="1" applyFill="1" applyBorder="1" applyAlignment="1">
      <alignment horizontal="left"/>
    </xf>
    <xf numFmtId="0" fontId="21" fillId="5" borderId="10" xfId="0" applyFont="1" applyFill="1" applyBorder="1" applyAlignment="1">
      <alignment horizontal="left"/>
    </xf>
    <xf numFmtId="0" fontId="3" fillId="5" borderId="13" xfId="0" applyFont="1" applyFill="1" applyBorder="1" applyAlignment="1">
      <alignment horizontal="left"/>
    </xf>
    <xf numFmtId="0" fontId="3" fillId="5" borderId="0" xfId="0" applyFont="1" applyFill="1" applyBorder="1" applyAlignment="1">
      <alignment horizontal="center"/>
    </xf>
    <xf numFmtId="0" fontId="3" fillId="5" borderId="15" xfId="0" applyFont="1" applyFill="1" applyBorder="1" applyAlignment="1">
      <alignment horizontal="left"/>
    </xf>
    <xf numFmtId="0" fontId="3" fillId="5" borderId="16" xfId="0" applyFont="1" applyFill="1" applyBorder="1" applyAlignment="1">
      <alignment horizontal="center"/>
    </xf>
    <xf numFmtId="0" fontId="0" fillId="5" borderId="36" xfId="0" applyFont="1" applyFill="1" applyBorder="1" applyAlignment="1">
      <alignment/>
    </xf>
    <xf numFmtId="174" fontId="3" fillId="5" borderId="37" xfId="0" applyNumberFormat="1" applyFont="1" applyFill="1" applyBorder="1" applyAlignment="1">
      <alignment horizontal="center"/>
    </xf>
    <xf numFmtId="168" fontId="3" fillId="5" borderId="37" xfId="0" applyNumberFormat="1" applyFont="1" applyFill="1" applyBorder="1" applyAlignment="1">
      <alignment horizontal="center"/>
    </xf>
    <xf numFmtId="174" fontId="3" fillId="5" borderId="38" xfId="0" applyNumberFormat="1" applyFont="1" applyFill="1" applyBorder="1" applyAlignment="1">
      <alignment horizontal="center"/>
    </xf>
    <xf numFmtId="0" fontId="7" fillId="3" borderId="1" xfId="24" applyFont="1" applyFill="1" applyBorder="1" applyAlignment="1">
      <alignment horizontal="left"/>
      <protection/>
    </xf>
    <xf numFmtId="0" fontId="13" fillId="3" borderId="0" xfId="24" applyFont="1" applyFill="1" applyBorder="1" applyAlignment="1">
      <alignment horizontal="left"/>
      <protection/>
    </xf>
    <xf numFmtId="170" fontId="4" fillId="3" borderId="0" xfId="24" applyNumberFormat="1" applyFont="1" applyFill="1" applyBorder="1" applyAlignment="1">
      <alignment horizontal="right"/>
      <protection/>
    </xf>
    <xf numFmtId="0" fontId="13" fillId="3" borderId="0" xfId="24" applyFont="1" applyFill="1" applyBorder="1" applyAlignment="1">
      <alignment horizontal="left" wrapText="1"/>
      <protection/>
    </xf>
    <xf numFmtId="168" fontId="4" fillId="3" borderId="0" xfId="24" applyNumberFormat="1" applyFont="1" applyFill="1" applyBorder="1" applyAlignment="1">
      <alignment horizontal="right"/>
      <protection/>
    </xf>
    <xf numFmtId="4" fontId="4" fillId="3" borderId="0" xfId="24" applyNumberFormat="1" applyFont="1" applyFill="1" applyBorder="1" applyAlignment="1">
      <alignment horizontal="right" wrapText="1"/>
      <protection/>
    </xf>
    <xf numFmtId="2" fontId="4" fillId="3" borderId="0" xfId="24" applyNumberFormat="1" applyFont="1" applyFill="1" applyBorder="1" applyAlignment="1">
      <alignment horizontal="right" wrapText="1"/>
      <protection/>
    </xf>
    <xf numFmtId="3" fontId="4" fillId="3" borderId="0" xfId="24" applyNumberFormat="1" applyFont="1" applyFill="1" applyBorder="1" applyAlignment="1">
      <alignment horizontal="right" wrapText="1"/>
      <protection/>
    </xf>
    <xf numFmtId="1" fontId="4" fillId="3" borderId="0" xfId="24" applyNumberFormat="1" applyFont="1" applyFill="1" applyBorder="1" applyAlignment="1">
      <alignment horizontal="right" wrapText="1"/>
      <protection/>
    </xf>
    <xf numFmtId="0" fontId="7" fillId="3" borderId="39" xfId="0" applyFont="1" applyFill="1" applyBorder="1" applyAlignment="1">
      <alignment horizontal="left" indent="5"/>
    </xf>
    <xf numFmtId="0" fontId="3" fillId="3" borderId="40" xfId="0" applyFont="1" applyFill="1" applyBorder="1" applyAlignment="1">
      <alignment/>
    </xf>
    <xf numFmtId="0" fontId="11" fillId="3" borderId="0" xfId="0" applyFont="1" applyFill="1" applyBorder="1" applyAlignment="1">
      <alignment horizontal="left" indent="5"/>
    </xf>
    <xf numFmtId="3" fontId="3" fillId="3" borderId="41" xfId="0" applyNumberFormat="1" applyFont="1" applyFill="1" applyBorder="1" applyAlignment="1">
      <alignment/>
    </xf>
    <xf numFmtId="0" fontId="4" fillId="8" borderId="11" xfId="0" applyFont="1" applyFill="1" applyBorder="1" applyAlignment="1">
      <alignment/>
    </xf>
    <xf numFmtId="0" fontId="7" fillId="8" borderId="10" xfId="0" applyFont="1" applyFill="1" applyBorder="1" applyAlignment="1">
      <alignment/>
    </xf>
    <xf numFmtId="0" fontId="4" fillId="8" borderId="10" xfId="0" applyFont="1" applyFill="1" applyBorder="1" applyAlignment="1">
      <alignment/>
    </xf>
    <xf numFmtId="0" fontId="4" fillId="8" borderId="10" xfId="0" applyFont="1" applyFill="1" applyBorder="1" applyAlignment="1">
      <alignment horizontal="right"/>
    </xf>
    <xf numFmtId="0" fontId="4" fillId="8" borderId="12" xfId="0" applyFont="1" applyFill="1" applyBorder="1" applyAlignment="1">
      <alignment/>
    </xf>
    <xf numFmtId="0" fontId="4" fillId="8" borderId="13" xfId="0" applyFont="1" applyFill="1" applyBorder="1" applyAlignment="1">
      <alignment/>
    </xf>
    <xf numFmtId="0" fontId="4" fillId="8" borderId="0" xfId="0" applyFont="1" applyFill="1" applyBorder="1" applyAlignment="1">
      <alignment/>
    </xf>
    <xf numFmtId="0" fontId="4" fillId="8" borderId="14" xfId="0" applyFont="1" applyFill="1" applyBorder="1" applyAlignment="1">
      <alignment/>
    </xf>
    <xf numFmtId="0" fontId="11" fillId="8" borderId="0" xfId="0" applyFont="1" applyFill="1" applyBorder="1" applyAlignment="1">
      <alignment/>
    </xf>
    <xf numFmtId="3" fontId="4" fillId="8" borderId="0" xfId="0" applyNumberFormat="1" applyFont="1" applyFill="1" applyBorder="1" applyAlignment="1">
      <alignment/>
    </xf>
    <xf numFmtId="3" fontId="4" fillId="8" borderId="0" xfId="0" applyNumberFormat="1" applyFont="1" applyFill="1" applyBorder="1" applyAlignment="1">
      <alignment horizontal="right"/>
    </xf>
    <xf numFmtId="0" fontId="4" fillId="8" borderId="15" xfId="0" applyFont="1" applyFill="1" applyBorder="1" applyAlignment="1">
      <alignment/>
    </xf>
    <xf numFmtId="0" fontId="4" fillId="8" borderId="16" xfId="0" applyFont="1" applyFill="1" applyBorder="1" applyAlignment="1">
      <alignment/>
    </xf>
    <xf numFmtId="0" fontId="4" fillId="8" borderId="16" xfId="0" applyFont="1" applyFill="1" applyBorder="1" applyAlignment="1">
      <alignment horizontal="right"/>
    </xf>
    <xf numFmtId="0" fontId="4" fillId="8" borderId="17" xfId="0" applyFont="1" applyFill="1" applyBorder="1" applyAlignment="1">
      <alignment/>
    </xf>
    <xf numFmtId="0" fontId="13" fillId="3" borderId="0" xfId="0" applyFont="1" applyFill="1" applyBorder="1" applyAlignment="1">
      <alignment horizontal="left" indent="5"/>
    </xf>
    <xf numFmtId="0" fontId="3" fillId="3" borderId="0" xfId="0" applyFont="1" applyFill="1" applyBorder="1" applyAlignment="1">
      <alignment/>
    </xf>
    <xf numFmtId="3" fontId="3" fillId="3" borderId="0" xfId="0" applyNumberFormat="1" applyFont="1" applyFill="1" applyBorder="1" applyAlignment="1">
      <alignment/>
    </xf>
    <xf numFmtId="3" fontId="4" fillId="3" borderId="0" xfId="0" applyNumberFormat="1" applyFont="1" applyFill="1" applyBorder="1" applyAlignment="1">
      <alignment/>
    </xf>
    <xf numFmtId="170" fontId="4" fillId="3" borderId="0" xfId="0" applyNumberFormat="1" applyFont="1" applyFill="1" applyBorder="1" applyAlignment="1">
      <alignment/>
    </xf>
    <xf numFmtId="2" fontId="4" fillId="3" borderId="0" xfId="0" applyNumberFormat="1" applyFont="1" applyFill="1" applyBorder="1" applyAlignment="1">
      <alignment/>
    </xf>
    <xf numFmtId="176" fontId="4" fillId="3" borderId="0" xfId="0" applyNumberFormat="1" applyFont="1" applyFill="1" applyBorder="1" applyAlignment="1">
      <alignment/>
    </xf>
    <xf numFmtId="0" fontId="4" fillId="3" borderId="0" xfId="0" applyFont="1" applyFill="1" applyBorder="1" applyAlignment="1">
      <alignment/>
    </xf>
    <xf numFmtId="174" fontId="4" fillId="3" borderId="0" xfId="25" applyNumberFormat="1" applyFont="1" applyFill="1" applyBorder="1" applyAlignment="1">
      <alignment/>
    </xf>
    <xf numFmtId="3" fontId="0" fillId="3" borderId="0" xfId="15" applyNumberFormat="1" applyFont="1" applyFill="1" applyBorder="1" applyAlignment="1">
      <alignment/>
    </xf>
    <xf numFmtId="0" fontId="11" fillId="5" borderId="1" xfId="23" applyFont="1" applyFill="1" applyBorder="1" applyAlignment="1">
      <alignment horizontal="center" wrapText="1"/>
      <protection/>
    </xf>
    <xf numFmtId="0" fontId="11" fillId="3" borderId="0" xfId="0" applyFont="1" applyFill="1" applyBorder="1" applyAlignment="1">
      <alignment wrapText="1"/>
    </xf>
    <xf numFmtId="170" fontId="4" fillId="3" borderId="0" xfId="0" applyNumberFormat="1" applyFont="1" applyFill="1" applyBorder="1" applyAlignment="1">
      <alignment/>
    </xf>
    <xf numFmtId="0" fontId="0" fillId="3" borderId="12" xfId="0" applyFont="1" applyFill="1" applyBorder="1" applyAlignment="1">
      <alignment/>
    </xf>
    <xf numFmtId="174" fontId="3" fillId="3" borderId="17" xfId="0" applyNumberFormat="1" applyFont="1" applyFill="1" applyBorder="1" applyAlignment="1">
      <alignment horizontal="center"/>
    </xf>
    <xf numFmtId="0" fontId="39" fillId="0" borderId="0" xfId="0" applyFont="1" applyAlignment="1">
      <alignment horizontal="right" vertical="center" wrapText="1"/>
    </xf>
    <xf numFmtId="0" fontId="30" fillId="0" borderId="22" xfId="22" applyFont="1" applyBorder="1" applyAlignment="1">
      <alignment horizontal="left" vertical="center" wrapText="1"/>
    </xf>
    <xf numFmtId="0" fontId="30" fillId="0" borderId="22" xfId="22" applyFont="1" applyBorder="1" applyAlignment="1">
      <alignment vertical="center" wrapText="1"/>
    </xf>
    <xf numFmtId="0" fontId="4" fillId="0" borderId="22" xfId="22" applyFont="1" applyBorder="1" applyAlignment="1">
      <alignment vertical="center" wrapText="1"/>
    </xf>
    <xf numFmtId="0" fontId="4" fillId="0" borderId="35" xfId="0" applyFont="1" applyBorder="1" applyAlignment="1">
      <alignment vertical="center" wrapText="1"/>
    </xf>
    <xf numFmtId="0" fontId="11" fillId="5" borderId="2" xfId="0" applyFont="1" applyFill="1" applyBorder="1" applyAlignment="1">
      <alignment wrapText="1"/>
    </xf>
    <xf numFmtId="0" fontId="11" fillId="5" borderId="3" xfId="0" applyFont="1" applyFill="1" applyBorder="1" applyAlignment="1">
      <alignment wrapText="1"/>
    </xf>
    <xf numFmtId="0" fontId="5" fillId="3" borderId="0" xfId="0" applyFont="1" applyFill="1" applyBorder="1" applyAlignment="1">
      <alignment horizontal="center"/>
    </xf>
    <xf numFmtId="0" fontId="11" fillId="3" borderId="0" xfId="0" applyFont="1" applyFill="1" applyBorder="1" applyAlignment="1">
      <alignment horizontal="left" indent="5"/>
    </xf>
    <xf numFmtId="0" fontId="11" fillId="3" borderId="0" xfId="0" applyFont="1" applyFill="1" applyBorder="1" applyAlignment="1">
      <alignment horizontal="left" wrapText="1" indent="5"/>
    </xf>
    <xf numFmtId="0" fontId="11" fillId="3" borderId="0" xfId="0" applyFont="1" applyFill="1" applyBorder="1" applyAlignment="1">
      <alignment horizontal="left" indent="5"/>
    </xf>
    <xf numFmtId="0" fontId="11" fillId="5" borderId="6" xfId="0" applyFont="1" applyFill="1" applyBorder="1" applyAlignment="1">
      <alignment wrapText="1"/>
    </xf>
    <xf numFmtId="0" fontId="11" fillId="4" borderId="0" xfId="0" applyFont="1" applyFill="1" applyBorder="1" applyAlignment="1">
      <alignment wrapText="1"/>
    </xf>
    <xf numFmtId="0" fontId="11" fillId="5" borderId="1" xfId="0" applyFont="1" applyFill="1" applyBorder="1" applyAlignment="1">
      <alignment wrapText="1"/>
    </xf>
    <xf numFmtId="0" fontId="11" fillId="5" borderId="0" xfId="0" applyFont="1" applyFill="1" applyBorder="1" applyAlignment="1">
      <alignment wrapText="1"/>
    </xf>
    <xf numFmtId="0" fontId="29" fillId="0" borderId="0" xfId="0" applyFont="1" applyAlignment="1">
      <alignment horizontal="center" vertical="center" wrapText="1"/>
    </xf>
    <xf numFmtId="0" fontId="4" fillId="0" borderId="42" xfId="0" applyFont="1" applyBorder="1" applyAlignment="1">
      <alignment horizontal="left" vertical="center" wrapText="1"/>
    </xf>
    <xf numFmtId="0" fontId="4" fillId="0" borderId="28"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21"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16" fillId="0" borderId="18" xfId="0" applyFont="1" applyBorder="1" applyAlignment="1">
      <alignment horizontal="left" vertical="center"/>
    </xf>
    <xf numFmtId="0" fontId="16" fillId="0" borderId="45" xfId="0" applyFont="1" applyBorder="1" applyAlignment="1">
      <alignment horizontal="left" vertical="center"/>
    </xf>
    <xf numFmtId="0" fontId="16" fillId="0" borderId="46" xfId="0" applyFont="1" applyBorder="1" applyAlignment="1">
      <alignment horizontal="left" vertical="center"/>
    </xf>
    <xf numFmtId="0" fontId="16" fillId="0" borderId="47" xfId="0" applyFont="1" applyBorder="1" applyAlignment="1">
      <alignment horizontal="center" vertical="center"/>
    </xf>
    <xf numFmtId="0" fontId="16" fillId="0" borderId="9" xfId="0" applyFont="1" applyBorder="1" applyAlignment="1">
      <alignment horizontal="center" vertical="center"/>
    </xf>
    <xf numFmtId="0" fontId="16" fillId="0" borderId="48" xfId="0" applyFont="1" applyBorder="1" applyAlignment="1">
      <alignment horizontal="center" vertical="center"/>
    </xf>
    <xf numFmtId="170" fontId="3" fillId="4" borderId="0" xfId="24" applyNumberFormat="1" applyFont="1" applyFill="1" applyBorder="1" applyAlignment="1">
      <alignment vertical="top" wrapText="1"/>
      <protection/>
    </xf>
    <xf numFmtId="0" fontId="4" fillId="4" borderId="0" xfId="0" applyFont="1" applyFill="1" applyBorder="1" applyAlignment="1">
      <alignment vertical="top" wrapText="1"/>
    </xf>
    <xf numFmtId="0" fontId="3" fillId="5" borderId="13" xfId="0" applyFont="1" applyFill="1" applyBorder="1" applyAlignment="1">
      <alignment horizontal="left"/>
    </xf>
    <xf numFmtId="0" fontId="3" fillId="5" borderId="0" xfId="0" applyFont="1" applyFill="1" applyBorder="1" applyAlignment="1">
      <alignment horizontal="left"/>
    </xf>
    <xf numFmtId="0" fontId="13" fillId="3" borderId="0" xfId="24" applyFont="1" applyFill="1" applyBorder="1" applyAlignment="1">
      <alignment horizontal="left" wrapText="1"/>
      <protection/>
    </xf>
    <xf numFmtId="0" fontId="11" fillId="3" borderId="1" xfId="24" applyFont="1" applyFill="1" applyBorder="1" applyAlignment="1">
      <alignment horizontal="center" wrapText="1"/>
      <protection/>
    </xf>
    <xf numFmtId="0" fontId="11" fillId="3" borderId="0" xfId="24" applyFont="1" applyFill="1" applyBorder="1" applyAlignment="1">
      <alignment horizontal="center" wrapText="1"/>
      <protection/>
    </xf>
    <xf numFmtId="0" fontId="11" fillId="3" borderId="0" xfId="24" applyFont="1" applyFill="1" applyBorder="1" applyAlignment="1">
      <alignment horizontal="left" vertical="center" wrapText="1" indent="1"/>
      <protection/>
    </xf>
    <xf numFmtId="0" fontId="21" fillId="3" borderId="11" xfId="0" applyFont="1" applyFill="1" applyBorder="1" applyAlignment="1">
      <alignment horizontal="left"/>
    </xf>
    <xf numFmtId="0" fontId="21" fillId="3" borderId="10" xfId="0" applyFont="1" applyFill="1" applyBorder="1" applyAlignment="1">
      <alignment horizontal="left"/>
    </xf>
    <xf numFmtId="170" fontId="3" fillId="4" borderId="0" xfId="24" applyNumberFormat="1" applyFont="1" applyFill="1" applyBorder="1" applyAlignment="1">
      <alignment horizontal="center" vertical="top" wrapText="1"/>
      <protection/>
    </xf>
    <xf numFmtId="0" fontId="3" fillId="3" borderId="13" xfId="0" applyFont="1" applyFill="1" applyBorder="1" applyAlignment="1">
      <alignment horizontal="left"/>
    </xf>
    <xf numFmtId="0" fontId="3" fillId="3" borderId="0" xfId="0" applyFont="1" applyFill="1" applyBorder="1" applyAlignment="1">
      <alignment horizontal="left"/>
    </xf>
    <xf numFmtId="0" fontId="3" fillId="4" borderId="0" xfId="24" applyFont="1" applyFill="1" applyBorder="1" applyAlignment="1">
      <alignment horizontal="center"/>
      <protection/>
    </xf>
    <xf numFmtId="0" fontId="11" fillId="3" borderId="0" xfId="0" applyFont="1" applyFill="1" applyBorder="1" applyAlignment="1">
      <alignment horizontal="center"/>
    </xf>
    <xf numFmtId="0" fontId="11" fillId="3" borderId="0" xfId="0" applyFont="1" applyFill="1" applyBorder="1" applyAlignment="1">
      <alignment horizontal="left" wrapText="1" indent="5"/>
    </xf>
  </cellXfs>
  <cellStyles count="12">
    <cellStyle name="Normal" xfId="0"/>
    <cellStyle name="Comma" xfId="15"/>
    <cellStyle name="Comma [0]" xfId="16"/>
    <cellStyle name="Currency" xfId="17"/>
    <cellStyle name="Currency [0]" xfId="18"/>
    <cellStyle name="Data" xfId="19"/>
    <cellStyle name="Data_Norplan_economic_model" xfId="20"/>
    <cellStyle name="Followed Hyperlink" xfId="21"/>
    <cellStyle name="Hyperlink" xfId="22"/>
    <cellStyle name="Normal_MCC Energy Projects Economic Analysis" xfId="23"/>
    <cellStyle name="Normal_Norplan_economic_model" xfId="24"/>
    <cellStyle name="Percent" xfId="25"/>
  </cellStyles>
  <dxfs count="2">
    <dxf>
      <font>
        <color rgb="FFFFFFFF"/>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Undiscounted annual net benefits of Zanzibar Interconnector</a:t>
            </a:r>
          </a:p>
        </c:rich>
      </c:tx>
      <c:layout/>
      <c:spPr>
        <a:noFill/>
        <a:ln>
          <a:noFill/>
        </a:ln>
      </c:spPr>
    </c:title>
    <c:plotArea>
      <c:layout/>
      <c:areaChart>
        <c:grouping val="standard"/>
        <c:varyColors val="0"/>
        <c:ser>
          <c:idx val="0"/>
          <c:order val="0"/>
          <c:spPr>
            <a:solidFill>
              <a:srgbClr val="0066CC"/>
            </a:solidFill>
          </c:spPr>
          <c:extLst>
            <c:ext xmlns:c14="http://schemas.microsoft.com/office/drawing/2007/8/2/chart" uri="{6F2FDCE9-48DA-4B69-8628-5D25D57E5C99}">
              <c14:invertSolidFillFmt>
                <c14:spPr>
                  <a:solidFill>
                    <a:srgbClr val="FFFFFF"/>
                  </a:solidFill>
                </c14:spPr>
              </c14:invertSolidFillFmt>
            </c:ext>
          </c:extLst>
          <c:val>
            <c:numRef>
              <c:f>'ERR Calculations'!$I$98:$AH$98</c:f>
              <c:numCache>
                <c:ptCount val="26"/>
                <c:pt idx="0">
                  <c:v>-8.6</c:v>
                </c:pt>
                <c:pt idx="1">
                  <c:v>-21.8</c:v>
                </c:pt>
                <c:pt idx="2">
                  <c:v>-20.6</c:v>
                </c:pt>
                <c:pt idx="3">
                  <c:v>-7.432493711758564</c:v>
                </c:pt>
                <c:pt idx="4">
                  <c:v>-0.3085999176943286</c:v>
                </c:pt>
                <c:pt idx="5">
                  <c:v>2.7079715949225207</c:v>
                </c:pt>
                <c:pt idx="6">
                  <c:v>4.1219916508992185</c:v>
                </c:pt>
                <c:pt idx="7">
                  <c:v>6.007237411102196</c:v>
                </c:pt>
                <c:pt idx="8">
                  <c:v>8.512836806396987</c:v>
                </c:pt>
                <c:pt idx="9">
                  <c:v>11.693011887185772</c:v>
                </c:pt>
                <c:pt idx="10">
                  <c:v>15.59915107457278</c:v>
                </c:pt>
                <c:pt idx="11">
                  <c:v>20.277473378173664</c:v>
                </c:pt>
                <c:pt idx="12">
                  <c:v>25.76610038592375</c:v>
                </c:pt>
                <c:pt idx="13">
                  <c:v>32.09143051715659</c:v>
                </c:pt>
                <c:pt idx="14">
                  <c:v>39.2636983802812</c:v>
                </c:pt>
                <c:pt idx="15">
                  <c:v>47.27159107639763</c:v>
                </c:pt>
                <c:pt idx="16">
                  <c:v>56.70935830486664</c:v>
                </c:pt>
                <c:pt idx="17">
                  <c:v>66.78360731175358</c:v>
                </c:pt>
                <c:pt idx="18">
                  <c:v>77.64685103901863</c:v>
                </c:pt>
                <c:pt idx="19">
                  <c:v>89.21375388782347</c:v>
                </c:pt>
                <c:pt idx="20">
                  <c:v>101.35749240278827</c:v>
                </c:pt>
                <c:pt idx="21">
                  <c:v>113.9010803979314</c:v>
                </c:pt>
                <c:pt idx="22">
                  <c:v>126.60750171712311</c:v>
                </c:pt>
                <c:pt idx="23">
                  <c:v>139.16858496860766</c:v>
                </c:pt>
                <c:pt idx="24">
                  <c:v>151.1925771746995</c:v>
                </c:pt>
                <c:pt idx="25">
                  <c:v>162.19040519996616</c:v>
                </c:pt>
              </c:numCache>
            </c:numRef>
          </c:val>
        </c:ser>
        <c:axId val="6877147"/>
        <c:axId val="23503208"/>
      </c:areaChart>
      <c:catAx>
        <c:axId val="6877147"/>
        <c:scaling>
          <c:orientation val="minMax"/>
        </c:scaling>
        <c:axPos val="b"/>
        <c:title>
          <c:tx>
            <c:rich>
              <a:bodyPr vert="horz" rot="0" anchor="ctr"/>
              <a:lstStyle/>
              <a:p>
                <a:pPr algn="ctr">
                  <a:defRPr/>
                </a:pPr>
                <a:r>
                  <a:rPr lang="en-US" cap="none" sz="1000" b="1" i="0" u="none" baseline="0"/>
                  <a:t>Year</a:t>
                </a:r>
              </a:p>
            </c:rich>
          </c:tx>
          <c:layout/>
          <c:overlay val="0"/>
          <c:spPr>
            <a:noFill/>
            <a:ln>
              <a:noFill/>
            </a:ln>
          </c:spPr>
        </c:title>
        <c:delete val="0"/>
        <c:numFmt formatCode="General" sourceLinked="1"/>
        <c:majorTickMark val="out"/>
        <c:minorTickMark val="none"/>
        <c:tickLblPos val="nextTo"/>
        <c:crossAx val="23503208"/>
        <c:crosses val="autoZero"/>
        <c:auto val="1"/>
        <c:lblOffset val="100"/>
        <c:noMultiLvlLbl val="0"/>
      </c:catAx>
      <c:valAx>
        <c:axId val="23503208"/>
        <c:scaling>
          <c:orientation val="minMax"/>
        </c:scaling>
        <c:axPos val="l"/>
        <c:title>
          <c:tx>
            <c:rich>
              <a:bodyPr vert="horz" rot="-5400000" anchor="ctr"/>
              <a:lstStyle/>
              <a:p>
                <a:pPr algn="ctr">
                  <a:defRPr/>
                </a:pPr>
                <a:r>
                  <a:rPr lang="en-US" cap="none" sz="1000" b="1" i="0" u="none" baseline="0"/>
                  <a:t>Millions of US$</a:t>
                </a:r>
              </a:p>
            </c:rich>
          </c:tx>
          <c:layout/>
          <c:overlay val="0"/>
          <c:spPr>
            <a:noFill/>
            <a:ln>
              <a:noFill/>
            </a:ln>
          </c:spPr>
        </c:title>
        <c:majorGridlines/>
        <c:delete val="0"/>
        <c:numFmt formatCode="General" sourceLinked="1"/>
        <c:majorTickMark val="out"/>
        <c:minorTickMark val="none"/>
        <c:tickLblPos val="nextTo"/>
        <c:crossAx val="6877147"/>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Planting!$T$106:$T$133</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Planting!$U$106:$U$133</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val>
            <c:numRef>
              <c:f>Planting!$V$106:$V$133</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Planting!$W$106:$W$133</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val>
            <c:numRef>
              <c:f>Planting!$X$106:$X$133</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overlap val="100"/>
        <c:axId val="25013769"/>
        <c:axId val="43362702"/>
      </c:barChart>
      <c:catAx>
        <c:axId val="25013769"/>
        <c:scaling>
          <c:orientation val="minMax"/>
        </c:scaling>
        <c:axPos val="b"/>
        <c:delete val="0"/>
        <c:numFmt formatCode="General" sourceLinked="1"/>
        <c:majorTickMark val="out"/>
        <c:minorTickMark val="none"/>
        <c:tickLblPos val="nextTo"/>
        <c:crossAx val="43362702"/>
        <c:crosses val="autoZero"/>
        <c:auto val="1"/>
        <c:lblOffset val="100"/>
        <c:noMultiLvlLbl val="0"/>
      </c:catAx>
      <c:valAx>
        <c:axId val="43362702"/>
        <c:scaling>
          <c:orientation val="minMax"/>
        </c:scaling>
        <c:axPos val="l"/>
        <c:majorGridlines/>
        <c:delete val="0"/>
        <c:numFmt formatCode="General" sourceLinked="1"/>
        <c:majorTickMark val="out"/>
        <c:minorTickMark val="none"/>
        <c:tickLblPos val="nextTo"/>
        <c:crossAx val="2501376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1.xml" /><Relationship Id="rId3"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19050</xdr:colOff>
      <xdr:row>5</xdr:row>
      <xdr:rowOff>19050</xdr:rowOff>
    </xdr:to>
    <xdr:pic>
      <xdr:nvPicPr>
        <xdr:cNvPr id="1" name="Picture 1"/>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34</xdr:row>
      <xdr:rowOff>19050</xdr:rowOff>
    </xdr:from>
    <xdr:to>
      <xdr:col>1</xdr:col>
      <xdr:colOff>2181225</xdr:colOff>
      <xdr:row>35</xdr:row>
      <xdr:rowOff>9525</xdr:rowOff>
    </xdr:to>
    <xdr:pic>
      <xdr:nvPicPr>
        <xdr:cNvPr id="1" name="Picture 1"/>
        <xdr:cNvPicPr preferRelativeResize="1">
          <a:picLocks noChangeAspect="1"/>
        </xdr:cNvPicPr>
      </xdr:nvPicPr>
      <xdr:blipFill>
        <a:blip r:embed="rId1"/>
        <a:stretch>
          <a:fillRect/>
        </a:stretch>
      </xdr:blipFill>
      <xdr:spPr>
        <a:xfrm>
          <a:off x="390525" y="10563225"/>
          <a:ext cx="21717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981075</xdr:colOff>
      <xdr:row>1</xdr:row>
      <xdr:rowOff>142875</xdr:rowOff>
    </xdr:from>
    <xdr:to>
      <xdr:col>7</xdr:col>
      <xdr:colOff>0</xdr:colOff>
      <xdr:row>1</xdr:row>
      <xdr:rowOff>295275</xdr:rowOff>
    </xdr:to>
    <xdr:pic>
      <xdr:nvPicPr>
        <xdr:cNvPr id="1" name="Picture 2"/>
        <xdr:cNvPicPr preferRelativeResize="1">
          <a:picLocks noChangeAspect="1"/>
        </xdr:cNvPicPr>
      </xdr:nvPicPr>
      <xdr:blipFill>
        <a:blip r:embed="rId1"/>
        <a:stretch>
          <a:fillRect/>
        </a:stretch>
      </xdr:blipFill>
      <xdr:spPr>
        <a:xfrm>
          <a:off x="7372350" y="304800"/>
          <a:ext cx="2162175" cy="152400"/>
        </a:xfrm>
        <a:prstGeom prst="rect">
          <a:avLst/>
        </a:prstGeom>
        <a:noFill/>
        <a:ln w="9525" cmpd="sng">
          <a:noFill/>
        </a:ln>
      </xdr:spPr>
    </xdr:pic>
    <xdr:clientData/>
  </xdr:twoCellAnchor>
  <xdr:twoCellAnchor>
    <xdr:from>
      <xdr:col>1</xdr:col>
      <xdr:colOff>866775</xdr:colOff>
      <xdr:row>25</xdr:row>
      <xdr:rowOff>47625</xdr:rowOff>
    </xdr:from>
    <xdr:to>
      <xdr:col>7</xdr:col>
      <xdr:colOff>19050</xdr:colOff>
      <xdr:row>48</xdr:row>
      <xdr:rowOff>95250</xdr:rowOff>
    </xdr:to>
    <xdr:graphicFrame>
      <xdr:nvGraphicFramePr>
        <xdr:cNvPr id="2" name="Chart 4"/>
        <xdr:cNvGraphicFramePr/>
      </xdr:nvGraphicFramePr>
      <xdr:xfrm>
        <a:off x="1247775" y="6981825"/>
        <a:ext cx="8305800" cy="3771900"/>
      </xdr:xfrm>
      <a:graphic>
        <a:graphicData uri="http://schemas.openxmlformats.org/drawingml/2006/chart">
          <c:chart xmlns:c="http://schemas.openxmlformats.org/drawingml/2006/chart" r:id="rId2"/>
        </a:graphicData>
      </a:graphic>
    </xdr:graphicFrame>
    <xdr:clientData/>
  </xdr:twoCellAnchor>
  <xdr:twoCellAnchor editAs="oneCell">
    <xdr:from>
      <xdr:col>2</xdr:col>
      <xdr:colOff>638175</xdr:colOff>
      <xdr:row>52</xdr:row>
      <xdr:rowOff>57150</xdr:rowOff>
    </xdr:from>
    <xdr:to>
      <xdr:col>6</xdr:col>
      <xdr:colOff>123825</xdr:colOff>
      <xdr:row>73</xdr:row>
      <xdr:rowOff>276225</xdr:rowOff>
    </xdr:to>
    <xdr:pic>
      <xdr:nvPicPr>
        <xdr:cNvPr id="3" name="Picture 5"/>
        <xdr:cNvPicPr preferRelativeResize="1">
          <a:picLocks noChangeAspect="1"/>
        </xdr:cNvPicPr>
      </xdr:nvPicPr>
      <xdr:blipFill>
        <a:blip r:embed="rId3"/>
        <a:stretch>
          <a:fillRect/>
        </a:stretch>
      </xdr:blipFill>
      <xdr:spPr>
        <a:xfrm>
          <a:off x="2276475" y="11363325"/>
          <a:ext cx="6334125" cy="36195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136</xdr:row>
      <xdr:rowOff>133350</xdr:rowOff>
    </xdr:from>
    <xdr:to>
      <xdr:col>6</xdr:col>
      <xdr:colOff>133350</xdr:colOff>
      <xdr:row>149</xdr:row>
      <xdr:rowOff>28575</xdr:rowOff>
    </xdr:to>
    <xdr:graphicFrame>
      <xdr:nvGraphicFramePr>
        <xdr:cNvPr id="1" name="Chart 467"/>
        <xdr:cNvGraphicFramePr/>
      </xdr:nvGraphicFramePr>
      <xdr:xfrm>
        <a:off x="638175" y="24307800"/>
        <a:ext cx="4343400" cy="20002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Tanzania\Roads-Transport%20ERR%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cc.gov\root\home\dennisbn\Country%20TTs\Vanuatu\ERR%20spreadsheet\Copy%20of%20Econ%20Model%20-%20Revised%20-%20April%20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enyishaya\My%20Documents\MCC\Background%20Presentation%20-%207.12.08\Tanzania\Tanzania%20Water%20&amp;%20Sanitation%20-%20v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anzania\Economic%20Analysis\Roads\Roads-Transport%20ERR%20Tanga_Horohoro%20ED%20AR%20BND%20final%20report%20cos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PROJECTS\232626%20Tanzania%20DD%20MCC%20(GBDPI1DC01)\economic%20analysis\MCC%20TZ%20T&amp;D%20Projects%20econ%20model%20V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1\BREITB~1\LOCALS~1\Temp\Temporary%20Directory%203%20for%20Tanzania%20Compact%20ERR.zip\Water-Sanitation%20Zanzibar%20Rural%20v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Key Assumptions"/>
      <sheetName val="IRIs"/>
      <sheetName val="RUC Calculations"/>
      <sheetName val="Health"/>
      <sheetName val="Education"/>
      <sheetName val="ERR"/>
      <sheetName val="Scenario"/>
      <sheetName val="Probability"/>
    </sheetNames>
    <sheetDataSet>
      <sheetData sheetId="1">
        <row r="9">
          <cell r="G9">
            <v>0.6831000000000002</v>
          </cell>
        </row>
        <row r="24">
          <cell r="G24">
            <v>365</v>
          </cell>
        </row>
        <row r="37">
          <cell r="G37">
            <v>0.5</v>
          </cell>
        </row>
        <row r="38">
          <cell r="G38">
            <v>0.0319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Tables"/>
      <sheetName val="Intro"/>
      <sheetName val="Main"/>
      <sheetName val="Summary"/>
      <sheetName val="LU"/>
      <sheetName val="Prob"/>
      <sheetName val="Distrib"/>
      <sheetName val="AMAMA1"/>
      <sheetName val="AMAMA2"/>
      <sheetName val="APEPE1"/>
      <sheetName val="ASASA1"/>
      <sheetName val="ASASA2"/>
      <sheetName val="ASHEF1"/>
      <sheetName val="ATATA1"/>
      <sheetName val="BPEAM1"/>
      <sheetName val="BSAEP1"/>
      <sheetName val="BSAML1"/>
      <sheetName val="BVARI1"/>
      <sheetName val="Meet"/>
      <sheetName val="VANRIS"/>
    </sheetNames>
    <sheetDataSet>
      <sheetData sheetId="3">
        <row r="6">
          <cell r="A6" t="str">
            <v>AMAMA1</v>
          </cell>
          <cell r="B6" t="str">
            <v>Lits Lits - Norsup Road Sealing</v>
          </cell>
          <cell r="D6" t="str">
            <v>Malekula</v>
          </cell>
          <cell r="E6" t="str">
            <v>Malampa</v>
          </cell>
          <cell r="F6">
            <v>189.6048</v>
          </cell>
          <cell r="G6">
            <v>1.7556</v>
          </cell>
          <cell r="H6">
            <v>2.0555555555555527</v>
          </cell>
          <cell r="I6">
            <v>0.01903292181069956</v>
          </cell>
          <cell r="J6">
            <v>0.22462370197905585</v>
          </cell>
          <cell r="K6">
            <v>159.72431508259623</v>
          </cell>
          <cell r="L6">
            <v>2.0643322529748724</v>
          </cell>
          <cell r="M6">
            <v>0.18788677288242828</v>
          </cell>
          <cell r="N6">
            <v>0.1802928108096226</v>
          </cell>
          <cell r="O6">
            <v>0.271765946426847</v>
          </cell>
          <cell r="P6">
            <v>0.12571622655559045</v>
          </cell>
          <cell r="Q6">
            <v>1</v>
          </cell>
          <cell r="R6">
            <v>1</v>
          </cell>
          <cell r="S6">
            <v>2007</v>
          </cell>
        </row>
        <row r="7">
          <cell r="A7" t="str">
            <v>AMAMA2</v>
          </cell>
          <cell r="B7" t="str">
            <v>South-West Bay Airstrip Upgrading</v>
          </cell>
          <cell r="D7" t="str">
            <v>Malekula</v>
          </cell>
          <cell r="E7" t="str">
            <v>Malampa</v>
          </cell>
          <cell r="F7">
            <v>65.08</v>
          </cell>
          <cell r="G7">
            <v>0.6025925925925926</v>
          </cell>
          <cell r="H7">
            <v>0</v>
          </cell>
          <cell r="I7">
            <v>0</v>
          </cell>
          <cell r="J7">
            <v>0.11364998061127222</v>
          </cell>
          <cell r="K7">
            <v>4.866971313671759</v>
          </cell>
          <cell r="L7">
            <v>1.0914032036645314</v>
          </cell>
          <cell r="M7">
            <v>0.08619992942037667</v>
          </cell>
          <cell r="N7">
            <v>0.08054563187386796</v>
          </cell>
          <cell r="O7">
            <v>0.1491719125848013</v>
          </cell>
          <cell r="P7">
            <v>0.04585583610297489</v>
          </cell>
          <cell r="Q7">
            <v>1</v>
          </cell>
          <cell r="R7">
            <v>1</v>
          </cell>
          <cell r="S7">
            <v>2007</v>
          </cell>
        </row>
        <row r="8">
          <cell r="A8" t="str">
            <v>APEPE1</v>
          </cell>
          <cell r="B8" t="str">
            <v>Loltong Wharf and N-S Road</v>
          </cell>
          <cell r="D8" t="str">
            <v>Pentecost</v>
          </cell>
          <cell r="E8" t="str">
            <v>Penama</v>
          </cell>
          <cell r="F8">
            <v>247.654</v>
          </cell>
          <cell r="G8">
            <v>2.2930925925925925</v>
          </cell>
          <cell r="H8">
            <v>3.6999999999999993</v>
          </cell>
          <cell r="I8">
            <v>0.03425925925925925</v>
          </cell>
          <cell r="J8">
            <v>0.15606943163381698</v>
          </cell>
          <cell r="K8">
            <v>79.08347162476201</v>
          </cell>
          <cell r="L8">
            <v>1.346935096185802</v>
          </cell>
          <cell r="M8">
            <v>0.12016075318448843</v>
          </cell>
          <cell r="N8">
            <v>0.11283654648106228</v>
          </cell>
          <cell r="O8">
            <v>0.016089379885231746</v>
          </cell>
          <cell r="P8">
            <v>0.06713663336847975</v>
          </cell>
          <cell r="Q8">
            <v>1</v>
          </cell>
          <cell r="R8">
            <v>1</v>
          </cell>
          <cell r="S8">
            <v>2007</v>
          </cell>
        </row>
        <row r="9">
          <cell r="A9" t="str">
            <v>ASASA1</v>
          </cell>
          <cell r="B9" t="str">
            <v>Port Olry Road Upgrading</v>
          </cell>
          <cell r="D9" t="str">
            <v>Santo</v>
          </cell>
          <cell r="E9" t="str">
            <v>Sanma</v>
          </cell>
          <cell r="F9">
            <v>1863.9288000000001</v>
          </cell>
          <cell r="G9">
            <v>17.2586</v>
          </cell>
          <cell r="H9">
            <v>40.94444444444445</v>
          </cell>
          <cell r="I9">
            <v>0.3791152263374486</v>
          </cell>
          <cell r="J9">
            <v>0.3378643130738296</v>
          </cell>
          <cell r="K9">
            <v>4425.839036860351</v>
          </cell>
          <cell r="L9">
            <v>3.661679665848366</v>
          </cell>
          <cell r="M9">
            <v>0.29106356187309074</v>
          </cell>
          <cell r="N9">
            <v>0.28150155877118105</v>
          </cell>
          <cell r="O9">
            <v>0.39892725896301917</v>
          </cell>
          <cell r="P9">
            <v>0.2037081426600791</v>
          </cell>
          <cell r="Q9">
            <v>1</v>
          </cell>
          <cell r="R9">
            <v>1</v>
          </cell>
          <cell r="S9">
            <v>2007</v>
          </cell>
        </row>
        <row r="10">
          <cell r="A10" t="str">
            <v>ASASA2</v>
          </cell>
          <cell r="B10" t="str">
            <v>South Coast Bridges and Culverts</v>
          </cell>
          <cell r="D10" t="str">
            <v>Santo</v>
          </cell>
          <cell r="E10" t="str">
            <v>Sanma</v>
          </cell>
          <cell r="F10">
            <v>202.82399999999998</v>
          </cell>
          <cell r="G10">
            <v>1.878</v>
          </cell>
          <cell r="H10">
            <v>0</v>
          </cell>
          <cell r="I10">
            <v>0</v>
          </cell>
          <cell r="J10">
            <v>0.24276840985467887</v>
          </cell>
          <cell r="K10">
            <v>174.0999826086306</v>
          </cell>
          <cell r="L10">
            <v>2.049130613895647</v>
          </cell>
          <cell r="M10">
            <v>0.19700424159358113</v>
          </cell>
          <cell r="N10">
            <v>0.18789673951715924</v>
          </cell>
          <cell r="O10">
            <v>0.3057487982976323</v>
          </cell>
          <cell r="P10">
            <v>0.12686653484309338</v>
          </cell>
          <cell r="Q10">
            <v>1</v>
          </cell>
          <cell r="R10">
            <v>1</v>
          </cell>
          <cell r="S10">
            <v>2007</v>
          </cell>
        </row>
        <row r="11">
          <cell r="A11" t="str">
            <v>ASHEF1</v>
          </cell>
          <cell r="B11" t="str">
            <v>Round-Island Road Upgrading</v>
          </cell>
          <cell r="D11" t="str">
            <v>Efate</v>
          </cell>
          <cell r="E11" t="str">
            <v>Shefa</v>
          </cell>
          <cell r="F11">
            <v>2520.612</v>
          </cell>
          <cell r="G11">
            <v>23.339000000000002</v>
          </cell>
          <cell r="H11">
            <v>52.5</v>
          </cell>
          <cell r="I11">
            <v>0.4861111111111111</v>
          </cell>
          <cell r="J11">
            <v>0.20550479502577151</v>
          </cell>
          <cell r="K11">
            <v>1885.729162103877</v>
          </cell>
          <cell r="L11">
            <v>1.8423788997682973</v>
          </cell>
          <cell r="M11">
            <v>0.16988037798308492</v>
          </cell>
          <cell r="N11">
            <v>0.16249056620484598</v>
          </cell>
          <cell r="O11">
            <v>0.2509892022389731</v>
          </cell>
          <cell r="P11">
            <v>0.11008159066260667</v>
          </cell>
          <cell r="Q11">
            <v>1</v>
          </cell>
          <cell r="R11">
            <v>1</v>
          </cell>
          <cell r="S11">
            <v>2007</v>
          </cell>
        </row>
        <row r="12">
          <cell r="A12" t="str">
            <v>ATATA1</v>
          </cell>
          <cell r="B12" t="str">
            <v>Whitesands Road Upgrading</v>
          </cell>
          <cell r="D12" t="str">
            <v>Tanna</v>
          </cell>
          <cell r="E12" t="str">
            <v>Tafea</v>
          </cell>
          <cell r="F12">
            <v>403.00199999999995</v>
          </cell>
          <cell r="G12">
            <v>3.7314999999999996</v>
          </cell>
          <cell r="H12">
            <v>0</v>
          </cell>
          <cell r="I12">
            <v>0</v>
          </cell>
          <cell r="J12">
            <v>0.176571845377738</v>
          </cell>
          <cell r="K12">
            <v>204.41274323363672</v>
          </cell>
          <cell r="L12">
            <v>1.619941829781381</v>
          </cell>
          <cell r="M12">
            <v>0.14456524340112237</v>
          </cell>
          <cell r="N12">
            <v>0.13797068071259416</v>
          </cell>
          <cell r="O12">
            <v>0.2177927682566017</v>
          </cell>
          <cell r="P12">
            <v>0.0939303405692848</v>
          </cell>
          <cell r="Q12">
            <v>1</v>
          </cell>
          <cell r="R12">
            <v>1</v>
          </cell>
          <cell r="S12">
            <v>2007</v>
          </cell>
        </row>
        <row r="13">
          <cell r="A13" t="str">
            <v>BPEAM1</v>
          </cell>
          <cell r="B13" t="str">
            <v>Ambae Creek Crossings Reinstatement</v>
          </cell>
          <cell r="D13" t="str">
            <v>Ambae</v>
          </cell>
          <cell r="E13" t="str">
            <v>Penama</v>
          </cell>
          <cell r="F13">
            <v>132.472</v>
          </cell>
          <cell r="G13">
            <v>1.2265925925925927</v>
          </cell>
          <cell r="H13">
            <v>0</v>
          </cell>
          <cell r="I13">
            <v>0</v>
          </cell>
          <cell r="J13">
            <v>0.12314963811312898</v>
          </cell>
          <cell r="K13">
            <v>16.066209299402473</v>
          </cell>
          <cell r="L13">
            <v>1.1482311585286173</v>
          </cell>
          <cell r="M13">
            <v>0.09315129877661123</v>
          </cell>
          <cell r="N13">
            <v>0.08701571493564024</v>
          </cell>
          <cell r="O13">
            <v>0.1624878441863667</v>
          </cell>
          <cell r="P13">
            <v>0.05031998681090321</v>
          </cell>
          <cell r="Q13">
            <v>1</v>
          </cell>
          <cell r="R13">
            <v>1</v>
          </cell>
          <cell r="S13">
            <v>2007</v>
          </cell>
        </row>
        <row r="14">
          <cell r="A14" t="str">
            <v>BSAEP1</v>
          </cell>
          <cell r="B14" t="str">
            <v>Lamen Bay Wharf Reinstatement</v>
          </cell>
          <cell r="D14" t="str">
            <v>Epi</v>
          </cell>
          <cell r="E14" t="str">
            <v>Shefa</v>
          </cell>
          <cell r="F14">
            <v>122.536</v>
          </cell>
          <cell r="G14">
            <v>1.1345925925925926</v>
          </cell>
          <cell r="H14">
            <v>0</v>
          </cell>
          <cell r="I14">
            <v>0</v>
          </cell>
          <cell r="J14">
            <v>0.10091447210991594</v>
          </cell>
          <cell r="K14">
            <v>0.5851207375704743</v>
          </cell>
          <cell r="L14">
            <v>1.005836224196495</v>
          </cell>
          <cell r="M14">
            <v>0.07414162579499352</v>
          </cell>
          <cell r="N14">
            <v>0.06861975740754238</v>
          </cell>
          <cell r="O14">
            <v>0.13547536346423877</v>
          </cell>
          <cell r="P14">
            <v>0.035685163178576916</v>
          </cell>
          <cell r="Q14">
            <v>1</v>
          </cell>
          <cell r="R14">
            <v>1</v>
          </cell>
          <cell r="S14">
            <v>2007</v>
          </cell>
        </row>
        <row r="15">
          <cell r="A15" t="str">
            <v>BSAML1</v>
          </cell>
          <cell r="B15" t="str">
            <v>Malo Roads Upgrading</v>
          </cell>
          <cell r="D15" t="str">
            <v>Malo</v>
          </cell>
          <cell r="E15" t="str">
            <v>Sanma</v>
          </cell>
          <cell r="F15">
            <v>115.40800000000002</v>
          </cell>
          <cell r="G15">
            <v>1.0685925925925928</v>
          </cell>
          <cell r="H15">
            <v>4</v>
          </cell>
          <cell r="I15">
            <v>0.037037037037037035</v>
          </cell>
          <cell r="J15">
            <v>0.168387486955777</v>
          </cell>
          <cell r="K15">
            <v>45.99216170650264</v>
          </cell>
          <cell r="L15">
            <v>1.3776013836392784</v>
          </cell>
          <cell r="M15">
            <v>0.12734818413458404</v>
          </cell>
          <cell r="N15">
            <v>0.11897501062329664</v>
          </cell>
          <cell r="O15">
            <v>0.22286032753779406</v>
          </cell>
          <cell r="P15">
            <v>0.06655361522113327</v>
          </cell>
          <cell r="Q15">
            <v>1</v>
          </cell>
          <cell r="R15">
            <v>1</v>
          </cell>
          <cell r="S15">
            <v>2007</v>
          </cell>
        </row>
        <row r="16">
          <cell r="A16" t="str">
            <v>BVARI1</v>
          </cell>
          <cell r="B16" t="str">
            <v>Technical assistance to PWD</v>
          </cell>
          <cell r="D16" t="str">
            <v>Country</v>
          </cell>
          <cell r="E16" t="str">
            <v>Country</v>
          </cell>
          <cell r="F16">
            <v>1347.6000000000001</v>
          </cell>
          <cell r="G16">
            <v>12.47777777777778</v>
          </cell>
          <cell r="H16">
            <v>0</v>
          </cell>
          <cell r="I16">
            <v>0</v>
          </cell>
          <cell r="J16">
            <v>0.16058552903336543</v>
          </cell>
          <cell r="K16">
            <v>262.48883072070845</v>
          </cell>
          <cell r="L16">
            <v>1.285461776824978</v>
          </cell>
          <cell r="M16">
            <v>0.1151492708742208</v>
          </cell>
          <cell r="N16">
            <v>0.10604506949655668</v>
          </cell>
          <cell r="O16">
            <v>0.22244484054528116</v>
          </cell>
          <cell r="P16">
            <v>0.05661199067741331</v>
          </cell>
          <cell r="Q16">
            <v>1</v>
          </cell>
          <cell r="R16">
            <v>1</v>
          </cell>
          <cell r="S16">
            <v>2007</v>
          </cell>
        </row>
      </sheetData>
      <sheetData sheetId="4">
        <row r="3">
          <cell r="A3" t="str">
            <v>AMAMA1</v>
          </cell>
          <cell r="B3" t="str">
            <v>Malampa</v>
          </cell>
          <cell r="C3" t="str">
            <v>Malekula</v>
          </cell>
          <cell r="D3" t="str">
            <v>Lits Lits - Norsup Road Sealing</v>
          </cell>
          <cell r="E3">
            <v>3127.71</v>
          </cell>
          <cell r="F3">
            <v>168</v>
          </cell>
          <cell r="R3">
            <v>189.6048</v>
          </cell>
          <cell r="S3">
            <v>2.3</v>
          </cell>
          <cell r="T3">
            <v>8.8</v>
          </cell>
          <cell r="U3">
            <v>7</v>
          </cell>
        </row>
        <row r="4">
          <cell r="A4" t="str">
            <v>AMAMA2</v>
          </cell>
          <cell r="B4" t="str">
            <v>Malampa</v>
          </cell>
          <cell r="C4" t="str">
            <v>Malekula</v>
          </cell>
          <cell r="D4" t="str">
            <v>South-West Bay Airstrip Upgrading</v>
          </cell>
          <cell r="E4">
            <v>2510.8599999999997</v>
          </cell>
          <cell r="Q4">
            <v>104</v>
          </cell>
          <cell r="R4">
            <v>65.08</v>
          </cell>
          <cell r="S4">
            <v>1</v>
          </cell>
          <cell r="T4">
            <v>1</v>
          </cell>
        </row>
        <row r="5">
          <cell r="A5" t="str">
            <v>APEPE1</v>
          </cell>
          <cell r="B5" t="str">
            <v>Penama</v>
          </cell>
          <cell r="C5" t="str">
            <v>Pentecost</v>
          </cell>
          <cell r="D5" t="str">
            <v>Loltong Wharf and N-S Road</v>
          </cell>
          <cell r="E5">
            <v>3074.7299999999996</v>
          </cell>
          <cell r="F5">
            <v>31</v>
          </cell>
          <cell r="R5">
            <v>83.71</v>
          </cell>
          <cell r="S5">
            <v>4.3</v>
          </cell>
          <cell r="T5">
            <v>2.1</v>
          </cell>
        </row>
        <row r="6">
          <cell r="A6" t="str">
            <v>APEPE2</v>
          </cell>
          <cell r="B6" t="str">
            <v>Penama</v>
          </cell>
          <cell r="C6" t="str">
            <v>Pentecost</v>
          </cell>
          <cell r="D6" t="str">
            <v>Loltong Wharf and N-S Road</v>
          </cell>
          <cell r="E6">
            <v>4783.29</v>
          </cell>
          <cell r="H6">
            <v>80</v>
          </cell>
          <cell r="I6">
            <v>1000</v>
          </cell>
          <cell r="J6">
            <v>16</v>
          </cell>
          <cell r="K6">
            <v>1</v>
          </cell>
          <cell r="L6">
            <v>1000</v>
          </cell>
          <cell r="N6">
            <v>2017</v>
          </cell>
          <cell r="O6">
            <v>25.2125</v>
          </cell>
          <cell r="P6">
            <v>290.487</v>
          </cell>
          <cell r="R6">
            <v>163.944</v>
          </cell>
          <cell r="S6">
            <v>1.5</v>
          </cell>
          <cell r="T6">
            <v>0</v>
          </cell>
        </row>
        <row r="8">
          <cell r="A8" t="str">
            <v>ASASA1</v>
          </cell>
          <cell r="B8" t="str">
            <v>Sanma</v>
          </cell>
          <cell r="C8" t="str">
            <v>Santo</v>
          </cell>
          <cell r="D8" t="str">
            <v>Port Olry Road Upgrading</v>
          </cell>
          <cell r="E8">
            <v>7403.759999999999</v>
          </cell>
          <cell r="F8">
            <v>200</v>
          </cell>
          <cell r="R8">
            <v>1863.9288000000001</v>
          </cell>
          <cell r="S8">
            <v>17.5</v>
          </cell>
          <cell r="T8">
            <v>31</v>
          </cell>
          <cell r="U8">
            <v>7</v>
          </cell>
          <cell r="AF8">
            <v>0.9</v>
          </cell>
        </row>
        <row r="9">
          <cell r="A9" t="str">
            <v>ASASA2</v>
          </cell>
          <cell r="B9" t="str">
            <v>Sanma</v>
          </cell>
          <cell r="C9" t="str">
            <v>Santo</v>
          </cell>
          <cell r="D9" t="str">
            <v>South Coast Bridges and Culverts</v>
          </cell>
          <cell r="E9">
            <v>7152.9</v>
          </cell>
          <cell r="F9">
            <v>33</v>
          </cell>
          <cell r="R9">
            <v>202.82399999999998</v>
          </cell>
          <cell r="S9">
            <v>17.6</v>
          </cell>
          <cell r="T9">
            <v>17.6</v>
          </cell>
        </row>
        <row r="10">
          <cell r="A10" t="str">
            <v>ASHEF1</v>
          </cell>
          <cell r="B10" t="str">
            <v>Shefa</v>
          </cell>
          <cell r="C10" t="str">
            <v>Efate</v>
          </cell>
          <cell r="D10" t="str">
            <v>Round-Island Road Upgrading</v>
          </cell>
          <cell r="E10">
            <v>13914.819999999998</v>
          </cell>
          <cell r="F10">
            <v>60</v>
          </cell>
          <cell r="R10">
            <v>2520.612</v>
          </cell>
          <cell r="S10">
            <v>22.5</v>
          </cell>
          <cell r="T10">
            <v>40</v>
          </cell>
          <cell r="U10">
            <v>7</v>
          </cell>
        </row>
        <row r="11">
          <cell r="A11" t="str">
            <v>ATATA1</v>
          </cell>
          <cell r="B11" t="str">
            <v>Tafea</v>
          </cell>
          <cell r="C11" t="str">
            <v>Tanna</v>
          </cell>
          <cell r="D11" t="str">
            <v>Whitesands Road Upgrading</v>
          </cell>
          <cell r="E11">
            <v>5675.910000000001</v>
          </cell>
          <cell r="F11">
            <v>100</v>
          </cell>
          <cell r="R11">
            <v>403.002</v>
          </cell>
          <cell r="S11">
            <v>10.5</v>
          </cell>
          <cell r="T11">
            <v>10.5</v>
          </cell>
        </row>
        <row r="12">
          <cell r="A12" t="str">
            <v>ATATA2</v>
          </cell>
          <cell r="B12" t="str">
            <v>Tafea</v>
          </cell>
          <cell r="C12" t="str">
            <v>Tanna</v>
          </cell>
          <cell r="D12" t="str">
            <v>South Coast Road Upgrading</v>
          </cell>
          <cell r="E12">
            <v>1823.82</v>
          </cell>
          <cell r="F12">
            <v>10</v>
          </cell>
          <cell r="R12">
            <v>0</v>
          </cell>
          <cell r="S12">
            <v>0</v>
          </cell>
          <cell r="T12">
            <v>0</v>
          </cell>
        </row>
        <row r="13">
          <cell r="A13" t="str">
            <v>BPEAM1</v>
          </cell>
          <cell r="B13" t="str">
            <v>Penama</v>
          </cell>
          <cell r="C13" t="str">
            <v>Ambae</v>
          </cell>
          <cell r="D13" t="str">
            <v>Ambae Creek Crossings Reinstatement</v>
          </cell>
          <cell r="E13">
            <v>1534.4</v>
          </cell>
          <cell r="F13">
            <v>10</v>
          </cell>
          <cell r="R13">
            <v>132.472</v>
          </cell>
          <cell r="S13">
            <v>1</v>
          </cell>
          <cell r="T13">
            <v>1</v>
          </cell>
        </row>
        <row r="15">
          <cell r="A15" t="str">
            <v>BSAEP1</v>
          </cell>
          <cell r="B15" t="str">
            <v>Shefa</v>
          </cell>
          <cell r="C15" t="str">
            <v>Epi</v>
          </cell>
          <cell r="D15" t="str">
            <v>Lamen Bay Wharf Reinstatement</v>
          </cell>
          <cell r="E15">
            <v>1865.94</v>
          </cell>
          <cell r="H15">
            <v>400</v>
          </cell>
          <cell r="I15">
            <v>500</v>
          </cell>
          <cell r="J15">
            <v>0</v>
          </cell>
          <cell r="L15">
            <v>250</v>
          </cell>
          <cell r="M15">
            <v>420</v>
          </cell>
          <cell r="N15">
            <v>1170</v>
          </cell>
          <cell r="O15">
            <v>2.925</v>
          </cell>
          <cell r="P15">
            <v>149.5</v>
          </cell>
          <cell r="R15">
            <v>122.536</v>
          </cell>
          <cell r="S15">
            <v>1.6</v>
          </cell>
          <cell r="T15">
            <v>1.6</v>
          </cell>
        </row>
        <row r="16">
          <cell r="A16" t="str">
            <v>BSAML1</v>
          </cell>
          <cell r="B16" t="str">
            <v>Sanma</v>
          </cell>
          <cell r="C16" t="str">
            <v>Malo</v>
          </cell>
          <cell r="D16" t="str">
            <v>Malo Roads Upgrading</v>
          </cell>
          <cell r="E16">
            <v>1645.3700000000001</v>
          </cell>
          <cell r="F16">
            <v>30</v>
          </cell>
          <cell r="R16">
            <v>115.40800000000002</v>
          </cell>
          <cell r="S16">
            <v>8</v>
          </cell>
          <cell r="T16">
            <v>4</v>
          </cell>
        </row>
        <row r="18">
          <cell r="A18" t="str">
            <v>BVARI1</v>
          </cell>
          <cell r="B18" t="str">
            <v>Country</v>
          </cell>
          <cell r="C18" t="str">
            <v>Country</v>
          </cell>
          <cell r="D18" t="str">
            <v>Technical assistance to PWD</v>
          </cell>
          <cell r="E18">
            <v>0</v>
          </cell>
          <cell r="R18">
            <v>1212.8400000000001</v>
          </cell>
        </row>
        <row r="39">
          <cell r="D39" t="str">
            <v>Total: Manually selected subprojects</v>
          </cell>
          <cell r="E39">
            <v>54513.51000000001</v>
          </cell>
          <cell r="I39">
            <v>1500</v>
          </cell>
          <cell r="J39">
            <v>16</v>
          </cell>
          <cell r="K39">
            <v>1</v>
          </cell>
          <cell r="L39">
            <v>1250</v>
          </cell>
          <cell r="M39">
            <v>420</v>
          </cell>
          <cell r="N39">
            <v>3187</v>
          </cell>
          <cell r="O39">
            <v>28.1375</v>
          </cell>
          <cell r="P39">
            <v>439.987</v>
          </cell>
          <cell r="Q39">
            <v>104</v>
          </cell>
          <cell r="R39">
            <v>7075.961600000001</v>
          </cell>
          <cell r="S39">
            <v>87.8</v>
          </cell>
          <cell r="T39">
            <v>117.6</v>
          </cell>
        </row>
        <row r="40">
          <cell r="R40" t="str">
            <v>= US$ 65.5 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ser's Guide"/>
      <sheetName val="Project Description"/>
      <sheetName val="ERR &amp; Sensitivity Analysis"/>
      <sheetName val="Summary"/>
      <sheetName val="Assumptions"/>
      <sheetName val="Morogoro"/>
      <sheetName val="Dar NRW"/>
      <sheetName val="Dar Ruvu"/>
      <sheetName val="Annex III"/>
    </sheetNames>
    <sheetDataSet>
      <sheetData sheetId="4">
        <row r="6">
          <cell r="F6">
            <v>20</v>
          </cell>
        </row>
        <row r="9">
          <cell r="F9">
            <v>0.07</v>
          </cell>
        </row>
        <row r="14">
          <cell r="E14" t="str">
            <v>A</v>
          </cell>
        </row>
        <row r="15">
          <cell r="E15" t="str">
            <v>B</v>
          </cell>
        </row>
        <row r="16">
          <cell r="E16" t="str">
            <v>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ro"/>
      <sheetName val="Key Assumptions"/>
      <sheetName val="TH Sum"/>
      <sheetName val="TH1"/>
      <sheetName val="TH2"/>
      <sheetName val="TH4"/>
      <sheetName val="TanIRI"/>
    </sheetNames>
    <sheetDataSet>
      <sheetData sheetId="1">
        <row r="41">
          <cell r="H41">
            <v>0.04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itle"/>
      <sheetName val="Results"/>
      <sheetName val="Inputs"/>
      <sheetName val="Tariffs"/>
      <sheetName val="WTP"/>
      <sheetName val="Quality improvement"/>
      <sheetName val="LRMC"/>
      <sheetName val="Social &amp; environmental"/>
      <sheetName val="ERR calcs"/>
      <sheetName val="notes"/>
    </sheetNames>
    <sheetDataSet>
      <sheetData sheetId="2">
        <row r="13">
          <cell r="C13">
            <v>0.12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tro"/>
      <sheetName val="Summary"/>
      <sheetName val="Assumptions"/>
      <sheetName val="Dunga Tunguu-U"/>
      <sheetName val="Ndagoni"/>
      <sheetName val="Kambini"/>
      <sheetName val="Machui-U"/>
      <sheetName val="Mizingani"/>
      <sheetName val="Vitongoji"/>
      <sheetName val="Wanbaa"/>
      <sheetName val="Nungwi-U"/>
      <sheetName val="Matemwe-U"/>
      <sheetName val="Notes"/>
    </sheetNames>
    <sheetDataSet>
      <sheetData sheetId="2">
        <row r="5">
          <cell r="F5">
            <v>2007</v>
          </cell>
        </row>
        <row r="7">
          <cell r="F7">
            <v>1353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B45"/>
  <sheetViews>
    <sheetView showGridLines="0" workbookViewId="0" topLeftCell="A1">
      <selection activeCell="B2" sqref="B2:B6"/>
    </sheetView>
  </sheetViews>
  <sheetFormatPr defaultColWidth="9.33203125" defaultRowHeight="12.75"/>
  <cols>
    <col min="1" max="1" width="46.16015625" style="499" customWidth="1"/>
    <col min="2" max="2" width="124.16015625" style="499" customWidth="1"/>
    <col min="3" max="16384" width="9.33203125" style="499" customWidth="1"/>
  </cols>
  <sheetData>
    <row r="1" ht="12.75">
      <c r="B1" s="632" t="s">
        <v>311</v>
      </c>
    </row>
    <row r="2" ht="20.25" customHeight="1">
      <c r="B2" s="647" t="s">
        <v>2</v>
      </c>
    </row>
    <row r="3" ht="12.75">
      <c r="B3" s="647"/>
    </row>
    <row r="4" ht="12.75">
      <c r="B4" s="647"/>
    </row>
    <row r="5" ht="12.75">
      <c r="B5" s="647"/>
    </row>
    <row r="6" ht="12.75">
      <c r="B6" s="647"/>
    </row>
    <row r="7" ht="13.5" thickBot="1"/>
    <row r="8" spans="1:2" ht="18" customHeight="1" thickTop="1">
      <c r="A8" s="650" t="s">
        <v>251</v>
      </c>
      <c r="B8" s="533" t="s">
        <v>3</v>
      </c>
    </row>
    <row r="9" spans="1:2" ht="18" customHeight="1" thickBot="1">
      <c r="A9" s="651"/>
      <c r="B9" s="534" t="s">
        <v>4</v>
      </c>
    </row>
    <row r="10" spans="1:2" ht="18" customHeight="1" thickTop="1">
      <c r="A10" s="480" t="s">
        <v>252</v>
      </c>
      <c r="B10" s="481" t="s">
        <v>253</v>
      </c>
    </row>
    <row r="11" spans="1:2" ht="18" customHeight="1">
      <c r="A11" s="482" t="s">
        <v>254</v>
      </c>
      <c r="B11" s="483">
        <v>39318</v>
      </c>
    </row>
    <row r="12" spans="1:2" ht="18" customHeight="1">
      <c r="A12" s="484" t="s">
        <v>255</v>
      </c>
      <c r="B12" s="485" t="s">
        <v>301</v>
      </c>
    </row>
    <row r="13" spans="1:2" ht="38.25">
      <c r="A13" s="480" t="s">
        <v>256</v>
      </c>
      <c r="B13" s="532" t="s">
        <v>5</v>
      </c>
    </row>
    <row r="14" spans="1:2" ht="18" customHeight="1">
      <c r="A14" s="648" t="s">
        <v>257</v>
      </c>
      <c r="B14" s="486" t="s">
        <v>178</v>
      </c>
    </row>
    <row r="15" spans="1:2" ht="18" customHeight="1">
      <c r="A15" s="649"/>
      <c r="B15" s="488" t="s">
        <v>283</v>
      </c>
    </row>
    <row r="16" spans="1:2" ht="18" customHeight="1">
      <c r="A16" s="649"/>
      <c r="B16" s="488" t="s">
        <v>284</v>
      </c>
    </row>
    <row r="17" spans="1:2" ht="18" customHeight="1">
      <c r="A17" s="487"/>
      <c r="B17" s="489" t="s">
        <v>285</v>
      </c>
    </row>
    <row r="18" spans="1:2" ht="25.5">
      <c r="A18" s="482" t="s">
        <v>258</v>
      </c>
      <c r="B18" s="490" t="s">
        <v>259</v>
      </c>
    </row>
    <row r="19" spans="1:2" ht="18" customHeight="1">
      <c r="A19" s="482" t="s">
        <v>260</v>
      </c>
      <c r="B19" s="491" t="s">
        <v>309</v>
      </c>
    </row>
    <row r="20" spans="1:2" ht="5.25" customHeight="1">
      <c r="A20" s="492"/>
      <c r="B20" s="481"/>
    </row>
    <row r="21" spans="1:2" ht="12.75">
      <c r="A21" s="652" t="s">
        <v>261</v>
      </c>
      <c r="B21" s="633" t="s">
        <v>6</v>
      </c>
    </row>
    <row r="22" spans="1:2" ht="25.5">
      <c r="A22" s="652"/>
      <c r="B22" s="481" t="s">
        <v>262</v>
      </c>
    </row>
    <row r="23" spans="1:2" ht="12.75">
      <c r="A23" s="652"/>
      <c r="B23" s="481"/>
    </row>
    <row r="24" spans="1:2" ht="12.75">
      <c r="A24" s="652"/>
      <c r="B24" s="634" t="s">
        <v>263</v>
      </c>
    </row>
    <row r="25" spans="1:2" ht="12.75">
      <c r="A25" s="652"/>
      <c r="B25" s="532" t="s">
        <v>264</v>
      </c>
    </row>
    <row r="26" spans="1:2" ht="12.75">
      <c r="A26" s="652"/>
      <c r="B26" s="532"/>
    </row>
    <row r="27" spans="1:2" ht="12.75">
      <c r="A27" s="652"/>
      <c r="B27" s="634" t="s">
        <v>110</v>
      </c>
    </row>
    <row r="28" spans="1:2" ht="12.75">
      <c r="A28" s="652"/>
      <c r="B28" s="635" t="s">
        <v>298</v>
      </c>
    </row>
    <row r="29" spans="1:2" ht="12.75">
      <c r="A29" s="652"/>
      <c r="B29" s="634"/>
    </row>
    <row r="30" spans="1:2" ht="12.75">
      <c r="A30" s="652"/>
      <c r="B30" s="634" t="s">
        <v>38</v>
      </c>
    </row>
    <row r="31" spans="1:2" ht="12.75">
      <c r="A31" s="652"/>
      <c r="B31" s="532" t="s">
        <v>299</v>
      </c>
    </row>
    <row r="32" spans="1:2" ht="12.75">
      <c r="A32" s="652"/>
      <c r="B32" s="532"/>
    </row>
    <row r="33" spans="1:2" ht="12.75">
      <c r="A33" s="652"/>
      <c r="B33" s="634" t="s">
        <v>141</v>
      </c>
    </row>
    <row r="34" spans="1:2" ht="12.75">
      <c r="A34" s="652"/>
      <c r="B34" s="532" t="s">
        <v>300</v>
      </c>
    </row>
    <row r="35" spans="1:2" ht="12.75">
      <c r="A35" s="652"/>
      <c r="B35" s="532"/>
    </row>
    <row r="36" spans="1:2" ht="12.75">
      <c r="A36" s="652"/>
      <c r="B36" s="634" t="s">
        <v>15</v>
      </c>
    </row>
    <row r="37" spans="1:2" ht="12.75">
      <c r="A37" s="652"/>
      <c r="B37" s="532" t="s">
        <v>304</v>
      </c>
    </row>
    <row r="38" spans="1:2" ht="12.75">
      <c r="A38" s="652"/>
      <c r="B38" s="532"/>
    </row>
    <row r="39" spans="1:2" ht="12.75">
      <c r="A39" s="652"/>
      <c r="B39" s="532"/>
    </row>
    <row r="40" spans="1:2" ht="12.75">
      <c r="A40" s="652"/>
      <c r="B40" s="634" t="s">
        <v>16</v>
      </c>
    </row>
    <row r="41" spans="1:2" ht="12.75">
      <c r="A41" s="652"/>
      <c r="B41" s="532" t="s">
        <v>303</v>
      </c>
    </row>
    <row r="42" spans="1:2" ht="12.75">
      <c r="A42" s="652"/>
      <c r="B42" s="532"/>
    </row>
    <row r="43" spans="1:2" ht="12.75">
      <c r="A43" s="652"/>
      <c r="B43" s="634" t="s">
        <v>17</v>
      </c>
    </row>
    <row r="44" spans="1:2" ht="12.75">
      <c r="A44" s="652"/>
      <c r="B44" s="532" t="s">
        <v>305</v>
      </c>
    </row>
    <row r="45" spans="1:2" ht="13.5" thickBot="1">
      <c r="A45" s="653"/>
      <c r="B45" s="636"/>
    </row>
    <row r="46" ht="13.5" thickTop="1"/>
  </sheetData>
  <mergeCells count="4">
    <mergeCell ref="B2:B6"/>
    <mergeCell ref="A14:A16"/>
    <mergeCell ref="A8:A9"/>
    <mergeCell ref="A21:A45"/>
  </mergeCells>
  <hyperlinks>
    <hyperlink ref="B24" location="'ERR &amp; Sensitivity Analysis'!A1" display="ERR &amp; Sensitivity Analysis"/>
    <hyperlink ref="B21" location="'Activity Description'!A1" display="Activity Description"/>
    <hyperlink ref="B27" location="Results!A1" display="Results"/>
    <hyperlink ref="B33" location="'ERR Calculations'!A1" display="ERR Calculations"/>
    <hyperlink ref="B36" location="Planting!A1" display="Planting"/>
    <hyperlink ref="B30" location="Assumptions!A1" display="Assumptions"/>
    <hyperlink ref="B40" location="'Social and Environmental'!A1" display="Social and Environmental"/>
    <hyperlink ref="B43" location="'Alt economic analysis'!A1" display="Alt economic analysis"/>
  </hyperlink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
  <dimension ref="B2:B35"/>
  <sheetViews>
    <sheetView showGridLines="0" tabSelected="1" workbookViewId="0" topLeftCell="A1">
      <selection activeCell="B2" sqref="B2"/>
    </sheetView>
  </sheetViews>
  <sheetFormatPr defaultColWidth="9.33203125" defaultRowHeight="12.75"/>
  <cols>
    <col min="1" max="1" width="6.66015625" style="499" customWidth="1"/>
    <col min="2" max="2" width="124.5" style="499" customWidth="1"/>
    <col min="3" max="5" width="9.33203125" style="499" customWidth="1"/>
    <col min="6" max="6" width="13.66015625" style="499" bestFit="1" customWidth="1"/>
    <col min="7" max="16384" width="9.33203125" style="499" customWidth="1"/>
  </cols>
  <sheetData>
    <row r="2" ht="20.25">
      <c r="B2" s="536" t="s">
        <v>2</v>
      </c>
    </row>
    <row r="4" ht="18">
      <c r="B4" s="537" t="s">
        <v>6</v>
      </c>
    </row>
    <row r="6" ht="12.75">
      <c r="B6" s="538" t="s">
        <v>265</v>
      </c>
    </row>
    <row r="8" ht="38.25">
      <c r="B8" s="535" t="s">
        <v>5</v>
      </c>
    </row>
    <row r="10" ht="12.75">
      <c r="B10" s="538" t="s">
        <v>281</v>
      </c>
    </row>
    <row r="12" ht="12.75">
      <c r="B12" s="499" t="s">
        <v>7</v>
      </c>
    </row>
    <row r="13" ht="6" customHeight="1"/>
    <row r="14" ht="30.75" customHeight="1">
      <c r="B14" s="499" t="s">
        <v>8</v>
      </c>
    </row>
    <row r="15" ht="33.75" customHeight="1">
      <c r="B15" s="499" t="s">
        <v>9</v>
      </c>
    </row>
    <row r="16" ht="25.5">
      <c r="B16" s="499" t="s">
        <v>10</v>
      </c>
    </row>
    <row r="17" ht="30.75" customHeight="1">
      <c r="B17" s="499" t="s">
        <v>11</v>
      </c>
    </row>
    <row r="18" ht="12.75">
      <c r="B18" s="499" t="s">
        <v>12</v>
      </c>
    </row>
    <row r="19" ht="34.5" customHeight="1">
      <c r="B19" s="499" t="s">
        <v>13</v>
      </c>
    </row>
    <row r="20" ht="29.25" customHeight="1">
      <c r="B20" s="499" t="s">
        <v>14</v>
      </c>
    </row>
    <row r="22" ht="12.75">
      <c r="B22" s="538" t="s">
        <v>282</v>
      </c>
    </row>
    <row r="24" ht="25.5">
      <c r="B24" s="499" t="s">
        <v>286</v>
      </c>
    </row>
    <row r="25" ht="35.25" customHeight="1">
      <c r="B25" s="499" t="s">
        <v>288</v>
      </c>
    </row>
    <row r="26" ht="67.5" customHeight="1">
      <c r="B26" s="499" t="s">
        <v>289</v>
      </c>
    </row>
    <row r="27" ht="69" customHeight="1">
      <c r="B27" s="499" t="s">
        <v>290</v>
      </c>
    </row>
    <row r="28" ht="69.75" customHeight="1">
      <c r="B28" s="499" t="s">
        <v>291</v>
      </c>
    </row>
    <row r="30" ht="27">
      <c r="B30" s="539" t="s">
        <v>287</v>
      </c>
    </row>
    <row r="31" ht="39.75">
      <c r="B31" s="539" t="s">
        <v>308</v>
      </c>
    </row>
    <row r="32" ht="25.5">
      <c r="B32" s="570" t="s">
        <v>302</v>
      </c>
    </row>
    <row r="35" ht="12.75">
      <c r="B35" s="498" t="s">
        <v>311</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2"/>
  <dimension ref="B2:I74"/>
  <sheetViews>
    <sheetView showGridLines="0" workbookViewId="0" topLeftCell="A1">
      <selection activeCell="G5" sqref="G5"/>
    </sheetView>
  </sheetViews>
  <sheetFormatPr defaultColWidth="9.33203125" defaultRowHeight="12.75"/>
  <cols>
    <col min="1" max="1" width="6.66015625" style="493" customWidth="1"/>
    <col min="2" max="2" width="22" style="493" customWidth="1"/>
    <col min="3" max="3" width="64.83203125" style="493" customWidth="1"/>
    <col min="4" max="4" width="18.33203125" style="493" customWidth="1"/>
    <col min="5" max="5" width="18.33203125" style="495" customWidth="1"/>
    <col min="6" max="7" width="18.33203125" style="493" customWidth="1"/>
    <col min="8" max="8" width="6.66015625" style="493" customWidth="1"/>
    <col min="9" max="9" width="23.5" style="493" customWidth="1"/>
    <col min="10" max="16384" width="9.33203125" style="493" customWidth="1"/>
  </cols>
  <sheetData>
    <row r="2" spans="2:4" ht="23.25">
      <c r="B2" s="569" t="s">
        <v>2</v>
      </c>
      <c r="D2" s="494"/>
    </row>
    <row r="3" ht="12.75">
      <c r="F3" s="496"/>
    </row>
    <row r="4" spans="2:7" ht="18">
      <c r="B4" s="497" t="s">
        <v>266</v>
      </c>
      <c r="G4" s="498" t="s">
        <v>311</v>
      </c>
    </row>
    <row r="6" spans="2:7" ht="39" customHeight="1">
      <c r="B6" s="656" t="s">
        <v>297</v>
      </c>
      <c r="C6" s="656"/>
      <c r="D6" s="656"/>
      <c r="E6" s="656"/>
      <c r="F6" s="656"/>
      <c r="G6" s="656"/>
    </row>
    <row r="7" spans="3:6" ht="12.75">
      <c r="C7" s="499"/>
      <c r="D7" s="499"/>
      <c r="E7" s="499"/>
      <c r="F7" s="499"/>
    </row>
    <row r="8" spans="2:7" ht="15.75">
      <c r="B8" s="657" t="s">
        <v>278</v>
      </c>
      <c r="C8" s="657" t="s">
        <v>267</v>
      </c>
      <c r="D8" s="660" t="s">
        <v>268</v>
      </c>
      <c r="E8" s="661"/>
      <c r="F8" s="661"/>
      <c r="G8" s="662"/>
    </row>
    <row r="9" spans="2:9" ht="39" thickBot="1">
      <c r="B9" s="658"/>
      <c r="C9" s="659"/>
      <c r="D9" s="500" t="s">
        <v>272</v>
      </c>
      <c r="E9" s="501" t="s">
        <v>271</v>
      </c>
      <c r="F9" s="501" t="s">
        <v>280</v>
      </c>
      <c r="G9" s="501" t="s">
        <v>269</v>
      </c>
      <c r="I9" s="502" t="s">
        <v>277</v>
      </c>
    </row>
    <row r="10" spans="2:9" ht="33" customHeight="1">
      <c r="B10" s="503" t="s">
        <v>265</v>
      </c>
      <c r="C10" s="540" t="s">
        <v>273</v>
      </c>
      <c r="D10" s="504">
        <v>1</v>
      </c>
      <c r="E10" s="505">
        <v>1</v>
      </c>
      <c r="F10" s="506" t="s">
        <v>276</v>
      </c>
      <c r="G10" s="507">
        <f>D10</f>
        <v>1</v>
      </c>
      <c r="I10" s="508" t="str">
        <f>IF(D10=E10,IF(D11=E11,"Y","N"),"N")</f>
        <v>Y</v>
      </c>
    </row>
    <row r="11" spans="2:9" ht="33" customHeight="1">
      <c r="B11" s="509" t="s">
        <v>265</v>
      </c>
      <c r="C11" s="540" t="s">
        <v>274</v>
      </c>
      <c r="D11" s="504">
        <v>1</v>
      </c>
      <c r="E11" s="505">
        <v>1</v>
      </c>
      <c r="F11" s="506" t="s">
        <v>276</v>
      </c>
      <c r="G11" s="507">
        <f>D11</f>
        <v>1</v>
      </c>
      <c r="I11" s="510" t="str">
        <f>IF(D13=E13,IF(D14=E14,IF(D15=E15,IF(D16=E16,IF(D17=E17,"Y","N"),"N"),"N"),"N"),"N")</f>
        <v>Y</v>
      </c>
    </row>
    <row r="12" spans="2:7" ht="12.75">
      <c r="B12" s="511"/>
      <c r="C12" s="512"/>
      <c r="D12" s="513"/>
      <c r="E12" s="513"/>
      <c r="F12" s="513"/>
      <c r="G12" s="514"/>
    </row>
    <row r="13" spans="2:9" ht="33" customHeight="1">
      <c r="B13" s="555" t="s">
        <v>275</v>
      </c>
      <c r="C13" s="515" t="s">
        <v>180</v>
      </c>
      <c r="D13" s="546">
        <v>0.0129</v>
      </c>
      <c r="E13" s="557">
        <v>0.0129</v>
      </c>
      <c r="F13" s="561" t="s">
        <v>292</v>
      </c>
      <c r="G13" s="547">
        <f>IF($I$10="Y",D13,E13)</f>
        <v>0.0129</v>
      </c>
      <c r="I13" s="516" t="s">
        <v>279</v>
      </c>
    </row>
    <row r="14" spans="2:9" ht="33" customHeight="1">
      <c r="B14" s="503" t="s">
        <v>275</v>
      </c>
      <c r="C14" s="517" t="s">
        <v>187</v>
      </c>
      <c r="D14" s="518">
        <v>0.05</v>
      </c>
      <c r="E14" s="558">
        <v>0.05</v>
      </c>
      <c r="F14" s="562" t="s">
        <v>293</v>
      </c>
      <c r="G14" s="519">
        <f>IF($I$10="Y",D14,E14)</f>
        <v>0.05</v>
      </c>
      <c r="I14" s="520" t="s">
        <v>307</v>
      </c>
    </row>
    <row r="15" spans="2:9" ht="33" customHeight="1">
      <c r="B15" s="503" t="s">
        <v>275</v>
      </c>
      <c r="C15" s="517" t="s">
        <v>186</v>
      </c>
      <c r="D15" s="548">
        <v>0.5</v>
      </c>
      <c r="E15" s="559">
        <v>0.5</v>
      </c>
      <c r="F15" s="562" t="s">
        <v>294</v>
      </c>
      <c r="G15" s="549">
        <f>IF($I$10="Y",D15,E15)</f>
        <v>0.5</v>
      </c>
      <c r="I15" s="521" t="s">
        <v>1</v>
      </c>
    </row>
    <row r="16" spans="2:9" ht="33" customHeight="1">
      <c r="B16" s="553" t="s">
        <v>275</v>
      </c>
      <c r="C16" s="517" t="s">
        <v>185</v>
      </c>
      <c r="D16" s="552">
        <v>950</v>
      </c>
      <c r="E16" s="560">
        <v>950</v>
      </c>
      <c r="F16" s="563" t="s">
        <v>295</v>
      </c>
      <c r="G16" s="554">
        <f>IF($I$10="Y",D16,E16)</f>
        <v>950</v>
      </c>
      <c r="I16" s="524"/>
    </row>
    <row r="17" spans="2:9" ht="33" customHeight="1">
      <c r="B17" s="522" t="s">
        <v>275</v>
      </c>
      <c r="C17" s="523" t="s">
        <v>296</v>
      </c>
      <c r="D17" s="550">
        <v>1300</v>
      </c>
      <c r="E17" s="556">
        <v>1300</v>
      </c>
      <c r="F17" s="564" t="s">
        <v>0</v>
      </c>
      <c r="G17" s="551">
        <f>IF($I$10="Y",D17,E17)</f>
        <v>1300</v>
      </c>
      <c r="I17" s="524"/>
    </row>
    <row r="18" ht="12.75">
      <c r="E18" s="493"/>
    </row>
    <row r="19" spans="2:7" ht="27" customHeight="1">
      <c r="B19" s="654">
        <f>IF($I$10="N",IF($I$11="N","Reminder: Please reset all summary parameters to original values before changing specific parameters.  Specific parameters will only be used in ERR computation when all summary parameters are set to initial values",0),0)</f>
        <v>0</v>
      </c>
      <c r="C19" s="654"/>
      <c r="D19" s="654"/>
      <c r="E19" s="654"/>
      <c r="F19" s="654"/>
      <c r="G19" s="654"/>
    </row>
    <row r="20" spans="2:6" ht="12.75">
      <c r="B20" s="525"/>
      <c r="C20" s="526"/>
      <c r="D20" s="527"/>
      <c r="E20" s="541"/>
      <c r="F20" s="541"/>
    </row>
    <row r="21" spans="3:6" ht="12.75">
      <c r="C21" s="528" t="s">
        <v>270</v>
      </c>
      <c r="D21" s="529">
        <f>Results!D6</f>
        <v>0.20906553114039444</v>
      </c>
      <c r="E21" s="542"/>
      <c r="F21" s="542"/>
    </row>
    <row r="22" spans="3:6" ht="12.75">
      <c r="C22" s="528"/>
      <c r="D22" s="530"/>
      <c r="E22" s="543"/>
      <c r="F22" s="544"/>
    </row>
    <row r="23" spans="3:6" ht="12.75">
      <c r="C23" s="528" t="s">
        <v>306</v>
      </c>
      <c r="D23" s="531">
        <v>0.209</v>
      </c>
      <c r="E23" s="545"/>
      <c r="F23" s="545"/>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spans="3:7" ht="27" customHeight="1">
      <c r="C74" s="655"/>
      <c r="D74" s="655"/>
      <c r="E74" s="655"/>
      <c r="F74" s="655"/>
      <c r="G74" s="655"/>
    </row>
  </sheetData>
  <mergeCells count="6">
    <mergeCell ref="B19:G19"/>
    <mergeCell ref="C74:G74"/>
    <mergeCell ref="B6:G6"/>
    <mergeCell ref="B8:B9"/>
    <mergeCell ref="C8:C9"/>
    <mergeCell ref="D8:G8"/>
  </mergeCells>
  <conditionalFormatting sqref="B19">
    <cfRule type="cellIs" priority="1" dxfId="0" operator="equal" stopIfTrue="1">
      <formula>0</formula>
    </cfRule>
    <cfRule type="cellIs" priority="2" dxfId="1" operator="notEqual" stopIfTrue="1">
      <formula>0</formula>
    </cfRule>
  </conditionalFormatting>
  <hyperlinks>
    <hyperlink ref="I14" location="'Activity Description'!A1" display="   Activity Description"/>
    <hyperlink ref="I15" location="'User''s Guide'!A1" display="User's Guide"/>
  </hyperlinks>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sheetPr codeName="Sheet4"/>
  <dimension ref="B2:H26"/>
  <sheetViews>
    <sheetView workbookViewId="0" topLeftCell="A1">
      <selection activeCell="A1" sqref="A1"/>
    </sheetView>
  </sheetViews>
  <sheetFormatPr defaultColWidth="9.33203125" defaultRowHeight="12.75"/>
  <cols>
    <col min="1" max="1" width="9.33203125" style="5" customWidth="1"/>
    <col min="2" max="2" width="12.83203125" style="5" customWidth="1"/>
    <col min="3" max="3" width="28.33203125" style="5" customWidth="1"/>
    <col min="4" max="4" width="63.5" style="5" customWidth="1"/>
    <col min="5" max="9" width="12.83203125" style="5" customWidth="1"/>
    <col min="10" max="16384" width="9.33203125" style="5" customWidth="1"/>
  </cols>
  <sheetData>
    <row r="2" ht="15.75">
      <c r="B2" s="236" t="s">
        <v>110</v>
      </c>
    </row>
    <row r="4" spans="2:8" ht="13.5" thickBot="1">
      <c r="B4" s="196"/>
      <c r="C4" s="13"/>
      <c r="D4" s="13"/>
      <c r="E4" s="13"/>
      <c r="F4" s="13"/>
      <c r="G4" s="13"/>
      <c r="H4" s="13"/>
    </row>
    <row r="5" spans="2:8" ht="19.5" customHeight="1">
      <c r="B5" s="579" t="s">
        <v>234</v>
      </c>
      <c r="C5" s="580"/>
      <c r="D5" s="585"/>
      <c r="E5" s="13"/>
      <c r="F5" s="13"/>
      <c r="G5" s="13"/>
      <c r="H5" s="13"/>
    </row>
    <row r="6" spans="2:8" ht="12.75">
      <c r="B6" s="665" t="s">
        <v>142</v>
      </c>
      <c r="C6" s="666"/>
      <c r="D6" s="586">
        <f>'ERR Calculations'!E5</f>
        <v>0.20906553114039444</v>
      </c>
      <c r="E6" s="663"/>
      <c r="F6" s="664"/>
      <c r="G6" s="664"/>
      <c r="H6" s="246"/>
    </row>
    <row r="7" spans="2:8" ht="12.75">
      <c r="B7" s="581" t="s">
        <v>143</v>
      </c>
      <c r="C7" s="582"/>
      <c r="D7" s="586">
        <f>'ERR Calculations'!E6</f>
        <v>0.1912475373076727</v>
      </c>
      <c r="E7" s="373"/>
      <c r="F7" s="373"/>
      <c r="G7" s="373"/>
      <c r="H7" s="246"/>
    </row>
    <row r="8" spans="2:8" ht="12.75">
      <c r="B8" s="581" t="s">
        <v>144</v>
      </c>
      <c r="C8" s="582"/>
      <c r="D8" s="586">
        <f>'ERR Calculations'!E7</f>
        <v>0.17820292056558323</v>
      </c>
      <c r="E8" s="226"/>
      <c r="F8" s="226"/>
      <c r="G8" s="226"/>
      <c r="H8" s="246"/>
    </row>
    <row r="9" spans="2:8" ht="12.75">
      <c r="B9" s="581" t="s">
        <v>145</v>
      </c>
      <c r="C9" s="582"/>
      <c r="D9" s="586">
        <f>'ERR Calculations'!E8</f>
        <v>0.17622785683109615</v>
      </c>
      <c r="E9" s="230"/>
      <c r="F9" s="226"/>
      <c r="G9" s="371"/>
      <c r="H9" s="246"/>
    </row>
    <row r="10" spans="2:8" ht="12.75">
      <c r="B10" s="581" t="s">
        <v>146</v>
      </c>
      <c r="C10" s="582"/>
      <c r="D10" s="586">
        <f>'ERR Calculations'!E9</f>
        <v>0.22526753705862837</v>
      </c>
      <c r="E10" s="226"/>
      <c r="F10" s="226"/>
      <c r="G10" s="371"/>
      <c r="H10" s="84"/>
    </row>
    <row r="11" spans="2:8" ht="12.75">
      <c r="B11" s="581" t="s">
        <v>147</v>
      </c>
      <c r="C11" s="582"/>
      <c r="D11" s="586">
        <f>'ERR Calculations'!E10</f>
        <v>0.24731518795947283</v>
      </c>
      <c r="E11" s="371"/>
      <c r="F11" s="371"/>
      <c r="G11" s="371"/>
      <c r="H11" s="84"/>
    </row>
    <row r="12" spans="2:8" ht="12.75">
      <c r="B12" s="581" t="s">
        <v>148</v>
      </c>
      <c r="C12" s="582"/>
      <c r="D12" s="586">
        <f>'ERR Calculations'!E11</f>
        <v>0.2641160430904268</v>
      </c>
      <c r="E12" s="84"/>
      <c r="F12" s="84"/>
      <c r="G12" s="84"/>
      <c r="H12" s="84"/>
    </row>
    <row r="13" spans="2:8" ht="12.75">
      <c r="B13" s="581" t="s">
        <v>149</v>
      </c>
      <c r="C13" s="582"/>
      <c r="D13" s="586">
        <f>'ERR Calculations'!E12</f>
        <v>0.16015307771740872</v>
      </c>
      <c r="E13" s="233"/>
      <c r="F13" s="84"/>
      <c r="G13" s="84"/>
      <c r="H13" s="84"/>
    </row>
    <row r="14" spans="2:8" ht="12.75">
      <c r="B14" s="581"/>
      <c r="C14" s="582"/>
      <c r="D14" s="586"/>
      <c r="E14" s="233"/>
      <c r="F14" s="84"/>
      <c r="G14" s="84"/>
      <c r="H14" s="84"/>
    </row>
    <row r="15" spans="2:8" ht="12.75">
      <c r="B15" s="581" t="s">
        <v>235</v>
      </c>
      <c r="C15" s="582"/>
      <c r="D15" s="587">
        <f>'ERR Calculations'!E14</f>
        <v>64.70269014546027</v>
      </c>
      <c r="E15" s="233"/>
      <c r="F15" s="84"/>
      <c r="G15" s="84"/>
      <c r="H15" s="84"/>
    </row>
    <row r="16" spans="2:8" ht="12.75">
      <c r="B16" s="581" t="s">
        <v>233</v>
      </c>
      <c r="C16" s="582"/>
      <c r="D16" s="586"/>
      <c r="E16" s="233"/>
      <c r="F16" s="84"/>
      <c r="G16" s="84"/>
      <c r="H16" s="84"/>
    </row>
    <row r="17" spans="2:8" ht="12.75">
      <c r="B17" s="581"/>
      <c r="C17" s="582"/>
      <c r="D17" s="586"/>
      <c r="E17" s="233"/>
      <c r="F17" s="84"/>
      <c r="G17" s="84"/>
      <c r="H17" s="84"/>
    </row>
    <row r="18" spans="2:8" ht="12.75">
      <c r="B18" s="581" t="s">
        <v>236</v>
      </c>
      <c r="C18" s="582"/>
      <c r="D18" s="587">
        <f>'ERR Calculations'!E17</f>
        <v>204.57430498658275</v>
      </c>
      <c r="E18" s="233"/>
      <c r="F18" s="84"/>
      <c r="G18" s="84"/>
      <c r="H18" s="84"/>
    </row>
    <row r="19" spans="2:8" ht="12.75">
      <c r="B19" s="581" t="s">
        <v>233</v>
      </c>
      <c r="C19" s="582"/>
      <c r="D19" s="586"/>
      <c r="E19" s="233"/>
      <c r="F19" s="84"/>
      <c r="G19" s="84"/>
      <c r="H19" s="84"/>
    </row>
    <row r="20" spans="2:8" s="13" customFormat="1" ht="12.75">
      <c r="B20" s="581"/>
      <c r="C20" s="582"/>
      <c r="D20" s="586"/>
      <c r="E20" s="233"/>
      <c r="F20" s="84"/>
      <c r="G20" s="84"/>
      <c r="H20" s="84"/>
    </row>
    <row r="21" spans="2:8" s="13" customFormat="1" ht="12.75">
      <c r="B21" s="581" t="s">
        <v>237</v>
      </c>
      <c r="C21" s="582"/>
      <c r="D21" s="587">
        <f>SUM('ERR Calculations'!I41:M41)</f>
        <v>63.24259</v>
      </c>
      <c r="E21" s="233"/>
      <c r="F21" s="84"/>
      <c r="G21" s="84"/>
      <c r="H21" s="84"/>
    </row>
    <row r="22" spans="2:8" s="13" customFormat="1" ht="13.5" thickBot="1">
      <c r="B22" s="583"/>
      <c r="C22" s="584"/>
      <c r="D22" s="588"/>
      <c r="E22" s="233"/>
      <c r="F22" s="84"/>
      <c r="G22" s="84"/>
      <c r="H22" s="84"/>
    </row>
    <row r="23" spans="2:8" ht="12.75">
      <c r="B23" s="233"/>
      <c r="C23" s="84"/>
      <c r="D23" s="374"/>
      <c r="E23" s="374"/>
      <c r="F23" s="374"/>
      <c r="G23" s="374"/>
      <c r="H23" s="84"/>
    </row>
    <row r="24" spans="2:8" ht="12.75">
      <c r="B24" s="84"/>
      <c r="C24" s="369"/>
      <c r="D24" s="84"/>
      <c r="E24" s="226"/>
      <c r="F24" s="235"/>
      <c r="G24" s="226"/>
      <c r="H24" s="84"/>
    </row>
    <row r="25" spans="2:8" ht="12.75">
      <c r="B25" s="84"/>
      <c r="C25" s="369"/>
      <c r="D25" s="84"/>
      <c r="E25" s="226"/>
      <c r="F25" s="226"/>
      <c r="G25" s="226"/>
      <c r="H25" s="84"/>
    </row>
    <row r="26" spans="2:8" ht="12.75">
      <c r="B26" s="84"/>
      <c r="C26" s="369"/>
      <c r="D26" s="84"/>
      <c r="E26" s="371"/>
      <c r="F26" s="226"/>
      <c r="G26" s="226"/>
      <c r="H26" s="84"/>
    </row>
  </sheetData>
  <mergeCells count="2">
    <mergeCell ref="E6:G6"/>
    <mergeCell ref="B6:C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8">
    <pageSetUpPr fitToPage="1"/>
  </sheetPr>
  <dimension ref="B2:AJ69"/>
  <sheetViews>
    <sheetView workbookViewId="0" topLeftCell="A1">
      <selection activeCell="A1" sqref="A1"/>
    </sheetView>
  </sheetViews>
  <sheetFormatPr defaultColWidth="9.33203125" defaultRowHeight="12.75"/>
  <cols>
    <col min="1" max="1" width="9.33203125" style="84" customWidth="1"/>
    <col min="2" max="2" width="9.66015625" style="231" customWidth="1"/>
    <col min="3" max="3" width="7.16015625" style="231" customWidth="1"/>
    <col min="4" max="4" width="11.33203125" style="84" customWidth="1"/>
    <col min="5" max="5" width="8.33203125" style="84" customWidth="1"/>
    <col min="6" max="6" width="9.16015625" style="84" customWidth="1"/>
    <col min="7" max="7" width="12.33203125" style="84" customWidth="1"/>
    <col min="8" max="8" width="8.83203125" style="84" customWidth="1"/>
    <col min="9" max="9" width="11.5" style="84" customWidth="1"/>
    <col min="10" max="10" width="9.33203125" style="84" customWidth="1"/>
    <col min="11" max="11" width="8.83203125" style="84" customWidth="1"/>
    <col min="12" max="12" width="17" style="84" customWidth="1"/>
    <col min="13" max="13" width="10" style="84" customWidth="1"/>
    <col min="14" max="14" width="8.66015625" style="84" customWidth="1"/>
    <col min="15" max="15" width="6.83203125" style="84" customWidth="1"/>
    <col min="16" max="16" width="11.33203125" style="84" customWidth="1"/>
    <col min="17" max="17" width="6.83203125" style="84" customWidth="1"/>
    <col min="18" max="18" width="11" style="84" customWidth="1"/>
    <col min="19" max="21" width="8.83203125" style="84" customWidth="1"/>
    <col min="22" max="22" width="9.16015625" style="84" customWidth="1"/>
    <col min="23" max="23" width="17.33203125" style="84" customWidth="1"/>
    <col min="24" max="24" width="6.83203125" style="84" customWidth="1"/>
    <col min="25" max="25" width="8" style="84" customWidth="1"/>
    <col min="26" max="26" width="6.83203125" style="84" customWidth="1"/>
    <col min="27" max="27" width="7.83203125" style="84" customWidth="1"/>
    <col min="28" max="16384" width="9.33203125" style="84" customWidth="1"/>
  </cols>
  <sheetData>
    <row r="1" ht="12.75"/>
    <row r="2" spans="2:17" ht="11.25" customHeight="1">
      <c r="B2" s="254" t="s">
        <v>63</v>
      </c>
      <c r="C2" s="85"/>
      <c r="M2" s="86"/>
      <c r="N2" s="86"/>
      <c r="O2" s="86"/>
      <c r="P2" s="86"/>
      <c r="Q2" s="86"/>
    </row>
    <row r="3" spans="2:17" ht="11.25" customHeight="1">
      <c r="B3" s="254"/>
      <c r="C3" s="85"/>
      <c r="M3" s="86"/>
      <c r="N3" s="86"/>
      <c r="O3" s="86"/>
      <c r="P3" s="86"/>
      <c r="Q3" s="86"/>
    </row>
    <row r="4" spans="2:20" ht="11.25" customHeight="1">
      <c r="B4" s="254"/>
      <c r="C4" s="85"/>
      <c r="L4" s="36" t="s">
        <v>70</v>
      </c>
      <c r="M4" s="18"/>
      <c r="N4" s="18"/>
      <c r="O4" s="265"/>
      <c r="P4" s="265"/>
      <c r="Q4" s="265"/>
      <c r="R4" s="264"/>
      <c r="S4" s="264"/>
      <c r="T4" s="293"/>
    </row>
    <row r="5" spans="2:20" ht="11.25" customHeight="1">
      <c r="B5" s="254"/>
      <c r="C5" s="85"/>
      <c r="L5" s="20" t="s">
        <v>71</v>
      </c>
      <c r="M5" s="294">
        <v>1</v>
      </c>
      <c r="N5" s="21"/>
      <c r="O5" s="267"/>
      <c r="P5" s="267"/>
      <c r="Q5" s="267"/>
      <c r="R5" s="240"/>
      <c r="S5" s="240"/>
      <c r="T5" s="241"/>
    </row>
    <row r="6" spans="2:21" ht="11.25" customHeight="1">
      <c r="B6" s="13"/>
      <c r="C6" s="13"/>
      <c r="D6" s="13"/>
      <c r="E6" s="13"/>
      <c r="F6" s="13"/>
      <c r="G6" s="13"/>
      <c r="H6" s="13"/>
      <c r="I6" s="13"/>
      <c r="J6" s="13"/>
      <c r="L6" s="301" t="s">
        <v>102</v>
      </c>
      <c r="M6" s="240"/>
      <c r="N6" s="21"/>
      <c r="O6" s="21"/>
      <c r="P6" s="21"/>
      <c r="Q6" s="80" t="s">
        <v>101</v>
      </c>
      <c r="R6" s="21"/>
      <c r="S6" s="21"/>
      <c r="T6" s="22"/>
      <c r="U6" s="13"/>
    </row>
    <row r="7" spans="2:29" ht="11.25" customHeight="1">
      <c r="B7" s="52"/>
      <c r="C7" s="53"/>
      <c r="D7" s="53"/>
      <c r="E7" s="53"/>
      <c r="F7" s="53"/>
      <c r="G7" s="53"/>
      <c r="H7" s="53"/>
      <c r="I7" s="53"/>
      <c r="J7" s="54"/>
      <c r="L7" s="242"/>
      <c r="M7" s="240">
        <v>1</v>
      </c>
      <c r="N7" s="240">
        <v>2</v>
      </c>
      <c r="O7" s="240">
        <v>3</v>
      </c>
      <c r="P7" s="21"/>
      <c r="Q7" s="21">
        <v>1</v>
      </c>
      <c r="R7" s="21">
        <v>2</v>
      </c>
      <c r="S7" s="21">
        <v>3</v>
      </c>
      <c r="T7" s="22"/>
      <c r="U7" s="13"/>
      <c r="V7" s="52">
        <f aca="true" t="shared" si="0" ref="V7:V13">ROW()-ROW(Costs2)+1</f>
        <v>1</v>
      </c>
      <c r="W7" s="284" t="s">
        <v>20</v>
      </c>
      <c r="X7" s="284" t="s">
        <v>26</v>
      </c>
      <c r="Y7" s="284" t="s">
        <v>27</v>
      </c>
      <c r="Z7" s="284" t="s">
        <v>62</v>
      </c>
      <c r="AA7" s="284" t="s">
        <v>19</v>
      </c>
      <c r="AB7" s="285" t="s">
        <v>18</v>
      </c>
      <c r="AC7" s="13"/>
    </row>
    <row r="8" spans="2:29" ht="11.25" customHeight="1">
      <c r="B8" s="302" t="s">
        <v>38</v>
      </c>
      <c r="C8" s="303"/>
      <c r="D8" s="303"/>
      <c r="E8" s="303"/>
      <c r="F8" s="303"/>
      <c r="G8" s="303"/>
      <c r="H8" s="303"/>
      <c r="I8" s="303"/>
      <c r="J8" s="71"/>
      <c r="L8" s="37"/>
      <c r="M8" s="240">
        <f>IF(M5=1,1,0)</f>
        <v>1</v>
      </c>
      <c r="N8" s="240">
        <f>IF(M5=2,1,0)</f>
        <v>0</v>
      </c>
      <c r="O8" s="240">
        <f>IF(M5=3,1,0)</f>
        <v>0</v>
      </c>
      <c r="P8" s="80" t="s">
        <v>72</v>
      </c>
      <c r="Q8" s="21">
        <f>H33</f>
        <v>25.5</v>
      </c>
      <c r="R8" s="21">
        <f>Q8</f>
        <v>25.5</v>
      </c>
      <c r="S8" s="21">
        <f>R8</f>
        <v>25.5</v>
      </c>
      <c r="T8" s="22"/>
      <c r="U8" s="13"/>
      <c r="V8" s="55">
        <f t="shared" si="0"/>
        <v>2</v>
      </c>
      <c r="W8" s="179" t="s">
        <v>21</v>
      </c>
      <c r="X8" s="286">
        <v>500</v>
      </c>
      <c r="Y8" s="286">
        <v>0</v>
      </c>
      <c r="Z8" s="287">
        <f>Assumptions!H28*10</f>
        <v>483</v>
      </c>
      <c r="AA8" s="286">
        <v>2700</v>
      </c>
      <c r="AB8" s="288">
        <f>H39</f>
        <v>1500</v>
      </c>
      <c r="AC8" s="13"/>
    </row>
    <row r="9" spans="2:29" ht="11.25" customHeight="1">
      <c r="B9" s="304" t="s">
        <v>40</v>
      </c>
      <c r="C9" s="305"/>
      <c r="D9" s="303"/>
      <c r="E9" s="303"/>
      <c r="F9" s="303"/>
      <c r="G9" s="303"/>
      <c r="H9" s="566">
        <v>0.02</v>
      </c>
      <c r="I9" s="303"/>
      <c r="J9" s="71"/>
      <c r="L9" s="237">
        <v>2007</v>
      </c>
      <c r="M9" s="295">
        <v>10</v>
      </c>
      <c r="N9" s="127">
        <v>5</v>
      </c>
      <c r="O9" s="296">
        <v>5</v>
      </c>
      <c r="P9" s="21">
        <f aca="true" t="shared" si="1" ref="P9:P26">(M$8*M9)+(N$8*N9)+(O$8*O9)</f>
        <v>10</v>
      </c>
      <c r="Q9" s="107">
        <f aca="true" t="shared" si="2" ref="Q9:Q26">(1+(0.01*M9))*Q8</f>
        <v>28.05</v>
      </c>
      <c r="R9" s="107">
        <f aca="true" t="shared" si="3" ref="R9:R26">(1+(0.01*N9))*R8</f>
        <v>26.775000000000002</v>
      </c>
      <c r="S9" s="107">
        <f aca="true" t="shared" si="4" ref="S9:S26">(1+(0.01*O9))*S8</f>
        <v>26.775000000000002</v>
      </c>
      <c r="T9" s="217"/>
      <c r="U9" s="93"/>
      <c r="V9" s="55">
        <f t="shared" si="0"/>
        <v>3</v>
      </c>
      <c r="W9" s="179" t="s">
        <v>22</v>
      </c>
      <c r="X9" s="286">
        <v>39</v>
      </c>
      <c r="Y9" s="286">
        <v>39</v>
      </c>
      <c r="Z9" s="286">
        <v>39</v>
      </c>
      <c r="AA9" s="286">
        <v>35</v>
      </c>
      <c r="AB9" s="288">
        <f>H44</f>
        <v>70</v>
      </c>
      <c r="AC9" s="13"/>
    </row>
    <row r="10" spans="2:29" ht="11.25" customHeight="1">
      <c r="B10" s="304" t="s">
        <v>43</v>
      </c>
      <c r="C10" s="305"/>
      <c r="D10" s="303"/>
      <c r="E10" s="303"/>
      <c r="F10" s="303"/>
      <c r="G10" s="303"/>
      <c r="H10" s="566">
        <v>0.02</v>
      </c>
      <c r="I10" s="303"/>
      <c r="J10" s="71"/>
      <c r="L10" s="237">
        <v>2008</v>
      </c>
      <c r="M10" s="295">
        <v>10</v>
      </c>
      <c r="N10" s="127">
        <v>5</v>
      </c>
      <c r="O10" s="296">
        <v>50</v>
      </c>
      <c r="P10" s="21">
        <f t="shared" si="1"/>
        <v>10</v>
      </c>
      <c r="Q10" s="107">
        <f t="shared" si="2"/>
        <v>30.855000000000004</v>
      </c>
      <c r="R10" s="107">
        <f t="shared" si="3"/>
        <v>28.113750000000003</v>
      </c>
      <c r="S10" s="107">
        <f t="shared" si="4"/>
        <v>40.1625</v>
      </c>
      <c r="T10" s="217"/>
      <c r="U10" s="93"/>
      <c r="V10" s="55">
        <f t="shared" si="0"/>
        <v>4</v>
      </c>
      <c r="W10" s="179" t="s">
        <v>37</v>
      </c>
      <c r="X10" s="286">
        <v>0</v>
      </c>
      <c r="Y10" s="286">
        <v>0</v>
      </c>
      <c r="Z10" s="286">
        <v>0</v>
      </c>
      <c r="AA10" s="286">
        <v>0</v>
      </c>
      <c r="AB10" s="288">
        <f>H43*0.001</f>
        <v>0.006</v>
      </c>
      <c r="AC10" s="13"/>
    </row>
    <row r="11" spans="2:29" ht="26.25" customHeight="1">
      <c r="B11" s="304"/>
      <c r="C11" s="303"/>
      <c r="D11" s="303"/>
      <c r="E11" s="303"/>
      <c r="F11" s="388" t="s">
        <v>45</v>
      </c>
      <c r="G11" s="388" t="s">
        <v>46</v>
      </c>
      <c r="H11" s="388" t="s">
        <v>47</v>
      </c>
      <c r="I11" s="388" t="s">
        <v>107</v>
      </c>
      <c r="J11" s="71"/>
      <c r="L11" s="237">
        <v>2009</v>
      </c>
      <c r="M11" s="295">
        <v>10</v>
      </c>
      <c r="N11" s="127">
        <v>20</v>
      </c>
      <c r="O11" s="296">
        <v>80</v>
      </c>
      <c r="P11" s="21">
        <f t="shared" si="1"/>
        <v>10</v>
      </c>
      <c r="Q11" s="107">
        <f t="shared" si="2"/>
        <v>33.94050000000001</v>
      </c>
      <c r="R11" s="107">
        <f t="shared" si="3"/>
        <v>33.7365</v>
      </c>
      <c r="S11" s="107">
        <f t="shared" si="4"/>
        <v>72.2925</v>
      </c>
      <c r="T11" s="217"/>
      <c r="U11" s="93"/>
      <c r="V11" s="55">
        <f t="shared" si="0"/>
        <v>5</v>
      </c>
      <c r="W11" s="179" t="s">
        <v>23</v>
      </c>
      <c r="X11" s="289">
        <v>0.03</v>
      </c>
      <c r="Y11" s="289">
        <v>0.03</v>
      </c>
      <c r="Z11" s="289">
        <v>0.04</v>
      </c>
      <c r="AA11" s="289">
        <v>0</v>
      </c>
      <c r="AB11" s="290">
        <f>H42*H41*1.02*0.001</f>
        <v>0.09932250000000001</v>
      </c>
      <c r="AC11" s="13"/>
    </row>
    <row r="12" spans="2:29" ht="11.25" customHeight="1">
      <c r="B12" s="304" t="s">
        <v>93</v>
      </c>
      <c r="C12" s="305"/>
      <c r="D12" s="303"/>
      <c r="E12" s="303"/>
      <c r="F12" s="565">
        <v>0.55</v>
      </c>
      <c r="G12" s="565">
        <v>0.56</v>
      </c>
      <c r="H12" s="565">
        <v>0.58</v>
      </c>
      <c r="I12" s="565">
        <v>0.6</v>
      </c>
      <c r="J12" s="71"/>
      <c r="L12" s="237">
        <v>2010</v>
      </c>
      <c r="M12" s="295">
        <v>10</v>
      </c>
      <c r="N12" s="127">
        <v>30</v>
      </c>
      <c r="O12" s="296">
        <v>20</v>
      </c>
      <c r="P12" s="21">
        <f t="shared" si="1"/>
        <v>10</v>
      </c>
      <c r="Q12" s="107">
        <f t="shared" si="2"/>
        <v>37.334550000000014</v>
      </c>
      <c r="R12" s="107">
        <f t="shared" si="3"/>
        <v>43.85745</v>
      </c>
      <c r="S12" s="107">
        <f t="shared" si="4"/>
        <v>86.751</v>
      </c>
      <c r="T12" s="217"/>
      <c r="U12" s="93"/>
      <c r="V12" s="55">
        <f t="shared" si="0"/>
        <v>6</v>
      </c>
      <c r="W12" s="179" t="s">
        <v>29</v>
      </c>
      <c r="X12" s="286">
        <v>34</v>
      </c>
      <c r="Y12" s="286">
        <v>6</v>
      </c>
      <c r="Z12" s="286">
        <v>40</v>
      </c>
      <c r="AA12" s="286">
        <v>20</v>
      </c>
      <c r="AB12" s="288">
        <f>H40</f>
        <v>20</v>
      </c>
      <c r="AC12" s="13"/>
    </row>
    <row r="13" spans="2:29" ht="11.25" customHeight="1">
      <c r="B13" s="304" t="s">
        <v>50</v>
      </c>
      <c r="C13" s="305"/>
      <c r="D13" s="303"/>
      <c r="E13" s="303"/>
      <c r="F13" s="303"/>
      <c r="G13" s="303"/>
      <c r="H13" s="565">
        <v>0.98</v>
      </c>
      <c r="I13" s="303"/>
      <c r="J13" s="71"/>
      <c r="L13" s="237">
        <v>2011</v>
      </c>
      <c r="M13" s="295">
        <v>2</v>
      </c>
      <c r="N13" s="127">
        <v>30</v>
      </c>
      <c r="O13" s="296">
        <v>0</v>
      </c>
      <c r="P13" s="21">
        <f t="shared" si="1"/>
        <v>2</v>
      </c>
      <c r="Q13" s="107">
        <f t="shared" si="2"/>
        <v>38.08124100000001</v>
      </c>
      <c r="R13" s="107">
        <f t="shared" si="3"/>
        <v>57.014685</v>
      </c>
      <c r="S13" s="107">
        <f t="shared" si="4"/>
        <v>86.751</v>
      </c>
      <c r="T13" s="217"/>
      <c r="U13" s="93"/>
      <c r="V13" s="10">
        <f t="shared" si="0"/>
        <v>7</v>
      </c>
      <c r="W13" s="185" t="s">
        <v>25</v>
      </c>
      <c r="X13" s="291">
        <v>0.56</v>
      </c>
      <c r="Y13" s="291">
        <v>0.8</v>
      </c>
      <c r="Z13" s="291">
        <v>0.61</v>
      </c>
      <c r="AA13" s="291">
        <v>0.34</v>
      </c>
      <c r="AB13" s="292">
        <v>0</v>
      </c>
      <c r="AC13" s="13"/>
    </row>
    <row r="14" spans="2:29" ht="11.25" customHeight="1">
      <c r="B14" s="304" t="s">
        <v>52</v>
      </c>
      <c r="C14" s="305"/>
      <c r="D14" s="303"/>
      <c r="E14" s="303"/>
      <c r="F14" s="303"/>
      <c r="G14" s="303"/>
      <c r="H14" s="306">
        <f>'ERR &amp; Sensitivity Analysis'!G17</f>
        <v>1300</v>
      </c>
      <c r="I14" s="303"/>
      <c r="J14" s="71"/>
      <c r="L14" s="237">
        <v>2012</v>
      </c>
      <c r="M14" s="295">
        <v>2</v>
      </c>
      <c r="N14" s="127">
        <v>0</v>
      </c>
      <c r="O14" s="296">
        <v>0</v>
      </c>
      <c r="P14" s="21">
        <f t="shared" si="1"/>
        <v>2</v>
      </c>
      <c r="Q14" s="107">
        <f t="shared" si="2"/>
        <v>38.842865820000014</v>
      </c>
      <c r="R14" s="107">
        <f t="shared" si="3"/>
        <v>57.014685</v>
      </c>
      <c r="S14" s="107">
        <f t="shared" si="4"/>
        <v>86.751</v>
      </c>
      <c r="T14" s="217"/>
      <c r="U14" s="93"/>
      <c r="V14" s="13"/>
      <c r="W14" s="13"/>
      <c r="X14" s="255"/>
      <c r="Y14" s="255"/>
      <c r="Z14" s="255"/>
      <c r="AA14" s="255"/>
      <c r="AB14" s="13"/>
      <c r="AC14" s="13"/>
    </row>
    <row r="15" spans="2:29" ht="11.25" customHeight="1">
      <c r="B15" s="4" t="s">
        <v>108</v>
      </c>
      <c r="C15" s="56"/>
      <c r="D15" s="56"/>
      <c r="E15" s="56"/>
      <c r="F15" s="56"/>
      <c r="G15" s="56"/>
      <c r="H15" s="478">
        <v>0.12</v>
      </c>
      <c r="I15" s="56"/>
      <c r="J15" s="71"/>
      <c r="L15" s="237">
        <v>2013</v>
      </c>
      <c r="M15" s="295">
        <v>2</v>
      </c>
      <c r="N15" s="127">
        <v>0</v>
      </c>
      <c r="O15" s="296">
        <v>0</v>
      </c>
      <c r="P15" s="21">
        <f t="shared" si="1"/>
        <v>2</v>
      </c>
      <c r="Q15" s="107">
        <f t="shared" si="2"/>
        <v>39.61972313640001</v>
      </c>
      <c r="R15" s="107">
        <f t="shared" si="3"/>
        <v>57.014685</v>
      </c>
      <c r="S15" s="107">
        <f t="shared" si="4"/>
        <v>86.751</v>
      </c>
      <c r="T15" s="217"/>
      <c r="U15" s="93"/>
      <c r="V15" s="13"/>
      <c r="W15" s="13"/>
      <c r="X15" s="13"/>
      <c r="Y15" s="13"/>
      <c r="Z15" s="13"/>
      <c r="AA15" s="13"/>
      <c r="AB15" s="13"/>
      <c r="AC15" s="13"/>
    </row>
    <row r="16" spans="2:29" ht="11.25" customHeight="1">
      <c r="B16" s="4" t="s">
        <v>179</v>
      </c>
      <c r="C16" s="56"/>
      <c r="D16" s="56"/>
      <c r="E16" s="56"/>
      <c r="F16" s="56"/>
      <c r="G16" s="56"/>
      <c r="H16" s="14">
        <v>0.064</v>
      </c>
      <c r="I16" s="56"/>
      <c r="J16" s="71"/>
      <c r="L16" s="237">
        <v>2014</v>
      </c>
      <c r="M16" s="295">
        <v>2</v>
      </c>
      <c r="N16" s="127">
        <v>0</v>
      </c>
      <c r="O16" s="296">
        <v>0</v>
      </c>
      <c r="P16" s="21">
        <f t="shared" si="1"/>
        <v>2</v>
      </c>
      <c r="Q16" s="107">
        <f t="shared" si="2"/>
        <v>40.41211759912801</v>
      </c>
      <c r="R16" s="107">
        <f t="shared" si="3"/>
        <v>57.014685</v>
      </c>
      <c r="S16" s="107">
        <f t="shared" si="4"/>
        <v>86.751</v>
      </c>
      <c r="T16" s="217"/>
      <c r="U16" s="93"/>
      <c r="V16" s="13"/>
      <c r="W16" s="13"/>
      <c r="X16" s="13"/>
      <c r="Y16" s="13"/>
      <c r="Z16" s="13"/>
      <c r="AA16" s="13"/>
      <c r="AB16" s="13"/>
      <c r="AC16" s="13"/>
    </row>
    <row r="17" spans="2:21" ht="11.25" customHeight="1">
      <c r="B17" s="381" t="s">
        <v>180</v>
      </c>
      <c r="C17" s="389"/>
      <c r="D17" s="56"/>
      <c r="E17" s="56"/>
      <c r="F17" s="56"/>
      <c r="G17" s="56"/>
      <c r="H17" s="390">
        <f>'ERR &amp; Sensitivity Analysis'!G13</f>
        <v>0.0129</v>
      </c>
      <c r="I17" s="56"/>
      <c r="J17" s="71"/>
      <c r="L17" s="237">
        <v>2015</v>
      </c>
      <c r="M17" s="295">
        <v>2</v>
      </c>
      <c r="N17" s="127">
        <v>0</v>
      </c>
      <c r="O17" s="296">
        <v>0</v>
      </c>
      <c r="P17" s="21">
        <f t="shared" si="1"/>
        <v>2</v>
      </c>
      <c r="Q17" s="107">
        <f t="shared" si="2"/>
        <v>41.220359951110574</v>
      </c>
      <c r="R17" s="107">
        <f t="shared" si="3"/>
        <v>57.014685</v>
      </c>
      <c r="S17" s="107">
        <f t="shared" si="4"/>
        <v>86.751</v>
      </c>
      <c r="T17" s="217"/>
      <c r="U17" s="93"/>
    </row>
    <row r="18" spans="2:21" ht="11.25" customHeight="1">
      <c r="B18" s="4" t="s">
        <v>187</v>
      </c>
      <c r="C18" s="56"/>
      <c r="D18" s="56"/>
      <c r="E18" s="56"/>
      <c r="F18" s="56"/>
      <c r="G18" s="56"/>
      <c r="H18" s="9">
        <f>'ERR &amp; Sensitivity Analysis'!G14</f>
        <v>0.05</v>
      </c>
      <c r="I18" s="462">
        <v>0.05</v>
      </c>
      <c r="J18" s="71"/>
      <c r="L18" s="237">
        <v>2016</v>
      </c>
      <c r="M18" s="295">
        <v>2</v>
      </c>
      <c r="N18" s="127">
        <v>0</v>
      </c>
      <c r="O18" s="296">
        <v>0</v>
      </c>
      <c r="P18" s="21">
        <f t="shared" si="1"/>
        <v>2</v>
      </c>
      <c r="Q18" s="107">
        <f t="shared" si="2"/>
        <v>42.044767150132785</v>
      </c>
      <c r="R18" s="107">
        <f t="shared" si="3"/>
        <v>57.014685</v>
      </c>
      <c r="S18" s="107">
        <f t="shared" si="4"/>
        <v>86.751</v>
      </c>
      <c r="T18" s="217"/>
      <c r="U18" s="93"/>
    </row>
    <row r="19" spans="2:21" ht="11.25" customHeight="1">
      <c r="B19" s="387" t="s">
        <v>188</v>
      </c>
      <c r="C19" s="305"/>
      <c r="D19" s="303"/>
      <c r="E19" s="303"/>
      <c r="F19" s="303"/>
      <c r="G19" s="303"/>
      <c r="H19" s="14">
        <v>0.07</v>
      </c>
      <c r="I19" s="463">
        <v>0.07</v>
      </c>
      <c r="J19" s="386"/>
      <c r="L19" s="237">
        <v>2017</v>
      </c>
      <c r="M19" s="295">
        <v>2</v>
      </c>
      <c r="N19" s="127">
        <v>0</v>
      </c>
      <c r="O19" s="296">
        <v>0</v>
      </c>
      <c r="P19" s="21">
        <f t="shared" si="1"/>
        <v>2</v>
      </c>
      <c r="Q19" s="107">
        <f t="shared" si="2"/>
        <v>42.88566249313544</v>
      </c>
      <c r="R19" s="107">
        <f t="shared" si="3"/>
        <v>57.014685</v>
      </c>
      <c r="S19" s="107">
        <f t="shared" si="4"/>
        <v>86.751</v>
      </c>
      <c r="T19" s="217"/>
      <c r="U19" s="93"/>
    </row>
    <row r="20" spans="2:21" ht="11.25" customHeight="1">
      <c r="B20" s="387" t="s">
        <v>186</v>
      </c>
      <c r="C20" s="305"/>
      <c r="D20" s="303"/>
      <c r="E20" s="303"/>
      <c r="F20" s="303"/>
      <c r="G20" s="303"/>
      <c r="H20" s="7">
        <v>0.5</v>
      </c>
      <c r="I20" s="303">
        <v>0.75</v>
      </c>
      <c r="J20" s="386"/>
      <c r="L20" s="237">
        <v>2018</v>
      </c>
      <c r="M20" s="295">
        <v>2</v>
      </c>
      <c r="N20" s="127">
        <v>0</v>
      </c>
      <c r="O20" s="296">
        <v>0</v>
      </c>
      <c r="P20" s="21">
        <f t="shared" si="1"/>
        <v>2</v>
      </c>
      <c r="Q20" s="107">
        <f t="shared" si="2"/>
        <v>43.743375742998154</v>
      </c>
      <c r="R20" s="107">
        <f t="shared" si="3"/>
        <v>57.014685</v>
      </c>
      <c r="S20" s="107">
        <f t="shared" si="4"/>
        <v>86.751</v>
      </c>
      <c r="T20" s="217"/>
      <c r="U20" s="93"/>
    </row>
    <row r="21" spans="2:21" ht="11.25" customHeight="1">
      <c r="B21" s="387" t="s">
        <v>227</v>
      </c>
      <c r="C21" s="305"/>
      <c r="D21" s="303"/>
      <c r="E21" s="303"/>
      <c r="F21" s="303"/>
      <c r="G21" s="303"/>
      <c r="H21" s="56">
        <v>7</v>
      </c>
      <c r="I21" s="303">
        <v>15</v>
      </c>
      <c r="J21" s="386"/>
      <c r="L21" s="237">
        <v>2019</v>
      </c>
      <c r="M21" s="295">
        <v>2</v>
      </c>
      <c r="N21" s="127">
        <v>0</v>
      </c>
      <c r="O21" s="296">
        <v>0</v>
      </c>
      <c r="P21" s="21">
        <f t="shared" si="1"/>
        <v>2</v>
      </c>
      <c r="Q21" s="107">
        <f t="shared" si="2"/>
        <v>44.61824325785812</v>
      </c>
      <c r="R21" s="107">
        <f t="shared" si="3"/>
        <v>57.014685</v>
      </c>
      <c r="S21" s="107">
        <f t="shared" si="4"/>
        <v>86.751</v>
      </c>
      <c r="T21" s="217"/>
      <c r="U21" s="93"/>
    </row>
    <row r="22" spans="2:21" ht="11.25" customHeight="1">
      <c r="B22" s="387" t="s">
        <v>185</v>
      </c>
      <c r="C22" s="305"/>
      <c r="D22" s="303"/>
      <c r="E22" s="303"/>
      <c r="F22" s="303"/>
      <c r="G22" s="303"/>
      <c r="H22" s="6">
        <f>'ERR &amp; Sensitivity Analysis'!G16</f>
        <v>950</v>
      </c>
      <c r="I22" s="303">
        <v>950</v>
      </c>
      <c r="J22" s="386"/>
      <c r="L22" s="237">
        <v>2020</v>
      </c>
      <c r="M22" s="295">
        <v>2</v>
      </c>
      <c r="N22" s="127">
        <v>0</v>
      </c>
      <c r="O22" s="296">
        <v>0</v>
      </c>
      <c r="P22" s="21">
        <f t="shared" si="1"/>
        <v>2</v>
      </c>
      <c r="Q22" s="107">
        <f t="shared" si="2"/>
        <v>45.51060812301528</v>
      </c>
      <c r="R22" s="107">
        <f t="shared" si="3"/>
        <v>57.014685</v>
      </c>
      <c r="S22" s="107">
        <f t="shared" si="4"/>
        <v>86.751</v>
      </c>
      <c r="T22" s="217"/>
      <c r="U22" s="93"/>
    </row>
    <row r="23" spans="2:21" ht="11.25" customHeight="1">
      <c r="B23" s="304" t="s">
        <v>226</v>
      </c>
      <c r="C23" s="303"/>
      <c r="D23" s="303"/>
      <c r="E23" s="303"/>
      <c r="F23" s="303"/>
      <c r="G23" s="303"/>
      <c r="H23" s="450">
        <f>181000/65000</f>
        <v>2.7846153846153845</v>
      </c>
      <c r="I23" s="303"/>
      <c r="J23" s="386"/>
      <c r="L23" s="237">
        <v>2021</v>
      </c>
      <c r="M23" s="295">
        <v>2</v>
      </c>
      <c r="N23" s="127">
        <v>0</v>
      </c>
      <c r="O23" s="296">
        <v>0</v>
      </c>
      <c r="P23" s="21">
        <f t="shared" si="1"/>
        <v>2</v>
      </c>
      <c r="Q23" s="107">
        <f t="shared" si="2"/>
        <v>46.420820285475585</v>
      </c>
      <c r="R23" s="107">
        <f t="shared" si="3"/>
        <v>57.014685</v>
      </c>
      <c r="S23" s="107">
        <f t="shared" si="4"/>
        <v>86.751</v>
      </c>
      <c r="T23" s="217"/>
      <c r="U23" s="93"/>
    </row>
    <row r="24" spans="2:21" ht="11.25" customHeight="1">
      <c r="B24" s="304" t="s">
        <v>225</v>
      </c>
      <c r="C24" s="305"/>
      <c r="D24" s="303"/>
      <c r="E24" s="303"/>
      <c r="F24" s="303"/>
      <c r="G24" s="303"/>
      <c r="H24" s="450">
        <f>1/H23</f>
        <v>0.35911602209944754</v>
      </c>
      <c r="I24" s="303"/>
      <c r="J24" s="386"/>
      <c r="L24" s="237">
        <v>2022</v>
      </c>
      <c r="M24" s="295">
        <v>2</v>
      </c>
      <c r="N24" s="127">
        <v>0</v>
      </c>
      <c r="O24" s="296">
        <v>0</v>
      </c>
      <c r="P24" s="21">
        <f t="shared" si="1"/>
        <v>2</v>
      </c>
      <c r="Q24" s="107">
        <f t="shared" si="2"/>
        <v>47.3492366911851</v>
      </c>
      <c r="R24" s="107">
        <f t="shared" si="3"/>
        <v>57.014685</v>
      </c>
      <c r="S24" s="107">
        <f t="shared" si="4"/>
        <v>86.751</v>
      </c>
      <c r="T24" s="217"/>
      <c r="U24" s="93"/>
    </row>
    <row r="25" spans="2:21" ht="11.25" customHeight="1">
      <c r="B25" s="385"/>
      <c r="C25" s="305"/>
      <c r="D25" s="303"/>
      <c r="E25" s="303"/>
      <c r="F25" s="303"/>
      <c r="G25" s="303"/>
      <c r="H25" s="303"/>
      <c r="I25" s="303"/>
      <c r="J25" s="386"/>
      <c r="L25" s="237">
        <v>2023</v>
      </c>
      <c r="M25" s="295">
        <v>2</v>
      </c>
      <c r="N25" s="127">
        <v>0</v>
      </c>
      <c r="O25" s="296">
        <v>0</v>
      </c>
      <c r="P25" s="21">
        <f t="shared" si="1"/>
        <v>2</v>
      </c>
      <c r="Q25" s="107">
        <f t="shared" si="2"/>
        <v>48.2962214250088</v>
      </c>
      <c r="R25" s="107">
        <f t="shared" si="3"/>
        <v>57.014685</v>
      </c>
      <c r="S25" s="107">
        <f t="shared" si="4"/>
        <v>86.751</v>
      </c>
      <c r="T25" s="217"/>
      <c r="U25" s="93"/>
    </row>
    <row r="26" spans="2:21" ht="11.25" customHeight="1">
      <c r="B26" s="302" t="s">
        <v>94</v>
      </c>
      <c r="C26" s="303"/>
      <c r="D26" s="303"/>
      <c r="E26" s="303"/>
      <c r="F26" s="303"/>
      <c r="G26" s="56"/>
      <c r="H26" s="56"/>
      <c r="I26" s="56"/>
      <c r="J26" s="71"/>
      <c r="L26" s="237">
        <v>2024</v>
      </c>
      <c r="M26" s="295">
        <v>2</v>
      </c>
      <c r="N26" s="127">
        <v>0</v>
      </c>
      <c r="O26" s="296">
        <v>0</v>
      </c>
      <c r="P26" s="21">
        <f t="shared" si="1"/>
        <v>2</v>
      </c>
      <c r="Q26" s="107">
        <f t="shared" si="2"/>
        <v>49.26214585350898</v>
      </c>
      <c r="R26" s="107">
        <f t="shared" si="3"/>
        <v>57.014685</v>
      </c>
      <c r="S26" s="107">
        <f t="shared" si="4"/>
        <v>86.751</v>
      </c>
      <c r="T26" s="217"/>
      <c r="U26" s="93"/>
    </row>
    <row r="27" spans="2:21" ht="11.25" customHeight="1">
      <c r="B27" s="304" t="s">
        <v>41</v>
      </c>
      <c r="C27" s="303"/>
      <c r="D27" s="303"/>
      <c r="E27" s="303"/>
      <c r="F27" s="303"/>
      <c r="G27" s="56"/>
      <c r="H27" s="479">
        <v>59.13</v>
      </c>
      <c r="I27" s="56"/>
      <c r="J27" s="71"/>
      <c r="L27" s="237">
        <v>2025</v>
      </c>
      <c r="M27" s="295">
        <v>2</v>
      </c>
      <c r="N27" s="127">
        <v>0</v>
      </c>
      <c r="O27" s="296">
        <v>0</v>
      </c>
      <c r="P27" s="21">
        <f aca="true" t="shared" si="5" ref="P27:P35">(M$8*M27)+(N$8*N27)+(O$8*O27)</f>
        <v>2</v>
      </c>
      <c r="Q27" s="107">
        <f aca="true" t="shared" si="6" ref="Q27:Q35">(1+(0.01*M27))*Q26</f>
        <v>50.247388770579164</v>
      </c>
      <c r="R27" s="107">
        <f aca="true" t="shared" si="7" ref="R27:R35">(1+(0.01*N27))*R26</f>
        <v>57.014685</v>
      </c>
      <c r="S27" s="107">
        <f aca="true" t="shared" si="8" ref="S27:S35">(1+(0.01*O27))*S26</f>
        <v>86.751</v>
      </c>
      <c r="T27" s="217"/>
      <c r="U27" s="93"/>
    </row>
    <row r="28" spans="2:21" ht="11.25" customHeight="1">
      <c r="B28" s="304" t="s">
        <v>96</v>
      </c>
      <c r="C28" s="303"/>
      <c r="D28" s="303"/>
      <c r="E28" s="303"/>
      <c r="F28" s="303"/>
      <c r="G28" s="56"/>
      <c r="H28" s="477">
        <v>48.3</v>
      </c>
      <c r="I28" s="56"/>
      <c r="J28" s="71"/>
      <c r="L28" s="237">
        <v>2026</v>
      </c>
      <c r="M28" s="295">
        <v>2</v>
      </c>
      <c r="N28" s="127">
        <v>0</v>
      </c>
      <c r="O28" s="296">
        <v>0</v>
      </c>
      <c r="P28" s="21">
        <f t="shared" si="5"/>
        <v>2</v>
      </c>
      <c r="Q28" s="107">
        <f t="shared" si="6"/>
        <v>51.25233654599075</v>
      </c>
      <c r="R28" s="107">
        <f t="shared" si="7"/>
        <v>57.014685</v>
      </c>
      <c r="S28" s="107">
        <f t="shared" si="8"/>
        <v>86.751</v>
      </c>
      <c r="T28" s="217"/>
      <c r="U28" s="93"/>
    </row>
    <row r="29" spans="2:21" ht="11.25" customHeight="1">
      <c r="B29" s="304" t="s">
        <v>44</v>
      </c>
      <c r="C29" s="303"/>
      <c r="D29" s="303"/>
      <c r="E29" s="303"/>
      <c r="F29" s="303"/>
      <c r="G29" s="56"/>
      <c r="H29" s="565">
        <v>40</v>
      </c>
      <c r="I29" s="56"/>
      <c r="J29" s="71"/>
      <c r="L29" s="237">
        <v>2027</v>
      </c>
      <c r="M29" s="295">
        <v>2</v>
      </c>
      <c r="N29" s="127">
        <v>0</v>
      </c>
      <c r="O29" s="296">
        <v>0</v>
      </c>
      <c r="P29" s="21">
        <f t="shared" si="5"/>
        <v>2</v>
      </c>
      <c r="Q29" s="107">
        <f t="shared" si="6"/>
        <v>52.27738327691057</v>
      </c>
      <c r="R29" s="107">
        <f t="shared" si="7"/>
        <v>57.014685</v>
      </c>
      <c r="S29" s="107">
        <f t="shared" si="8"/>
        <v>86.751</v>
      </c>
      <c r="T29" s="217"/>
      <c r="U29" s="93"/>
    </row>
    <row r="30" spans="2:21" ht="11.25" customHeight="1">
      <c r="B30" s="304" t="s">
        <v>74</v>
      </c>
      <c r="C30" s="303"/>
      <c r="D30" s="303"/>
      <c r="E30" s="303"/>
      <c r="F30" s="303"/>
      <c r="G30" s="56"/>
      <c r="H30" s="567">
        <v>0.5</v>
      </c>
      <c r="I30" s="56"/>
      <c r="J30" s="71"/>
      <c r="L30" s="237">
        <v>2028</v>
      </c>
      <c r="M30" s="295">
        <v>2</v>
      </c>
      <c r="N30" s="127">
        <v>0</v>
      </c>
      <c r="O30" s="296">
        <v>0</v>
      </c>
      <c r="P30" s="21">
        <f t="shared" si="5"/>
        <v>2</v>
      </c>
      <c r="Q30" s="107">
        <f t="shared" si="6"/>
        <v>53.322930942448785</v>
      </c>
      <c r="R30" s="107">
        <f t="shared" si="7"/>
        <v>57.014685</v>
      </c>
      <c r="S30" s="107">
        <f t="shared" si="8"/>
        <v>86.751</v>
      </c>
      <c r="T30" s="217"/>
      <c r="U30" s="93"/>
    </row>
    <row r="31" spans="2:21" ht="11.25" customHeight="1">
      <c r="B31" s="304" t="s">
        <v>54</v>
      </c>
      <c r="C31" s="303"/>
      <c r="D31" s="303"/>
      <c r="E31" s="303"/>
      <c r="F31" s="303"/>
      <c r="G31" s="56"/>
      <c r="H31" s="565">
        <v>195</v>
      </c>
      <c r="I31" s="56"/>
      <c r="J31" s="71"/>
      <c r="L31" s="237">
        <v>2029</v>
      </c>
      <c r="M31" s="295">
        <v>2</v>
      </c>
      <c r="N31" s="127">
        <v>0</v>
      </c>
      <c r="O31" s="296">
        <v>0</v>
      </c>
      <c r="P31" s="21">
        <f t="shared" si="5"/>
        <v>2</v>
      </c>
      <c r="Q31" s="107">
        <f t="shared" si="6"/>
        <v>54.38938956129776</v>
      </c>
      <c r="R31" s="107">
        <f t="shared" si="7"/>
        <v>57.014685</v>
      </c>
      <c r="S31" s="107">
        <f t="shared" si="8"/>
        <v>86.751</v>
      </c>
      <c r="T31" s="217"/>
      <c r="U31" s="93"/>
    </row>
    <row r="32" spans="2:21" ht="11.25" customHeight="1">
      <c r="B32" s="304" t="s">
        <v>55</v>
      </c>
      <c r="C32" s="303"/>
      <c r="D32" s="303"/>
      <c r="E32" s="303"/>
      <c r="F32" s="303"/>
      <c r="G32" s="56"/>
      <c r="H32" s="565">
        <f>H27*0.015</f>
        <v>0.88695</v>
      </c>
      <c r="I32" s="56"/>
      <c r="J32" s="71"/>
      <c r="L32" s="237">
        <v>2030</v>
      </c>
      <c r="M32" s="295">
        <v>2</v>
      </c>
      <c r="N32" s="127">
        <v>0</v>
      </c>
      <c r="O32" s="296">
        <v>0</v>
      </c>
      <c r="P32" s="21">
        <f t="shared" si="5"/>
        <v>2</v>
      </c>
      <c r="Q32" s="107">
        <f t="shared" si="6"/>
        <v>55.47717735252372</v>
      </c>
      <c r="R32" s="107">
        <f t="shared" si="7"/>
        <v>57.014685</v>
      </c>
      <c r="S32" s="107">
        <f t="shared" si="8"/>
        <v>86.751</v>
      </c>
      <c r="T32" s="217"/>
      <c r="U32" s="93"/>
    </row>
    <row r="33" spans="2:21" ht="11.25" customHeight="1">
      <c r="B33" s="304" t="s">
        <v>56</v>
      </c>
      <c r="C33" s="303"/>
      <c r="D33" s="303"/>
      <c r="E33" s="307" t="s">
        <v>91</v>
      </c>
      <c r="F33" s="303"/>
      <c r="G33" s="56"/>
      <c r="H33" s="565">
        <v>25.5</v>
      </c>
      <c r="I33" s="56"/>
      <c r="J33" s="71"/>
      <c r="L33" s="237">
        <v>2031</v>
      </c>
      <c r="M33" s="295">
        <v>2</v>
      </c>
      <c r="N33" s="127">
        <v>0</v>
      </c>
      <c r="O33" s="296">
        <v>0</v>
      </c>
      <c r="P33" s="21">
        <f t="shared" si="5"/>
        <v>2</v>
      </c>
      <c r="Q33" s="107">
        <f t="shared" si="6"/>
        <v>56.586720899574196</v>
      </c>
      <c r="R33" s="107">
        <f t="shared" si="7"/>
        <v>57.014685</v>
      </c>
      <c r="S33" s="107">
        <f t="shared" si="8"/>
        <v>86.751</v>
      </c>
      <c r="T33" s="217"/>
      <c r="U33" s="93"/>
    </row>
    <row r="34" spans="2:21" ht="11.25" customHeight="1">
      <c r="B34" s="304"/>
      <c r="C34" s="303"/>
      <c r="D34" s="303"/>
      <c r="E34" s="307" t="s">
        <v>95</v>
      </c>
      <c r="F34" s="303"/>
      <c r="G34" s="56"/>
      <c r="H34" s="565">
        <v>3685.5</v>
      </c>
      <c r="I34" s="56"/>
      <c r="J34" s="375" t="s">
        <v>65</v>
      </c>
      <c r="L34" s="237">
        <v>2032</v>
      </c>
      <c r="M34" s="295">
        <v>2</v>
      </c>
      <c r="N34" s="127">
        <v>0</v>
      </c>
      <c r="O34" s="296">
        <v>0</v>
      </c>
      <c r="P34" s="21">
        <f t="shared" si="5"/>
        <v>2</v>
      </c>
      <c r="Q34" s="107">
        <f t="shared" si="6"/>
        <v>57.718455317565684</v>
      </c>
      <c r="R34" s="107">
        <f t="shared" si="7"/>
        <v>57.014685</v>
      </c>
      <c r="S34" s="107">
        <f t="shared" si="8"/>
        <v>86.751</v>
      </c>
      <c r="T34" s="217"/>
      <c r="U34" s="93"/>
    </row>
    <row r="35" spans="2:21" ht="11.25" customHeight="1">
      <c r="B35" s="304" t="s">
        <v>73</v>
      </c>
      <c r="C35" s="303"/>
      <c r="D35" s="303"/>
      <c r="E35" s="308"/>
      <c r="F35" s="303"/>
      <c r="G35" s="56"/>
      <c r="H35" s="566">
        <v>0.02</v>
      </c>
      <c r="I35" s="56"/>
      <c r="J35" s="375"/>
      <c r="L35" s="297">
        <v>2033</v>
      </c>
      <c r="M35" s="298">
        <v>2</v>
      </c>
      <c r="N35" s="299">
        <v>0</v>
      </c>
      <c r="O35" s="300">
        <v>0</v>
      </c>
      <c r="P35" s="23">
        <f t="shared" si="5"/>
        <v>2</v>
      </c>
      <c r="Q35" s="110">
        <f t="shared" si="6"/>
        <v>58.872824423917</v>
      </c>
      <c r="R35" s="110">
        <f t="shared" si="7"/>
        <v>57.014685</v>
      </c>
      <c r="S35" s="110">
        <f t="shared" si="8"/>
        <v>86.751</v>
      </c>
      <c r="T35" s="220"/>
      <c r="U35" s="93"/>
    </row>
    <row r="36" spans="2:21" ht="11.25" customHeight="1">
      <c r="B36" s="304" t="s">
        <v>169</v>
      </c>
      <c r="C36" s="303"/>
      <c r="D36" s="303"/>
      <c r="E36" s="308"/>
      <c r="F36" s="303"/>
      <c r="G36" s="56"/>
      <c r="H36" s="568">
        <v>2011</v>
      </c>
      <c r="I36" s="56"/>
      <c r="J36" s="375"/>
      <c r="K36" s="13"/>
      <c r="U36" s="93"/>
    </row>
    <row r="37" spans="2:17" ht="11.25" customHeight="1">
      <c r="B37" s="55"/>
      <c r="C37" s="56"/>
      <c r="D37" s="56"/>
      <c r="E37" s="56"/>
      <c r="F37" s="56"/>
      <c r="G37" s="56"/>
      <c r="H37" s="56"/>
      <c r="I37" s="56"/>
      <c r="J37" s="375"/>
      <c r="K37" s="13"/>
      <c r="L37" s="13"/>
      <c r="M37" s="13"/>
      <c r="N37" s="13"/>
      <c r="O37" s="13"/>
      <c r="P37" s="13"/>
      <c r="Q37" s="13"/>
    </row>
    <row r="38" spans="2:17" ht="11.25" customHeight="1">
      <c r="B38" s="302" t="s">
        <v>39</v>
      </c>
      <c r="C38" s="303"/>
      <c r="D38" s="303"/>
      <c r="E38" s="303"/>
      <c r="F38" s="303"/>
      <c r="G38" s="303"/>
      <c r="H38" s="303"/>
      <c r="I38" s="56"/>
      <c r="J38" s="375"/>
      <c r="K38" s="13"/>
      <c r="L38" s="13"/>
      <c r="M38" s="13"/>
      <c r="N38" s="13"/>
      <c r="O38" s="13"/>
      <c r="P38" s="13"/>
      <c r="Q38" s="13"/>
    </row>
    <row r="39" spans="2:17" ht="11.25" customHeight="1">
      <c r="B39" s="304" t="s">
        <v>42</v>
      </c>
      <c r="C39" s="303"/>
      <c r="D39" s="303"/>
      <c r="E39" s="303"/>
      <c r="F39" s="303"/>
      <c r="G39" s="303"/>
      <c r="H39" s="565">
        <v>1500</v>
      </c>
      <c r="I39" s="56"/>
      <c r="J39" s="309">
        <v>950</v>
      </c>
      <c r="K39" s="13"/>
      <c r="L39" s="13"/>
      <c r="M39" s="13"/>
      <c r="N39" s="13"/>
      <c r="O39" s="13"/>
      <c r="P39" s="13"/>
      <c r="Q39" s="86"/>
    </row>
    <row r="40" spans="2:17" ht="11.25" customHeight="1">
      <c r="B40" s="304" t="s">
        <v>44</v>
      </c>
      <c r="C40" s="303"/>
      <c r="D40" s="303"/>
      <c r="E40" s="303"/>
      <c r="F40" s="303"/>
      <c r="G40" s="303"/>
      <c r="H40" s="565">
        <v>20</v>
      </c>
      <c r="I40" s="56"/>
      <c r="J40" s="309">
        <v>20</v>
      </c>
      <c r="K40" s="13" t="s">
        <v>98</v>
      </c>
      <c r="L40" s="13" t="s">
        <v>97</v>
      </c>
      <c r="M40" s="13" t="s">
        <v>99</v>
      </c>
      <c r="N40" s="13" t="s">
        <v>100</v>
      </c>
      <c r="O40" s="13"/>
      <c r="P40" s="13"/>
      <c r="Q40" s="86"/>
    </row>
    <row r="41" spans="2:17" ht="11.25" customHeight="1">
      <c r="B41" s="304" t="s">
        <v>48</v>
      </c>
      <c r="C41" s="303"/>
      <c r="D41" s="303"/>
      <c r="E41" s="303"/>
      <c r="F41" s="303"/>
      <c r="G41" s="303"/>
      <c r="H41" s="565">
        <v>0.205</v>
      </c>
      <c r="I41" s="56"/>
      <c r="J41" s="309">
        <v>0.205</v>
      </c>
      <c r="K41" s="13">
        <v>70</v>
      </c>
      <c r="L41" s="13">
        <f>(K41*7.3)+50</f>
        <v>561</v>
      </c>
      <c r="M41" s="13">
        <v>0.85</v>
      </c>
      <c r="N41" s="13">
        <f>M41*L41</f>
        <v>476.84999999999997</v>
      </c>
      <c r="O41" s="13"/>
      <c r="P41" s="13"/>
      <c r="Q41" s="86"/>
    </row>
    <row r="42" spans="2:17" ht="11.25" customHeight="1">
      <c r="B42" s="304" t="s">
        <v>49</v>
      </c>
      <c r="C42" s="303"/>
      <c r="D42" s="303"/>
      <c r="E42" s="303"/>
      <c r="F42" s="303"/>
      <c r="G42" s="303"/>
      <c r="H42" s="565">
        <v>475</v>
      </c>
      <c r="I42" s="56"/>
      <c r="J42" s="309">
        <v>120</v>
      </c>
      <c r="L42" s="13"/>
      <c r="M42" s="13"/>
      <c r="N42" s="13"/>
      <c r="O42" s="13"/>
      <c r="P42" s="13"/>
      <c r="Q42" s="86"/>
    </row>
    <row r="43" spans="2:17" ht="11.25" customHeight="1">
      <c r="B43" s="304" t="s">
        <v>51</v>
      </c>
      <c r="C43" s="303"/>
      <c r="D43" s="303"/>
      <c r="E43" s="303"/>
      <c r="F43" s="303"/>
      <c r="G43" s="303"/>
      <c r="H43" s="565">
        <v>6</v>
      </c>
      <c r="I43" s="56"/>
      <c r="J43" s="309">
        <v>6</v>
      </c>
      <c r="L43" s="13"/>
      <c r="M43" s="13"/>
      <c r="N43" s="13"/>
      <c r="O43" s="256"/>
      <c r="P43" s="13"/>
      <c r="Q43" s="86"/>
    </row>
    <row r="44" spans="2:17" ht="11.25" customHeight="1">
      <c r="B44" s="304" t="s">
        <v>53</v>
      </c>
      <c r="C44" s="303"/>
      <c r="D44" s="303"/>
      <c r="E44" s="303"/>
      <c r="F44" s="303"/>
      <c r="G44" s="303"/>
      <c r="H44" s="565">
        <v>70</v>
      </c>
      <c r="I44" s="56"/>
      <c r="J44" s="309">
        <v>70</v>
      </c>
      <c r="K44" s="13"/>
      <c r="L44" s="13"/>
      <c r="M44" s="13"/>
      <c r="N44" s="13"/>
      <c r="O44" s="13"/>
      <c r="P44" s="13"/>
      <c r="Q44" s="86"/>
    </row>
    <row r="45" spans="2:17" ht="11.25" customHeight="1">
      <c r="B45" s="55"/>
      <c r="C45" s="56"/>
      <c r="D45" s="56"/>
      <c r="E45" s="56"/>
      <c r="F45" s="56"/>
      <c r="G45" s="56"/>
      <c r="H45" s="56"/>
      <c r="I45" s="56"/>
      <c r="J45" s="71"/>
      <c r="K45" s="13"/>
      <c r="L45" s="13"/>
      <c r="M45" s="13"/>
      <c r="N45" s="13"/>
      <c r="O45" s="13"/>
      <c r="P45" s="13"/>
      <c r="Q45" s="86"/>
    </row>
    <row r="46" spans="2:17" ht="11.25" customHeight="1">
      <c r="B46" s="55"/>
      <c r="C46" s="56"/>
      <c r="D46" s="56"/>
      <c r="E46" s="56"/>
      <c r="F46" s="56"/>
      <c r="G46" s="56"/>
      <c r="H46" s="56"/>
      <c r="I46" s="56"/>
      <c r="J46" s="71"/>
      <c r="K46" s="13"/>
      <c r="L46" s="13"/>
      <c r="M46" s="13"/>
      <c r="N46" s="13"/>
      <c r="O46" s="13"/>
      <c r="P46" s="13"/>
      <c r="Q46" s="86"/>
    </row>
    <row r="47" spans="2:27" ht="12" customHeight="1">
      <c r="B47" s="310" t="s">
        <v>75</v>
      </c>
      <c r="C47" s="56"/>
      <c r="D47" s="56"/>
      <c r="E47" s="303"/>
      <c r="F47" s="311"/>
      <c r="G47" s="56"/>
      <c r="H47" s="56">
        <v>0</v>
      </c>
      <c r="I47" s="56"/>
      <c r="J47" s="71"/>
      <c r="K47" s="247"/>
      <c r="L47" s="248"/>
      <c r="M47" s="246"/>
      <c r="N47" s="246"/>
      <c r="O47" s="250"/>
      <c r="P47" s="250"/>
      <c r="Q47" s="249"/>
      <c r="R47" s="246"/>
      <c r="S47" s="246"/>
      <c r="T47" s="246"/>
      <c r="U47" s="246"/>
      <c r="V47" s="251"/>
      <c r="W47" s="252"/>
      <c r="X47" s="252"/>
      <c r="Y47" s="252"/>
      <c r="Z47" s="252"/>
      <c r="AA47" s="252"/>
    </row>
    <row r="48" spans="2:27" ht="25.5" customHeight="1">
      <c r="B48" s="55"/>
      <c r="C48" s="56"/>
      <c r="D48" s="56"/>
      <c r="E48" s="56"/>
      <c r="F48" s="56"/>
      <c r="G48" s="56"/>
      <c r="H48" s="56"/>
      <c r="I48" s="56"/>
      <c r="J48" s="71"/>
      <c r="K48" s="247"/>
      <c r="L48" s="248"/>
      <c r="M48" s="246"/>
      <c r="N48" s="246"/>
      <c r="O48" s="250"/>
      <c r="P48" s="250"/>
      <c r="Q48" s="249"/>
      <c r="R48" s="246"/>
      <c r="S48" s="246"/>
      <c r="T48" s="246"/>
      <c r="U48" s="246"/>
      <c r="V48" s="251"/>
      <c r="W48" s="252"/>
      <c r="X48" s="252"/>
      <c r="Y48" s="252"/>
      <c r="Z48" s="252"/>
      <c r="AA48" s="252"/>
    </row>
    <row r="49" spans="2:27" ht="12" customHeight="1">
      <c r="B49" s="312" t="s">
        <v>76</v>
      </c>
      <c r="C49" s="56"/>
      <c r="D49" s="56"/>
      <c r="E49" s="56"/>
      <c r="F49" s="303"/>
      <c r="G49" s="56"/>
      <c r="H49" s="56">
        <v>0</v>
      </c>
      <c r="I49" s="56"/>
      <c r="J49" s="71"/>
      <c r="K49" s="247"/>
      <c r="L49" s="248"/>
      <c r="M49" s="246"/>
      <c r="N49" s="246"/>
      <c r="O49" s="250"/>
      <c r="P49" s="250"/>
      <c r="Q49" s="249"/>
      <c r="R49" s="246"/>
      <c r="S49" s="246"/>
      <c r="T49" s="246"/>
      <c r="U49" s="246"/>
      <c r="V49" s="251"/>
      <c r="W49" s="252"/>
      <c r="X49" s="252"/>
      <c r="Y49" s="252"/>
      <c r="Z49" s="252"/>
      <c r="AA49" s="252"/>
    </row>
    <row r="50" spans="2:27" ht="12" customHeight="1">
      <c r="B50" s="313"/>
      <c r="C50" s="314"/>
      <c r="D50" s="314"/>
      <c r="E50" s="314"/>
      <c r="F50" s="314"/>
      <c r="G50" s="314"/>
      <c r="H50" s="314"/>
      <c r="I50" s="314"/>
      <c r="J50" s="315"/>
      <c r="K50" s="247"/>
      <c r="L50" s="248"/>
      <c r="M50" s="246"/>
      <c r="N50" s="246"/>
      <c r="O50" s="250"/>
      <c r="P50" s="250"/>
      <c r="Q50" s="249"/>
      <c r="R50" s="246"/>
      <c r="S50" s="246"/>
      <c r="T50" s="246"/>
      <c r="U50" s="246"/>
      <c r="V50" s="251"/>
      <c r="W50" s="252"/>
      <c r="X50" s="252"/>
      <c r="Z50" s="226"/>
      <c r="AA50" s="251"/>
    </row>
    <row r="51" spans="2:27" ht="11.25" customHeight="1">
      <c r="B51" s="84"/>
      <c r="D51" s="231"/>
      <c r="E51" s="226"/>
      <c r="F51" s="230"/>
      <c r="G51" s="226"/>
      <c r="H51" s="226"/>
      <c r="I51" s="246"/>
      <c r="K51" s="232"/>
      <c r="Z51" s="226"/>
      <c r="AA51" s="251"/>
    </row>
    <row r="52" spans="2:27" ht="11.25" customHeight="1">
      <c r="B52" s="84"/>
      <c r="D52" s="231"/>
      <c r="E52" s="226"/>
      <c r="F52" s="226"/>
      <c r="G52" s="226"/>
      <c r="H52" s="226"/>
      <c r="Z52" s="226"/>
      <c r="AA52" s="251"/>
    </row>
    <row r="53" spans="2:27" ht="11.25" customHeight="1">
      <c r="B53" s="84"/>
      <c r="C53" s="84"/>
      <c r="E53" s="226"/>
      <c r="F53" s="226"/>
      <c r="G53" s="226"/>
      <c r="H53" s="226"/>
      <c r="Y53" s="260"/>
      <c r="Z53" s="233"/>
      <c r="AA53" s="87"/>
    </row>
    <row r="54" spans="2:3" ht="11.25" customHeight="1">
      <c r="B54" s="84"/>
      <c r="C54" s="84"/>
    </row>
    <row r="55" spans="2:27" ht="11.25" customHeight="1">
      <c r="B55" s="84"/>
      <c r="C55" s="84"/>
      <c r="F55" s="233"/>
      <c r="AA55" s="258"/>
    </row>
    <row r="56" spans="2:5" ht="11.25" customHeight="1">
      <c r="B56" s="84"/>
      <c r="C56" s="233"/>
      <c r="E56" s="234"/>
    </row>
    <row r="57" spans="2:8" ht="11.25" customHeight="1">
      <c r="B57" s="84"/>
      <c r="C57" s="84"/>
      <c r="F57" s="226"/>
      <c r="G57" s="235"/>
      <c r="H57" s="226"/>
    </row>
    <row r="58" spans="2:8" ht="11.25" customHeight="1">
      <c r="B58" s="84"/>
      <c r="C58" s="84"/>
      <c r="F58" s="226"/>
      <c r="G58" s="226"/>
      <c r="H58" s="226"/>
    </row>
    <row r="59" spans="2:8" ht="11.25" customHeight="1">
      <c r="B59" s="84"/>
      <c r="C59" s="84"/>
      <c r="F59" s="226"/>
      <c r="G59" s="226"/>
      <c r="H59" s="226"/>
    </row>
    <row r="60" spans="2:3" ht="11.25" customHeight="1">
      <c r="B60" s="84"/>
      <c r="C60" s="84"/>
    </row>
    <row r="61" spans="2:3" ht="11.25" customHeight="1">
      <c r="B61" s="84"/>
      <c r="C61" s="84"/>
    </row>
    <row r="62" spans="2:36" ht="11.25" customHeight="1">
      <c r="B62" s="84"/>
      <c r="C62" s="253"/>
      <c r="D62" s="253"/>
      <c r="E62" s="253"/>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row>
    <row r="63" spans="2:36" ht="11.25" customHeight="1">
      <c r="B63" s="84"/>
      <c r="C63" s="253"/>
      <c r="D63" s="253"/>
      <c r="E63" s="253"/>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row>
    <row r="64" spans="2:36" ht="11.25" customHeight="1">
      <c r="B64" s="84"/>
      <c r="C64" s="257"/>
      <c r="D64" s="257"/>
      <c r="E64" s="244"/>
      <c r="F64" s="245"/>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row>
    <row r="65" spans="2:3" ht="11.25" customHeight="1">
      <c r="B65" s="84"/>
      <c r="C65" s="84"/>
    </row>
    <row r="66" spans="2:3" ht="11.25" customHeight="1">
      <c r="B66" s="84"/>
      <c r="C66" s="84"/>
    </row>
    <row r="67" spans="2:3" ht="11.25" customHeight="1">
      <c r="B67" s="84"/>
      <c r="C67" s="84"/>
    </row>
    <row r="68" spans="2:3" ht="11.25" customHeight="1">
      <c r="B68" s="84"/>
      <c r="C68" s="84"/>
    </row>
    <row r="69" ht="12.75">
      <c r="B69" s="85"/>
    </row>
  </sheetData>
  <printOptions/>
  <pageMargins left="0.6299212598425197" right="0.5905511811023623" top="0.55" bottom="0.5118110236220472" header="0.33" footer="0.3937007874015748"/>
  <pageSetup fitToHeight="1" fitToWidth="1" horizontalDpi="600" verticalDpi="600" orientation="landscape" paperSize="9" scale="42" r:id="rId3"/>
  <legacyDrawing r:id="rId2"/>
</worksheet>
</file>

<file path=xl/worksheets/sheet6.xml><?xml version="1.0" encoding="utf-8"?>
<worksheet xmlns="http://schemas.openxmlformats.org/spreadsheetml/2006/main" xmlns:r="http://schemas.openxmlformats.org/officeDocument/2006/relationships">
  <sheetPr codeName="Sheet5"/>
  <dimension ref="B2:AI154"/>
  <sheetViews>
    <sheetView workbookViewId="0" topLeftCell="A1">
      <selection activeCell="E43" sqref="E43"/>
    </sheetView>
  </sheetViews>
  <sheetFormatPr defaultColWidth="9.33203125" defaultRowHeight="12.75"/>
  <cols>
    <col min="1" max="3" width="9.33203125" style="13" customWidth="1"/>
    <col min="4" max="4" width="13" style="13" customWidth="1"/>
    <col min="5" max="5" width="43.16015625" style="13" customWidth="1"/>
    <col min="6" max="6" width="9.33203125" style="13" customWidth="1"/>
    <col min="7" max="7" width="11.66015625" style="13" customWidth="1"/>
    <col min="8" max="8" width="22.5" style="13" customWidth="1"/>
    <col min="9" max="9" width="13.66015625" style="13" bestFit="1" customWidth="1"/>
    <col min="10" max="10" width="11.5" style="13" bestFit="1" customWidth="1"/>
    <col min="11" max="11" width="11.83203125" style="13" bestFit="1" customWidth="1"/>
    <col min="12" max="12" width="17.5" style="13" bestFit="1" customWidth="1"/>
    <col min="13" max="13" width="12.16015625" style="13" bestFit="1" customWidth="1"/>
    <col min="14" max="16" width="10.66015625" style="13" bestFit="1" customWidth="1"/>
    <col min="17" max="17" width="10.83203125" style="13" bestFit="1" customWidth="1"/>
    <col min="18" max="19" width="10.66015625" style="13" bestFit="1" customWidth="1"/>
    <col min="20" max="20" width="11.5" style="13" bestFit="1" customWidth="1"/>
    <col min="21" max="21" width="10.83203125" style="13" bestFit="1" customWidth="1"/>
    <col min="22" max="28" width="10.66015625" style="13" bestFit="1" customWidth="1"/>
    <col min="29" max="29" width="11.83203125" style="13" bestFit="1" customWidth="1"/>
    <col min="30" max="31" width="10.83203125" style="13" bestFit="1" customWidth="1"/>
    <col min="32" max="32" width="12" style="13" bestFit="1" customWidth="1"/>
    <col min="33" max="34" width="10.83203125" style="13" bestFit="1" customWidth="1"/>
    <col min="35" max="16384" width="9.33203125" style="13" customWidth="1"/>
  </cols>
  <sheetData>
    <row r="1" ht="12.75"/>
    <row r="2" ht="12.75">
      <c r="B2" s="196" t="s">
        <v>170</v>
      </c>
    </row>
    <row r="3" ht="13.5" thickBot="1"/>
    <row r="4" spans="3:13" ht="12.75" customHeight="1">
      <c r="C4" s="671" t="s">
        <v>141</v>
      </c>
      <c r="D4" s="672"/>
      <c r="E4" s="571"/>
      <c r="G4" s="361"/>
      <c r="H4" s="361"/>
      <c r="I4" s="673"/>
      <c r="J4" s="673"/>
      <c r="K4" s="673"/>
      <c r="L4" s="673"/>
      <c r="M4" s="372"/>
    </row>
    <row r="5" spans="3:13" ht="12.75">
      <c r="C5" s="674" t="s">
        <v>142</v>
      </c>
      <c r="D5" s="675"/>
      <c r="E5" s="577">
        <f>IRR(I98:AH98,-0.9)</f>
        <v>0.20906553114039444</v>
      </c>
      <c r="G5" s="259"/>
      <c r="H5" s="358"/>
      <c r="I5" s="359"/>
      <c r="J5" s="360"/>
      <c r="K5" s="360"/>
      <c r="L5" s="360"/>
      <c r="M5" s="372"/>
    </row>
    <row r="6" spans="3:13" ht="12.75">
      <c r="C6" s="572" t="s">
        <v>143</v>
      </c>
      <c r="D6" s="573"/>
      <c r="E6" s="577">
        <f>IRR(I105:AH105,-0.3)</f>
        <v>0.1912475373076727</v>
      </c>
      <c r="G6" s="361"/>
      <c r="H6" s="361"/>
      <c r="I6" s="362"/>
      <c r="J6" s="363"/>
      <c r="K6" s="363"/>
      <c r="L6" s="363"/>
      <c r="M6" s="372"/>
    </row>
    <row r="7" spans="3:13" ht="12.75">
      <c r="C7" s="572" t="s">
        <v>144</v>
      </c>
      <c r="D7" s="573"/>
      <c r="E7" s="577">
        <f>IRR(I112:AH112,-0.3)</f>
        <v>0.17820292056558323</v>
      </c>
      <c r="G7" s="361"/>
      <c r="H7" s="361"/>
      <c r="I7" s="362"/>
      <c r="J7" s="364"/>
      <c r="K7" s="363"/>
      <c r="L7" s="365"/>
      <c r="M7" s="372"/>
    </row>
    <row r="8" spans="3:13" ht="12.75">
      <c r="C8" s="572" t="s">
        <v>145</v>
      </c>
      <c r="D8" s="573"/>
      <c r="E8" s="577">
        <f>IRR(I118:AH118,-0.3)</f>
        <v>0.17622785683109615</v>
      </c>
      <c r="G8" s="361"/>
      <c r="H8" s="361"/>
      <c r="I8" s="362"/>
      <c r="J8" s="363"/>
      <c r="K8" s="363"/>
      <c r="L8" s="365"/>
      <c r="M8" s="358"/>
    </row>
    <row r="9" spans="3:13" ht="12.75">
      <c r="C9" s="572" t="s">
        <v>146</v>
      </c>
      <c r="D9" s="573"/>
      <c r="E9" s="577">
        <f>IRR(I124:AH124,-0.2)</f>
        <v>0.22526753705862837</v>
      </c>
      <c r="G9" s="358"/>
      <c r="H9" s="358"/>
      <c r="I9" s="362"/>
      <c r="J9" s="365"/>
      <c r="K9" s="365"/>
      <c r="L9" s="365"/>
      <c r="M9" s="358"/>
    </row>
    <row r="10" spans="3:13" ht="12.75">
      <c r="C10" s="572" t="s">
        <v>147</v>
      </c>
      <c r="D10" s="573"/>
      <c r="E10" s="577">
        <f>IRR(I131:AH131,-0.2)</f>
        <v>0.24731518795947283</v>
      </c>
      <c r="G10" s="358"/>
      <c r="H10" s="358"/>
      <c r="I10" s="358"/>
      <c r="J10" s="366"/>
      <c r="K10" s="366"/>
      <c r="L10" s="366"/>
      <c r="M10" s="358"/>
    </row>
    <row r="11" spans="3:13" ht="12.75">
      <c r="C11" s="572" t="s">
        <v>148</v>
      </c>
      <c r="D11" s="573"/>
      <c r="E11" s="577">
        <f>IRR(I138:AH138,-0.2)</f>
        <v>0.2641160430904268</v>
      </c>
      <c r="G11" s="358"/>
      <c r="H11" s="358"/>
      <c r="I11" s="676"/>
      <c r="J11" s="676"/>
      <c r="K11" s="676"/>
      <c r="L11" s="676"/>
      <c r="M11" s="358"/>
    </row>
    <row r="12" spans="3:13" ht="12.75">
      <c r="C12" s="572" t="s">
        <v>149</v>
      </c>
      <c r="D12" s="573"/>
      <c r="E12" s="577">
        <f>IRR(I145:AH145,-0.3)</f>
        <v>0.16015307771740872</v>
      </c>
      <c r="G12" s="233"/>
      <c r="H12" s="358"/>
      <c r="I12" s="367"/>
      <c r="J12" s="368"/>
      <c r="K12" s="368"/>
      <c r="L12" s="368"/>
      <c r="M12" s="358"/>
    </row>
    <row r="13" spans="3:13" ht="12.75">
      <c r="C13" s="572"/>
      <c r="D13" s="573"/>
      <c r="E13" s="577"/>
      <c r="G13" s="233"/>
      <c r="H13" s="358"/>
      <c r="I13" s="367"/>
      <c r="J13" s="368"/>
      <c r="K13" s="368"/>
      <c r="L13" s="368"/>
      <c r="M13" s="358"/>
    </row>
    <row r="14" spans="3:13" ht="12.75">
      <c r="C14" s="572" t="s">
        <v>235</v>
      </c>
      <c r="D14" s="573"/>
      <c r="E14" s="578">
        <f>NPV(0.1,I98:AB98)</f>
        <v>64.70269014546027</v>
      </c>
      <c r="G14" s="233"/>
      <c r="H14" s="358"/>
      <c r="I14" s="367"/>
      <c r="J14" s="368"/>
      <c r="K14" s="368"/>
      <c r="L14" s="368"/>
      <c r="M14" s="358"/>
    </row>
    <row r="15" spans="3:13" ht="12.75">
      <c r="C15" s="572" t="s">
        <v>233</v>
      </c>
      <c r="D15" s="573"/>
      <c r="E15" s="577"/>
      <c r="G15" s="233"/>
      <c r="H15" s="358"/>
      <c r="I15" s="367"/>
      <c r="J15" s="368"/>
      <c r="K15" s="368"/>
      <c r="L15" s="368"/>
      <c r="M15" s="358"/>
    </row>
    <row r="16" spans="3:13" ht="12.75">
      <c r="C16" s="572"/>
      <c r="D16" s="573"/>
      <c r="E16" s="577"/>
      <c r="G16" s="233"/>
      <c r="H16" s="358"/>
      <c r="I16" s="367"/>
      <c r="J16" s="368"/>
      <c r="K16" s="368"/>
      <c r="L16" s="368"/>
      <c r="M16" s="358"/>
    </row>
    <row r="17" spans="3:13" ht="12.75">
      <c r="C17" s="572" t="s">
        <v>236</v>
      </c>
      <c r="D17" s="573"/>
      <c r="E17" s="578">
        <f>NPV(0.1,I97:AB97)</f>
        <v>204.57430498658275</v>
      </c>
      <c r="G17" s="233"/>
      <c r="H17" s="358"/>
      <c r="I17" s="367"/>
      <c r="J17" s="368"/>
      <c r="K17" s="368"/>
      <c r="L17" s="368"/>
      <c r="M17" s="358"/>
    </row>
    <row r="18" spans="3:13" ht="13.5" thickBot="1">
      <c r="C18" s="574" t="s">
        <v>233</v>
      </c>
      <c r="D18" s="575"/>
      <c r="E18" s="576"/>
      <c r="G18" s="233"/>
      <c r="H18" s="358"/>
      <c r="I18" s="367"/>
      <c r="J18" s="368"/>
      <c r="K18" s="368"/>
      <c r="L18" s="368"/>
      <c r="M18" s="358"/>
    </row>
    <row r="19" spans="7:13" ht="12.75">
      <c r="G19" s="358"/>
      <c r="H19" s="369"/>
      <c r="I19" s="369"/>
      <c r="J19" s="363"/>
      <c r="K19" s="370"/>
      <c r="L19" s="363"/>
      <c r="M19" s="358"/>
    </row>
    <row r="20" spans="3:35" ht="12.75">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row>
    <row r="21" spans="3:35" ht="12.75">
      <c r="C21" s="320" t="s">
        <v>150</v>
      </c>
      <c r="D21" s="2"/>
      <c r="E21" s="2"/>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2"/>
    </row>
    <row r="22" spans="3:35" ht="12.75">
      <c r="C22" s="1"/>
      <c r="D22" s="2"/>
      <c r="E22" s="80" t="s">
        <v>151</v>
      </c>
      <c r="F22" s="21"/>
      <c r="G22" s="21"/>
      <c r="H22" s="262" t="s">
        <v>228</v>
      </c>
      <c r="I22" s="262" t="s">
        <v>229</v>
      </c>
      <c r="J22" s="262" t="s">
        <v>230</v>
      </c>
      <c r="K22" s="262" t="s">
        <v>231</v>
      </c>
      <c r="L22" s="262" t="s">
        <v>232</v>
      </c>
      <c r="M22" s="21"/>
      <c r="N22" s="21"/>
      <c r="O22" s="21"/>
      <c r="P22" s="21"/>
      <c r="Q22" s="21"/>
      <c r="R22" s="21"/>
      <c r="S22" s="21"/>
      <c r="T22" s="21"/>
      <c r="U22" s="21"/>
      <c r="V22" s="21"/>
      <c r="W22" s="21"/>
      <c r="X22" s="21"/>
      <c r="Y22" s="21"/>
      <c r="Z22" s="21"/>
      <c r="AA22" s="21"/>
      <c r="AB22" s="21"/>
      <c r="AC22" s="21"/>
      <c r="AD22" s="21"/>
      <c r="AE22" s="21"/>
      <c r="AF22" s="21"/>
      <c r="AG22" s="21"/>
      <c r="AH22" s="21"/>
      <c r="AI22" s="22"/>
    </row>
    <row r="23" spans="3:35" ht="12.75">
      <c r="C23" s="318" t="s">
        <v>57</v>
      </c>
      <c r="D23" s="317"/>
      <c r="E23" s="317"/>
      <c r="F23" s="376">
        <v>2006</v>
      </c>
      <c r="G23" s="376">
        <v>2007</v>
      </c>
      <c r="H23" s="376">
        <v>2008</v>
      </c>
      <c r="I23" s="376">
        <f>H23+1</f>
        <v>2009</v>
      </c>
      <c r="J23" s="376">
        <f aca="true" t="shared" si="0" ref="J23:AH23">I23+1</f>
        <v>2010</v>
      </c>
      <c r="K23" s="376">
        <f t="shared" si="0"/>
        <v>2011</v>
      </c>
      <c r="L23" s="376">
        <f t="shared" si="0"/>
        <v>2012</v>
      </c>
      <c r="M23" s="376">
        <f t="shared" si="0"/>
        <v>2013</v>
      </c>
      <c r="N23" s="376">
        <f t="shared" si="0"/>
        <v>2014</v>
      </c>
      <c r="O23" s="376">
        <f t="shared" si="0"/>
        <v>2015</v>
      </c>
      <c r="P23" s="376">
        <f t="shared" si="0"/>
        <v>2016</v>
      </c>
      <c r="Q23" s="376">
        <f t="shared" si="0"/>
        <v>2017</v>
      </c>
      <c r="R23" s="376">
        <f t="shared" si="0"/>
        <v>2018</v>
      </c>
      <c r="S23" s="376">
        <f t="shared" si="0"/>
        <v>2019</v>
      </c>
      <c r="T23" s="376">
        <f t="shared" si="0"/>
        <v>2020</v>
      </c>
      <c r="U23" s="376">
        <f t="shared" si="0"/>
        <v>2021</v>
      </c>
      <c r="V23" s="376">
        <f t="shared" si="0"/>
        <v>2022</v>
      </c>
      <c r="W23" s="376">
        <f t="shared" si="0"/>
        <v>2023</v>
      </c>
      <c r="X23" s="376">
        <f t="shared" si="0"/>
        <v>2024</v>
      </c>
      <c r="Y23" s="376">
        <f t="shared" si="0"/>
        <v>2025</v>
      </c>
      <c r="Z23" s="376">
        <f t="shared" si="0"/>
        <v>2026</v>
      </c>
      <c r="AA23" s="376">
        <f t="shared" si="0"/>
        <v>2027</v>
      </c>
      <c r="AB23" s="376">
        <f t="shared" si="0"/>
        <v>2028</v>
      </c>
      <c r="AC23" s="376">
        <f t="shared" si="0"/>
        <v>2029</v>
      </c>
      <c r="AD23" s="376">
        <f t="shared" si="0"/>
        <v>2030</v>
      </c>
      <c r="AE23" s="376">
        <f t="shared" si="0"/>
        <v>2031</v>
      </c>
      <c r="AF23" s="376">
        <f t="shared" si="0"/>
        <v>2032</v>
      </c>
      <c r="AG23" s="376">
        <f t="shared" si="0"/>
        <v>2033</v>
      </c>
      <c r="AH23" s="376">
        <f t="shared" si="0"/>
        <v>2034</v>
      </c>
      <c r="AI23" s="22"/>
    </row>
    <row r="24" spans="3:35" ht="12.75">
      <c r="C24" s="318"/>
      <c r="D24" s="317"/>
      <c r="E24" s="317"/>
      <c r="F24" s="376">
        <v>-3</v>
      </c>
      <c r="G24" s="376">
        <v>-2</v>
      </c>
      <c r="H24" s="376">
        <v>-1</v>
      </c>
      <c r="I24" s="376">
        <v>0</v>
      </c>
      <c r="J24" s="376">
        <v>1</v>
      </c>
      <c r="K24" s="376">
        <v>2</v>
      </c>
      <c r="L24" s="376">
        <v>3</v>
      </c>
      <c r="M24" s="376">
        <v>4</v>
      </c>
      <c r="N24" s="376">
        <v>5</v>
      </c>
      <c r="O24" s="376">
        <v>6</v>
      </c>
      <c r="P24" s="376">
        <v>7</v>
      </c>
      <c r="Q24" s="376">
        <v>8</v>
      </c>
      <c r="R24" s="376">
        <v>9</v>
      </c>
      <c r="S24" s="376">
        <v>10</v>
      </c>
      <c r="T24" s="376">
        <v>11</v>
      </c>
      <c r="U24" s="376">
        <v>12</v>
      </c>
      <c r="V24" s="376">
        <v>13</v>
      </c>
      <c r="W24" s="376">
        <v>14</v>
      </c>
      <c r="X24" s="376">
        <v>15</v>
      </c>
      <c r="Y24" s="376">
        <v>16</v>
      </c>
      <c r="Z24" s="376">
        <v>17</v>
      </c>
      <c r="AA24" s="376">
        <v>18</v>
      </c>
      <c r="AB24" s="376">
        <v>19</v>
      </c>
      <c r="AC24" s="376">
        <v>20</v>
      </c>
      <c r="AD24" s="376">
        <v>21</v>
      </c>
      <c r="AE24" s="376">
        <v>22</v>
      </c>
      <c r="AF24" s="376">
        <v>23</v>
      </c>
      <c r="AG24" s="376">
        <v>24</v>
      </c>
      <c r="AH24" s="376">
        <v>25</v>
      </c>
      <c r="AI24" s="22"/>
    </row>
    <row r="25" spans="3:35" ht="12.75">
      <c r="C25" s="321"/>
      <c r="D25" s="316" t="s">
        <v>153</v>
      </c>
      <c r="E25" s="319"/>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22"/>
    </row>
    <row r="26" spans="3:35" ht="12.75">
      <c r="C26" s="318"/>
      <c r="D26" s="317"/>
      <c r="E26" s="317"/>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22"/>
    </row>
    <row r="27" spans="3:35" ht="12.75">
      <c r="C27" s="318"/>
      <c r="D27" s="317" t="s">
        <v>171</v>
      </c>
      <c r="E27" s="317"/>
      <c r="F27" s="376">
        <v>0</v>
      </c>
      <c r="G27" s="376">
        <v>0</v>
      </c>
      <c r="H27" s="376">
        <v>0</v>
      </c>
      <c r="I27" s="376">
        <v>0</v>
      </c>
      <c r="J27" s="376">
        <v>0</v>
      </c>
      <c r="K27" s="376">
        <v>0</v>
      </c>
      <c r="L27" s="376">
        <v>100</v>
      </c>
      <c r="M27" s="376">
        <v>100</v>
      </c>
      <c r="N27" s="376">
        <v>100</v>
      </c>
      <c r="O27" s="376">
        <v>100</v>
      </c>
      <c r="P27" s="376">
        <v>100</v>
      </c>
      <c r="Q27" s="376">
        <v>100</v>
      </c>
      <c r="R27" s="376">
        <v>100</v>
      </c>
      <c r="S27" s="376">
        <v>100</v>
      </c>
      <c r="T27" s="376">
        <v>100</v>
      </c>
      <c r="U27" s="376">
        <v>100</v>
      </c>
      <c r="V27" s="376">
        <v>100</v>
      </c>
      <c r="W27" s="376">
        <v>100</v>
      </c>
      <c r="X27" s="376">
        <v>100</v>
      </c>
      <c r="Y27" s="376">
        <v>100</v>
      </c>
      <c r="Z27" s="376">
        <v>100</v>
      </c>
      <c r="AA27" s="376">
        <v>100</v>
      </c>
      <c r="AB27" s="376">
        <v>100</v>
      </c>
      <c r="AC27" s="376">
        <v>100</v>
      </c>
      <c r="AD27" s="376">
        <v>100</v>
      </c>
      <c r="AE27" s="376">
        <v>100</v>
      </c>
      <c r="AF27" s="376">
        <v>100</v>
      </c>
      <c r="AG27" s="376">
        <v>100</v>
      </c>
      <c r="AH27" s="376">
        <v>100</v>
      </c>
      <c r="AI27" s="22"/>
    </row>
    <row r="28" spans="3:35" ht="12.75">
      <c r="C28" s="318"/>
      <c r="D28" s="317" t="s">
        <v>172</v>
      </c>
      <c r="E28" s="317"/>
      <c r="F28" s="376">
        <v>45</v>
      </c>
      <c r="G28" s="376">
        <v>45</v>
      </c>
      <c r="H28" s="376">
        <v>45</v>
      </c>
      <c r="I28" s="376">
        <v>45</v>
      </c>
      <c r="J28" s="376">
        <v>45</v>
      </c>
      <c r="K28" s="376">
        <v>45</v>
      </c>
      <c r="L28" s="376">
        <v>45</v>
      </c>
      <c r="M28" s="376">
        <v>45</v>
      </c>
      <c r="N28" s="376">
        <v>45</v>
      </c>
      <c r="O28" s="376">
        <v>45</v>
      </c>
      <c r="P28" s="376">
        <v>45</v>
      </c>
      <c r="Q28" s="376">
        <v>45</v>
      </c>
      <c r="R28" s="376">
        <v>45</v>
      </c>
      <c r="S28" s="376">
        <v>45</v>
      </c>
      <c r="T28" s="376">
        <v>100</v>
      </c>
      <c r="U28" s="376">
        <v>100</v>
      </c>
      <c r="V28" s="376">
        <v>100</v>
      </c>
      <c r="W28" s="376">
        <v>100</v>
      </c>
      <c r="X28" s="376">
        <v>100</v>
      </c>
      <c r="Y28" s="376">
        <v>100</v>
      </c>
      <c r="Z28" s="376">
        <v>100</v>
      </c>
      <c r="AA28" s="376">
        <v>100</v>
      </c>
      <c r="AB28" s="376">
        <v>100</v>
      </c>
      <c r="AC28" s="376">
        <v>100</v>
      </c>
      <c r="AD28" s="376">
        <v>100</v>
      </c>
      <c r="AE28" s="376">
        <v>100</v>
      </c>
      <c r="AF28" s="376">
        <v>100</v>
      </c>
      <c r="AG28" s="376">
        <v>100</v>
      </c>
      <c r="AH28" s="376">
        <v>100</v>
      </c>
      <c r="AI28" s="22"/>
    </row>
    <row r="29" spans="3:35" ht="12.75">
      <c r="C29" s="318"/>
      <c r="D29" s="317"/>
      <c r="E29" s="317"/>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22"/>
    </row>
    <row r="30" spans="3:35" ht="12.75">
      <c r="C30" s="589"/>
      <c r="D30" s="590" t="s">
        <v>118</v>
      </c>
      <c r="E30" s="357"/>
      <c r="F30" s="376"/>
      <c r="G30" s="376"/>
      <c r="H30" s="376"/>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22"/>
    </row>
    <row r="31" spans="3:35" ht="12.75">
      <c r="C31" s="668"/>
      <c r="D31" s="669"/>
      <c r="E31" s="324" t="s">
        <v>133</v>
      </c>
      <c r="F31" s="591" t="s">
        <v>61</v>
      </c>
      <c r="G31" s="591">
        <f>Planting!E22</f>
        <v>205.87727272727273</v>
      </c>
      <c r="H31" s="591">
        <f>Planting!F22</f>
        <v>219.984450901571</v>
      </c>
      <c r="I31" s="591">
        <f>Planting!G22</f>
        <v>234.67627487080114</v>
      </c>
      <c r="J31" s="591">
        <f>Planting!H22</f>
        <v>248.12194145659473</v>
      </c>
      <c r="K31" s="591">
        <f>Planting!I22</f>
        <v>262.0582077788629</v>
      </c>
      <c r="L31" s="591">
        <f>Planting!J22</f>
        <v>286.45246180220647</v>
      </c>
      <c r="M31" s="591">
        <f>Planting!K22</f>
        <v>312.62928947672805</v>
      </c>
      <c r="N31" s="591">
        <f>Planting!L22</f>
        <v>340.7196745084701</v>
      </c>
      <c r="O31" s="591">
        <f>Planting!M22</f>
        <v>364.6175347501895</v>
      </c>
      <c r="P31" s="591">
        <f>Planting!N22</f>
        <v>389.8607875749301</v>
      </c>
      <c r="Q31" s="591">
        <f>Planting!O22</f>
        <v>416.525270547932</v>
      </c>
      <c r="R31" s="591">
        <f>Planting!P22</f>
        <v>444.6911012343067</v>
      </c>
      <c r="S31" s="591">
        <f>Planting!Q22</f>
        <v>474.442919027465</v>
      </c>
      <c r="T31" s="591">
        <f>Planting!R22</f>
        <v>505.8701406566233</v>
      </c>
      <c r="U31" s="591">
        <f>Planting!S22</f>
        <v>539.0672301479808</v>
      </c>
      <c r="V31" s="591">
        <f>Planting!T22</f>
        <v>574.1339840580748</v>
      </c>
      <c r="W31" s="591">
        <f>Planting!U22</f>
        <v>611.1758328442128</v>
      </c>
      <c r="X31" s="591">
        <f>Planting!V22</f>
        <v>650.3041592859238</v>
      </c>
      <c r="Y31" s="591">
        <f>Planting!W22</f>
        <v>684.69407694474</v>
      </c>
      <c r="Z31" s="591">
        <f>Planting!X22</f>
        <v>720.6596957372132</v>
      </c>
      <c r="AA31" s="591">
        <f>Planting!Y22</f>
        <v>758.2736031468726</v>
      </c>
      <c r="AB31" s="591">
        <f>Planting!Z22</f>
        <v>797.6117499483626</v>
      </c>
      <c r="AC31" s="591">
        <f>Planting!AA22</f>
        <v>838.7536070040888</v>
      </c>
      <c r="AD31" s="591">
        <f>Planting!AB22</f>
        <v>881.7823294180577</v>
      </c>
      <c r="AE31" s="591">
        <f>Planting!AC22</f>
        <v>926.7849283944496</v>
      </c>
      <c r="AF31" s="591">
        <f>Planting!AD22</f>
        <v>973.852451164983</v>
      </c>
      <c r="AG31" s="591">
        <f>Planting!AE22</f>
        <v>1023.0801693664604</v>
      </c>
      <c r="AH31" s="591">
        <f>Planting!AF22</f>
        <v>1074.5677762680305</v>
      </c>
      <c r="AI31" s="22"/>
    </row>
    <row r="32" spans="3:35" ht="12.75">
      <c r="C32" s="668"/>
      <c r="D32" s="669"/>
      <c r="E32" s="324" t="s">
        <v>134</v>
      </c>
      <c r="F32" s="591" t="s">
        <v>61</v>
      </c>
      <c r="G32" s="591">
        <f>Planting!E21</f>
        <v>42.73085776821767</v>
      </c>
      <c r="H32" s="591">
        <f>Planting!F21</f>
        <v>45.6588731634643</v>
      </c>
      <c r="I32" s="591">
        <f>Planting!G21</f>
        <v>48.70823471789148</v>
      </c>
      <c r="J32" s="591">
        <f>Planting!H21</f>
        <v>50.5793259655485</v>
      </c>
      <c r="K32" s="591">
        <f>Planting!I21</f>
        <v>53.42021521910936</v>
      </c>
      <c r="L32" s="591">
        <f>Planting!J21</f>
        <v>58.392951280619386</v>
      </c>
      <c r="M32" s="591">
        <f>Planting!K21</f>
        <v>63.72906259718037</v>
      </c>
      <c r="N32" s="591">
        <f>Planting!L21</f>
        <v>69.45525002211149</v>
      </c>
      <c r="O32" s="591">
        <f>Planting!M21</f>
        <v>71.76380387934766</v>
      </c>
      <c r="P32" s="591">
        <f>Planting!N21</f>
        <v>76.73216571699932</v>
      </c>
      <c r="Q32" s="591">
        <f>Planting!O21</f>
        <v>81.98025321759016</v>
      </c>
      <c r="R32" s="591">
        <f>Planting!P21</f>
        <v>87.52383507209628</v>
      </c>
      <c r="S32" s="591">
        <f>Planting!Q21</f>
        <v>93.37956995501989</v>
      </c>
      <c r="T32" s="591">
        <f>Planting!R21</f>
        <v>99.565056813223</v>
      </c>
      <c r="U32" s="591">
        <f>Planting!S21</f>
        <v>106.09888799952388</v>
      </c>
      <c r="V32" s="591">
        <f>Planting!T21</f>
        <v>113.00070541215456</v>
      </c>
      <c r="W32" s="591">
        <f>Planting!U21</f>
        <v>120.29125981030799</v>
      </c>
      <c r="X32" s="591">
        <f>Planting!V21</f>
        <v>127.99247348565657</v>
      </c>
      <c r="Y32" s="591">
        <f>Planting!W21</f>
        <v>130.26904051460045</v>
      </c>
      <c r="Z32" s="591">
        <f>Planting!X21</f>
        <v>137.11181425746065</v>
      </c>
      <c r="AA32" s="591">
        <f>Planting!Y21</f>
        <v>144.26818933540193</v>
      </c>
      <c r="AB32" s="591">
        <f>Planting!Z21</f>
        <v>151.7526160480142</v>
      </c>
      <c r="AC32" s="591">
        <f>Planting!AA21</f>
        <v>159.58021442239132</v>
      </c>
      <c r="AD32" s="591">
        <f>Planting!AB21</f>
        <v>167.76680544483594</v>
      </c>
      <c r="AE32" s="591">
        <f>Planting!AC21</f>
        <v>176.32894375845694</v>
      </c>
      <c r="AF32" s="591">
        <f>Planting!AD21</f>
        <v>185.2839518959252</v>
      </c>
      <c r="AG32" s="591">
        <f>Planting!AE21</f>
        <v>194.64995611995062</v>
      </c>
      <c r="AH32" s="591">
        <f>Planting!AF21</f>
        <v>204.44592394749438</v>
      </c>
      <c r="AI32" s="22"/>
    </row>
    <row r="33" spans="3:35" ht="12.75">
      <c r="C33" s="269"/>
      <c r="D33" s="268"/>
      <c r="E33" s="324"/>
      <c r="F33" s="591"/>
      <c r="G33" s="591"/>
      <c r="H33" s="591"/>
      <c r="I33" s="591"/>
      <c r="J33" s="591"/>
      <c r="K33" s="591"/>
      <c r="L33" s="591"/>
      <c r="M33" s="591"/>
      <c r="N33" s="591"/>
      <c r="O33" s="591"/>
      <c r="P33" s="591"/>
      <c r="Q33" s="591"/>
      <c r="R33" s="591"/>
      <c r="S33" s="591"/>
      <c r="T33" s="591"/>
      <c r="U33" s="591"/>
      <c r="V33" s="591"/>
      <c r="W33" s="591"/>
      <c r="X33" s="591"/>
      <c r="Y33" s="591"/>
      <c r="Z33" s="591"/>
      <c r="AA33" s="591"/>
      <c r="AB33" s="591"/>
      <c r="AC33" s="591"/>
      <c r="AD33" s="591"/>
      <c r="AE33" s="591"/>
      <c r="AF33" s="591"/>
      <c r="AG33" s="591"/>
      <c r="AH33" s="591"/>
      <c r="AI33" s="22"/>
    </row>
    <row r="34" spans="3:35" ht="12.75">
      <c r="C34" s="269"/>
      <c r="D34" s="667" t="s">
        <v>173</v>
      </c>
      <c r="E34" s="667"/>
      <c r="F34" s="261"/>
      <c r="G34" s="591"/>
      <c r="H34" s="591"/>
      <c r="I34" s="591"/>
      <c r="J34" s="591"/>
      <c r="K34" s="591"/>
      <c r="L34" s="591"/>
      <c r="M34" s="591"/>
      <c r="N34" s="591"/>
      <c r="O34" s="591"/>
      <c r="P34" s="591"/>
      <c r="Q34" s="591"/>
      <c r="R34" s="591"/>
      <c r="S34" s="591"/>
      <c r="T34" s="591"/>
      <c r="U34" s="591"/>
      <c r="V34" s="591"/>
      <c r="W34" s="591"/>
      <c r="X34" s="591"/>
      <c r="Y34" s="591"/>
      <c r="Z34" s="591"/>
      <c r="AA34" s="591"/>
      <c r="AB34" s="591"/>
      <c r="AC34" s="591"/>
      <c r="AD34" s="591"/>
      <c r="AE34" s="591"/>
      <c r="AF34" s="591"/>
      <c r="AG34" s="591"/>
      <c r="AH34" s="591"/>
      <c r="AI34" s="22"/>
    </row>
    <row r="35" spans="3:35" ht="12.75">
      <c r="C35" s="668"/>
      <c r="D35" s="669"/>
      <c r="E35" s="324" t="s">
        <v>124</v>
      </c>
      <c r="F35" s="591" t="s">
        <v>61</v>
      </c>
      <c r="G35" s="593">
        <v>0</v>
      </c>
      <c r="H35" s="593">
        <v>0</v>
      </c>
      <c r="I35" s="593">
        <v>0</v>
      </c>
      <c r="J35" s="593">
        <v>0</v>
      </c>
      <c r="K35" s="593">
        <v>0</v>
      </c>
      <c r="L35" s="593">
        <f>(L27/(L27+L28)*L31)</f>
        <v>197.5534219325562</v>
      </c>
      <c r="M35" s="593">
        <f aca="true" t="shared" si="1" ref="M35:S35">(M27/(M27+M28)*M31)</f>
        <v>215.60640653567452</v>
      </c>
      <c r="N35" s="593">
        <f t="shared" si="1"/>
        <v>234.97908586791044</v>
      </c>
      <c r="O35" s="593">
        <f t="shared" si="1"/>
        <v>251.46036879323418</v>
      </c>
      <c r="P35" s="593">
        <f t="shared" si="1"/>
        <v>268.8695086723656</v>
      </c>
      <c r="Q35" s="593">
        <f t="shared" si="1"/>
        <v>287.25880727443587</v>
      </c>
      <c r="R35" s="593">
        <f t="shared" si="1"/>
        <v>306.6835180926253</v>
      </c>
      <c r="S35" s="593">
        <f t="shared" si="1"/>
        <v>327.2020131223897</v>
      </c>
      <c r="T35" s="593">
        <f>MAX((T27/(T27+T28)*T31),S35)</f>
        <v>327.2020131223897</v>
      </c>
      <c r="U35" s="593">
        <f aca="true" t="shared" si="2" ref="U35:AH35">MAX((U27/(U27+U28)*U31),T35)</f>
        <v>327.2020131223897</v>
      </c>
      <c r="V35" s="593">
        <f t="shared" si="2"/>
        <v>327.2020131223897</v>
      </c>
      <c r="W35" s="593">
        <f t="shared" si="2"/>
        <v>327.2020131223897</v>
      </c>
      <c r="X35" s="593">
        <f t="shared" si="2"/>
        <v>327.2020131223897</v>
      </c>
      <c r="Y35" s="593">
        <f t="shared" si="2"/>
        <v>342.34703847237</v>
      </c>
      <c r="Z35" s="593">
        <f t="shared" si="2"/>
        <v>360.3298478686066</v>
      </c>
      <c r="AA35" s="593">
        <f t="shared" si="2"/>
        <v>379.1368015734363</v>
      </c>
      <c r="AB35" s="593">
        <f t="shared" si="2"/>
        <v>398.8058749741813</v>
      </c>
      <c r="AC35" s="593">
        <f t="shared" si="2"/>
        <v>419.3768035020444</v>
      </c>
      <c r="AD35" s="593">
        <f t="shared" si="2"/>
        <v>440.8911647090288</v>
      </c>
      <c r="AE35" s="593">
        <f t="shared" si="2"/>
        <v>463.3924641972248</v>
      </c>
      <c r="AF35" s="593">
        <f t="shared" si="2"/>
        <v>486.9262255824915</v>
      </c>
      <c r="AG35" s="593">
        <f t="shared" si="2"/>
        <v>511.5400846832302</v>
      </c>
      <c r="AH35" s="593">
        <f t="shared" si="2"/>
        <v>537.2838881340152</v>
      </c>
      <c r="AI35" s="22"/>
    </row>
    <row r="36" spans="3:35" ht="12.75">
      <c r="C36" s="322"/>
      <c r="D36" s="323"/>
      <c r="E36" s="324" t="s">
        <v>125</v>
      </c>
      <c r="F36" s="261" t="s">
        <v>61</v>
      </c>
      <c r="G36" s="261">
        <f>G32</f>
        <v>42.73085776821767</v>
      </c>
      <c r="H36" s="261">
        <f>H32</f>
        <v>45.6588731634643</v>
      </c>
      <c r="I36" s="261">
        <f>I32</f>
        <v>48.70823471789148</v>
      </c>
      <c r="J36" s="261">
        <f>J32</f>
        <v>50.5793259655485</v>
      </c>
      <c r="K36" s="261">
        <f>K32</f>
        <v>53.42021521910936</v>
      </c>
      <c r="L36" s="261">
        <f>(L27/(L27+L28)*L32)</f>
        <v>40.271000883185785</v>
      </c>
      <c r="M36" s="261">
        <f aca="true" t="shared" si="3" ref="M36:AH36">(M27/(M27+M28)*M32)</f>
        <v>43.95107765322785</v>
      </c>
      <c r="N36" s="261">
        <f t="shared" si="3"/>
        <v>47.90017242904241</v>
      </c>
      <c r="O36" s="261">
        <f t="shared" si="3"/>
        <v>49.49227853748115</v>
      </c>
      <c r="P36" s="261">
        <f t="shared" si="3"/>
        <v>52.918734977240916</v>
      </c>
      <c r="Q36" s="261">
        <f t="shared" si="3"/>
        <v>56.53810566730356</v>
      </c>
      <c r="R36" s="261">
        <f t="shared" si="3"/>
        <v>60.361265566962956</v>
      </c>
      <c r="S36" s="261">
        <f t="shared" si="3"/>
        <v>64.3997034172551</v>
      </c>
      <c r="T36" s="261">
        <f t="shared" si="3"/>
        <v>49.7825284066115</v>
      </c>
      <c r="U36" s="261">
        <f t="shared" si="3"/>
        <v>53.04944399976194</v>
      </c>
      <c r="V36" s="261">
        <f t="shared" si="3"/>
        <v>56.50035270607728</v>
      </c>
      <c r="W36" s="261">
        <f t="shared" si="3"/>
        <v>60.145629905153996</v>
      </c>
      <c r="X36" s="261">
        <f t="shared" si="3"/>
        <v>63.99623674282829</v>
      </c>
      <c r="Y36" s="261">
        <f t="shared" si="3"/>
        <v>65.13452025730022</v>
      </c>
      <c r="Z36" s="261">
        <f t="shared" si="3"/>
        <v>68.55590712873033</v>
      </c>
      <c r="AA36" s="261">
        <f t="shared" si="3"/>
        <v>72.13409466770096</v>
      </c>
      <c r="AB36" s="261">
        <f t="shared" si="3"/>
        <v>75.8763080240071</v>
      </c>
      <c r="AC36" s="261">
        <f t="shared" si="3"/>
        <v>79.79010721119566</v>
      </c>
      <c r="AD36" s="261">
        <f t="shared" si="3"/>
        <v>83.88340272241797</v>
      </c>
      <c r="AE36" s="261">
        <f t="shared" si="3"/>
        <v>88.16447187922847</v>
      </c>
      <c r="AF36" s="261">
        <f t="shared" si="3"/>
        <v>92.6419759479626</v>
      </c>
      <c r="AG36" s="261">
        <f t="shared" si="3"/>
        <v>97.32497805997531</v>
      </c>
      <c r="AH36" s="261">
        <f t="shared" si="3"/>
        <v>102.22296197374719</v>
      </c>
      <c r="AI36" s="22"/>
    </row>
    <row r="37" spans="3:35" ht="12.75">
      <c r="C37" s="322"/>
      <c r="D37" s="667"/>
      <c r="E37" s="667"/>
      <c r="F37" s="594"/>
      <c r="G37" s="595"/>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22"/>
    </row>
    <row r="38" spans="3:35" ht="12.75" customHeight="1">
      <c r="C38" s="322"/>
      <c r="D38" s="323"/>
      <c r="E38" s="324"/>
      <c r="F38" s="261"/>
      <c r="G38" s="261"/>
      <c r="H38" s="262"/>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2"/>
    </row>
    <row r="39" spans="3:35" ht="12.75">
      <c r="C39" s="322"/>
      <c r="D39" s="316" t="s">
        <v>152</v>
      </c>
      <c r="E39" s="324"/>
      <c r="F39" s="261"/>
      <c r="G39" s="261"/>
      <c r="H39" s="262"/>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2"/>
    </row>
    <row r="40" spans="3:35" ht="12.75">
      <c r="C40" s="279"/>
      <c r="D40" s="280"/>
      <c r="E40" s="278"/>
      <c r="F40" s="274"/>
      <c r="G40" s="274"/>
      <c r="H40" s="275"/>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0"/>
    </row>
    <row r="41" spans="3:35" ht="12.75">
      <c r="C41" s="322"/>
      <c r="D41" s="323"/>
      <c r="E41" s="324" t="s">
        <v>131</v>
      </c>
      <c r="F41" s="261" t="s">
        <v>61</v>
      </c>
      <c r="G41" s="261"/>
      <c r="H41" s="240"/>
      <c r="I41" s="461">
        <v>8.6</v>
      </c>
      <c r="J41" s="461">
        <v>21.8</v>
      </c>
      <c r="K41" s="461">
        <v>20.6</v>
      </c>
      <c r="L41" s="461">
        <v>9.7</v>
      </c>
      <c r="M41" s="461">
        <f>0.043*Assumptions!$H$27</f>
        <v>2.54259</v>
      </c>
      <c r="N41" s="263"/>
      <c r="O41" s="263"/>
      <c r="P41" s="263"/>
      <c r="Q41" s="263"/>
      <c r="R41" s="263"/>
      <c r="S41" s="263"/>
      <c r="T41" s="263">
        <v>0</v>
      </c>
      <c r="U41" s="263"/>
      <c r="V41" s="263"/>
      <c r="W41" s="263"/>
      <c r="X41" s="263"/>
      <c r="Y41" s="263"/>
      <c r="Z41" s="263"/>
      <c r="AA41" s="263"/>
      <c r="AB41" s="263"/>
      <c r="AC41" s="263"/>
      <c r="AD41" s="263"/>
      <c r="AE41" s="263"/>
      <c r="AF41" s="263"/>
      <c r="AG41" s="263"/>
      <c r="AH41" s="263"/>
      <c r="AI41" s="22"/>
    </row>
    <row r="42" spans="3:35" ht="24.75" customHeight="1">
      <c r="C42" s="322"/>
      <c r="D42" s="323"/>
      <c r="E42" s="670" t="s">
        <v>310</v>
      </c>
      <c r="F42" s="670"/>
      <c r="G42" s="670"/>
      <c r="H42" s="240"/>
      <c r="I42" s="239"/>
      <c r="J42" s="239"/>
      <c r="K42" s="239"/>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2"/>
    </row>
    <row r="43" spans="3:35" ht="12.75">
      <c r="C43" s="322"/>
      <c r="D43" s="323"/>
      <c r="E43" s="324" t="s">
        <v>122</v>
      </c>
      <c r="F43" s="261" t="s">
        <v>61</v>
      </c>
      <c r="G43" s="261"/>
      <c r="H43" s="262"/>
      <c r="I43" s="262"/>
      <c r="J43" s="262"/>
      <c r="K43" s="262"/>
      <c r="L43" s="262">
        <f>Assumptions!H$32</f>
        <v>0.88695</v>
      </c>
      <c r="M43" s="262">
        <f>Assumptions!H$32</f>
        <v>0.88695</v>
      </c>
      <c r="N43" s="262">
        <f>Assumptions!H$32</f>
        <v>0.88695</v>
      </c>
      <c r="O43" s="262">
        <f>Assumptions!H$32</f>
        <v>0.88695</v>
      </c>
      <c r="P43" s="262">
        <f>Assumptions!H$32</f>
        <v>0.88695</v>
      </c>
      <c r="Q43" s="262">
        <f>Assumptions!H$32</f>
        <v>0.88695</v>
      </c>
      <c r="R43" s="262">
        <f>Assumptions!H$32</f>
        <v>0.88695</v>
      </c>
      <c r="S43" s="262">
        <f>Assumptions!H$32</f>
        <v>0.88695</v>
      </c>
      <c r="T43" s="262">
        <f>Assumptions!H$32</f>
        <v>0.88695</v>
      </c>
      <c r="U43" s="262">
        <f>Assumptions!H$32</f>
        <v>0.88695</v>
      </c>
      <c r="V43" s="262">
        <f>Assumptions!H$32</f>
        <v>0.88695</v>
      </c>
      <c r="W43" s="262">
        <f>Assumptions!H$32</f>
        <v>0.88695</v>
      </c>
      <c r="X43" s="262">
        <f>Assumptions!H$32</f>
        <v>0.88695</v>
      </c>
      <c r="Y43" s="262">
        <f>Assumptions!H$32</f>
        <v>0.88695</v>
      </c>
      <c r="Z43" s="262">
        <f>Assumptions!H$32</f>
        <v>0.88695</v>
      </c>
      <c r="AA43" s="262">
        <f>Assumptions!H$32</f>
        <v>0.88695</v>
      </c>
      <c r="AB43" s="262">
        <f>Assumptions!H$32</f>
        <v>0.88695</v>
      </c>
      <c r="AC43" s="262">
        <f>Assumptions!H$32</f>
        <v>0.88695</v>
      </c>
      <c r="AD43" s="262">
        <f>Assumptions!H$32</f>
        <v>0.88695</v>
      </c>
      <c r="AE43" s="262">
        <f>Assumptions!H$32</f>
        <v>0.88695</v>
      </c>
      <c r="AF43" s="262">
        <f>Assumptions!H$32</f>
        <v>0.88695</v>
      </c>
      <c r="AG43" s="262">
        <f>Assumptions!H$32</f>
        <v>0.88695</v>
      </c>
      <c r="AH43" s="262">
        <f>Assumptions!H$32</f>
        <v>0.88695</v>
      </c>
      <c r="AI43" s="22"/>
    </row>
    <row r="44" spans="3:35" ht="12.75">
      <c r="C44" s="322"/>
      <c r="D44" s="323"/>
      <c r="E44" s="324" t="s">
        <v>183</v>
      </c>
      <c r="F44" s="261"/>
      <c r="G44" s="261"/>
      <c r="H44" s="262"/>
      <c r="I44" s="262"/>
      <c r="J44" s="262"/>
      <c r="K44" s="262"/>
      <c r="L44" s="262">
        <f aca="true" t="shared" si="4" ref="L44:AH44">(34/ex_rate)*L31-(34/ex_rate)*250</f>
        <v>0.953372077903861</v>
      </c>
      <c r="M44" s="262">
        <f t="shared" si="4"/>
        <v>1.6379968016990407</v>
      </c>
      <c r="N44" s="262">
        <f t="shared" si="4"/>
        <v>2.372668410221525</v>
      </c>
      <c r="O44" s="262">
        <f t="shared" si="4"/>
        <v>2.997689370389571</v>
      </c>
      <c r="P44" s="262">
        <f t="shared" si="4"/>
        <v>3.6578975211904794</v>
      </c>
      <c r="Q44" s="262">
        <f t="shared" si="4"/>
        <v>4.3552763066382205</v>
      </c>
      <c r="R44" s="262">
        <f t="shared" si="4"/>
        <v>5.091921109204945</v>
      </c>
      <c r="S44" s="262">
        <f t="shared" si="4"/>
        <v>5.870045574564468</v>
      </c>
      <c r="T44" s="262">
        <f t="shared" si="4"/>
        <v>6.691988294096301</v>
      </c>
      <c r="U44" s="262">
        <f t="shared" si="4"/>
        <v>7.560219865408728</v>
      </c>
      <c r="V44" s="262">
        <f t="shared" si="4"/>
        <v>8.47735035228811</v>
      </c>
      <c r="W44" s="262">
        <f t="shared" si="4"/>
        <v>9.446137166694795</v>
      </c>
      <c r="X44" s="262">
        <f t="shared" si="4"/>
        <v>10.469493396708776</v>
      </c>
      <c r="Y44" s="262">
        <f t="shared" si="4"/>
        <v>11.368922012400892</v>
      </c>
      <c r="Z44" s="262">
        <f t="shared" si="4"/>
        <v>12.309561273127114</v>
      </c>
      <c r="AA44" s="262">
        <f t="shared" si="4"/>
        <v>13.29330962076436</v>
      </c>
      <c r="AB44" s="262">
        <f t="shared" si="4"/>
        <v>14.322153460187943</v>
      </c>
      <c r="AC44" s="262">
        <f t="shared" si="4"/>
        <v>15.398171260106936</v>
      </c>
      <c r="AD44" s="262">
        <f t="shared" si="4"/>
        <v>16.523537846318433</v>
      </c>
      <c r="AE44" s="262">
        <f t="shared" si="4"/>
        <v>17.700528896470217</v>
      </c>
      <c r="AF44" s="262">
        <f t="shared" si="4"/>
        <v>18.931525645853398</v>
      </c>
      <c r="AG44" s="262">
        <f t="shared" si="4"/>
        <v>20.219019814199733</v>
      </c>
      <c r="AH44" s="262">
        <f t="shared" si="4"/>
        <v>21.565618763933102</v>
      </c>
      <c r="AI44" s="22"/>
    </row>
    <row r="45" spans="3:35" ht="12.75">
      <c r="C45" s="322"/>
      <c r="D45" s="323"/>
      <c r="E45" s="324"/>
      <c r="F45" s="261"/>
      <c r="G45" s="261"/>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2"/>
    </row>
    <row r="46" spans="3:35" ht="12.75">
      <c r="C46" s="322"/>
      <c r="D46" s="667" t="s">
        <v>60</v>
      </c>
      <c r="E46" s="667"/>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2"/>
    </row>
    <row r="47" spans="3:35" ht="12.75">
      <c r="C47" s="322"/>
      <c r="D47" s="323"/>
      <c r="E47" s="324" t="s">
        <v>126</v>
      </c>
      <c r="F47" s="261" t="s">
        <v>120</v>
      </c>
      <c r="G47" s="597">
        <v>0</v>
      </c>
      <c r="H47" s="597">
        <f aca="true" t="shared" si="5" ref="H47:AH47">VLOOKUP(H23,ppatable,5)</f>
        <v>10</v>
      </c>
      <c r="I47" s="597">
        <f t="shared" si="5"/>
        <v>10</v>
      </c>
      <c r="J47" s="597">
        <f t="shared" si="5"/>
        <v>10</v>
      </c>
      <c r="K47" s="597">
        <f t="shared" si="5"/>
        <v>2</v>
      </c>
      <c r="L47" s="597">
        <f t="shared" si="5"/>
        <v>2</v>
      </c>
      <c r="M47" s="597">
        <f t="shared" si="5"/>
        <v>2</v>
      </c>
      <c r="N47" s="597">
        <f t="shared" si="5"/>
        <v>2</v>
      </c>
      <c r="O47" s="597">
        <f t="shared" si="5"/>
        <v>2</v>
      </c>
      <c r="P47" s="597">
        <f t="shared" si="5"/>
        <v>2</v>
      </c>
      <c r="Q47" s="597">
        <f t="shared" si="5"/>
        <v>2</v>
      </c>
      <c r="R47" s="597">
        <f t="shared" si="5"/>
        <v>2</v>
      </c>
      <c r="S47" s="597">
        <f t="shared" si="5"/>
        <v>2</v>
      </c>
      <c r="T47" s="597">
        <f t="shared" si="5"/>
        <v>2</v>
      </c>
      <c r="U47" s="597">
        <f t="shared" si="5"/>
        <v>2</v>
      </c>
      <c r="V47" s="597">
        <f t="shared" si="5"/>
        <v>2</v>
      </c>
      <c r="W47" s="597">
        <f t="shared" si="5"/>
        <v>2</v>
      </c>
      <c r="X47" s="597">
        <f t="shared" si="5"/>
        <v>2</v>
      </c>
      <c r="Y47" s="597">
        <f t="shared" si="5"/>
        <v>2</v>
      </c>
      <c r="Z47" s="597">
        <f t="shared" si="5"/>
        <v>2</v>
      </c>
      <c r="AA47" s="597">
        <f t="shared" si="5"/>
        <v>2</v>
      </c>
      <c r="AB47" s="597">
        <f t="shared" si="5"/>
        <v>2</v>
      </c>
      <c r="AC47" s="597">
        <f t="shared" si="5"/>
        <v>2</v>
      </c>
      <c r="AD47" s="597">
        <f t="shared" si="5"/>
        <v>2</v>
      </c>
      <c r="AE47" s="597">
        <f t="shared" si="5"/>
        <v>2</v>
      </c>
      <c r="AF47" s="597">
        <f t="shared" si="5"/>
        <v>2</v>
      </c>
      <c r="AG47" s="597">
        <f t="shared" si="5"/>
        <v>2</v>
      </c>
      <c r="AH47" s="597">
        <f t="shared" si="5"/>
        <v>2</v>
      </c>
      <c r="AI47" s="22"/>
    </row>
    <row r="48" spans="3:35" ht="12.75">
      <c r="C48" s="322"/>
      <c r="D48" s="323"/>
      <c r="E48" s="324" t="s">
        <v>127</v>
      </c>
      <c r="F48" s="595" t="s">
        <v>61</v>
      </c>
      <c r="G48" s="595">
        <f>Assumptions!H33</f>
        <v>25.5</v>
      </c>
      <c r="H48" s="595">
        <f aca="true" t="shared" si="6" ref="H48:AH48">G48*(1+H47/100)</f>
        <v>28.05</v>
      </c>
      <c r="I48" s="595">
        <f t="shared" si="6"/>
        <v>30.855000000000004</v>
      </c>
      <c r="J48" s="595">
        <f t="shared" si="6"/>
        <v>33.94050000000001</v>
      </c>
      <c r="K48" s="595">
        <f t="shared" si="6"/>
        <v>34.619310000000006</v>
      </c>
      <c r="L48" s="595">
        <f t="shared" si="6"/>
        <v>35.31169620000001</v>
      </c>
      <c r="M48" s="595">
        <f t="shared" si="6"/>
        <v>36.01793012400001</v>
      </c>
      <c r="N48" s="595">
        <f t="shared" si="6"/>
        <v>36.73828872648001</v>
      </c>
      <c r="O48" s="595">
        <f t="shared" si="6"/>
        <v>37.47305450100961</v>
      </c>
      <c r="P48" s="595">
        <f t="shared" si="6"/>
        <v>38.2225155910298</v>
      </c>
      <c r="Q48" s="595">
        <f t="shared" si="6"/>
        <v>38.98696590285039</v>
      </c>
      <c r="R48" s="595">
        <f t="shared" si="6"/>
        <v>39.766705220907404</v>
      </c>
      <c r="S48" s="595">
        <f t="shared" si="6"/>
        <v>40.56203932532555</v>
      </c>
      <c r="T48" s="595">
        <f t="shared" si="6"/>
        <v>41.37328011183206</v>
      </c>
      <c r="U48" s="595">
        <f t="shared" si="6"/>
        <v>42.2007457140687</v>
      </c>
      <c r="V48" s="595">
        <f t="shared" si="6"/>
        <v>43.044760628350076</v>
      </c>
      <c r="W48" s="595">
        <f t="shared" si="6"/>
        <v>43.90565584091708</v>
      </c>
      <c r="X48" s="595">
        <f t="shared" si="6"/>
        <v>44.78376895773542</v>
      </c>
      <c r="Y48" s="595">
        <f t="shared" si="6"/>
        <v>45.67944433689013</v>
      </c>
      <c r="Z48" s="595">
        <f t="shared" si="6"/>
        <v>46.593033223627934</v>
      </c>
      <c r="AA48" s="595">
        <f t="shared" si="6"/>
        <v>47.52489388810049</v>
      </c>
      <c r="AB48" s="595">
        <f t="shared" si="6"/>
        <v>48.475391765862504</v>
      </c>
      <c r="AC48" s="595">
        <f t="shared" si="6"/>
        <v>49.444899601179756</v>
      </c>
      <c r="AD48" s="595">
        <f t="shared" si="6"/>
        <v>50.43379759320335</v>
      </c>
      <c r="AE48" s="595">
        <f t="shared" si="6"/>
        <v>51.44247354506742</v>
      </c>
      <c r="AF48" s="595">
        <f t="shared" si="6"/>
        <v>52.47132301596877</v>
      </c>
      <c r="AG48" s="595">
        <f t="shared" si="6"/>
        <v>53.520749476288145</v>
      </c>
      <c r="AH48" s="595">
        <f t="shared" si="6"/>
        <v>54.59116446581391</v>
      </c>
      <c r="AI48" s="22"/>
    </row>
    <row r="49" spans="3:35" ht="12.75">
      <c r="C49" s="322"/>
      <c r="D49" s="323"/>
      <c r="E49" s="324" t="s">
        <v>128</v>
      </c>
      <c r="F49" s="594" t="s">
        <v>61</v>
      </c>
      <c r="G49" s="595">
        <f>Assumptions!H34</f>
        <v>3685.5</v>
      </c>
      <c r="H49" s="596">
        <f aca="true" t="shared" si="7" ref="H49:AH49">G49*(1+H47/100)</f>
        <v>4054.05</v>
      </c>
      <c r="I49" s="596">
        <f t="shared" si="7"/>
        <v>4459.455000000001</v>
      </c>
      <c r="J49" s="596">
        <f t="shared" si="7"/>
        <v>4905.400500000002</v>
      </c>
      <c r="K49" s="596">
        <f t="shared" si="7"/>
        <v>5003.5085100000015</v>
      </c>
      <c r="L49" s="596">
        <f t="shared" si="7"/>
        <v>5103.578680200001</v>
      </c>
      <c r="M49" s="596">
        <f t="shared" si="7"/>
        <v>5205.650253804001</v>
      </c>
      <c r="N49" s="596">
        <f t="shared" si="7"/>
        <v>5309.763258880082</v>
      </c>
      <c r="O49" s="596">
        <f t="shared" si="7"/>
        <v>5415.9585240576835</v>
      </c>
      <c r="P49" s="596">
        <f t="shared" si="7"/>
        <v>5524.277694538837</v>
      </c>
      <c r="Q49" s="596">
        <f t="shared" si="7"/>
        <v>5634.763248429614</v>
      </c>
      <c r="R49" s="596">
        <f t="shared" si="7"/>
        <v>5747.458513398206</v>
      </c>
      <c r="S49" s="596">
        <f t="shared" si="7"/>
        <v>5862.407683666171</v>
      </c>
      <c r="T49" s="596">
        <f t="shared" si="7"/>
        <v>5979.655837339495</v>
      </c>
      <c r="U49" s="596">
        <f t="shared" si="7"/>
        <v>6099.248954086284</v>
      </c>
      <c r="V49" s="596">
        <f t="shared" si="7"/>
        <v>6221.2339331680105</v>
      </c>
      <c r="W49" s="596">
        <f t="shared" si="7"/>
        <v>6345.658611831371</v>
      </c>
      <c r="X49" s="596">
        <f t="shared" si="7"/>
        <v>6472.571784067998</v>
      </c>
      <c r="Y49" s="596">
        <f t="shared" si="7"/>
        <v>6602.023219749358</v>
      </c>
      <c r="Z49" s="596">
        <f t="shared" si="7"/>
        <v>6734.063684144345</v>
      </c>
      <c r="AA49" s="596">
        <f t="shared" si="7"/>
        <v>6868.744957827232</v>
      </c>
      <c r="AB49" s="596">
        <f t="shared" si="7"/>
        <v>7006.119856983776</v>
      </c>
      <c r="AC49" s="596">
        <f t="shared" si="7"/>
        <v>7146.242254123452</v>
      </c>
      <c r="AD49" s="596">
        <f t="shared" si="7"/>
        <v>7289.167099205921</v>
      </c>
      <c r="AE49" s="596">
        <f t="shared" si="7"/>
        <v>7434.950441190039</v>
      </c>
      <c r="AF49" s="596">
        <f t="shared" si="7"/>
        <v>7583.64945001384</v>
      </c>
      <c r="AG49" s="596">
        <f t="shared" si="7"/>
        <v>7735.322439014117</v>
      </c>
      <c r="AH49" s="596">
        <f t="shared" si="7"/>
        <v>7890.028887794399</v>
      </c>
      <c r="AI49" s="22"/>
    </row>
    <row r="50" spans="3:35" ht="12.75">
      <c r="C50" s="322"/>
      <c r="D50" s="323"/>
      <c r="E50" s="324"/>
      <c r="F50" s="594"/>
      <c r="G50" s="595"/>
      <c r="H50" s="594"/>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22"/>
    </row>
    <row r="51" spans="3:35" ht="12.75">
      <c r="C51" s="322"/>
      <c r="D51" s="323"/>
      <c r="E51" s="324" t="s">
        <v>123</v>
      </c>
      <c r="F51" s="261" t="s">
        <v>61</v>
      </c>
      <c r="G51" s="261"/>
      <c r="H51" s="262"/>
      <c r="I51" s="262"/>
      <c r="J51" s="262"/>
      <c r="K51" s="261"/>
      <c r="L51" s="262">
        <f aca="true" t="shared" si="8" ref="L51:AH51">((L48*L31)+(L49*L32*12*0.8/1000))/ex_rate-((L48*250)+(L49*40.3*12*0.8/1000))/ex_rate</f>
        <v>1.6720390314701685</v>
      </c>
      <c r="M51" s="262">
        <f t="shared" si="8"/>
        <v>2.6358669433695514</v>
      </c>
      <c r="N51" s="262">
        <f t="shared" si="8"/>
        <v>3.7069518144806306</v>
      </c>
      <c r="O51" s="262">
        <f t="shared" si="8"/>
        <v>4.5622869476412955</v>
      </c>
      <c r="P51" s="262">
        <f t="shared" si="8"/>
        <v>5.5984158290957104</v>
      </c>
      <c r="Q51" s="262">
        <f t="shared" si="8"/>
        <v>6.728427147204652</v>
      </c>
      <c r="R51" s="262">
        <f t="shared" si="8"/>
        <v>7.959867036888207</v>
      </c>
      <c r="S51" s="262">
        <f t="shared" si="8"/>
        <v>9.30087204914072</v>
      </c>
      <c r="T51" s="262">
        <f t="shared" si="8"/>
        <v>10.76021505669648</v>
      </c>
      <c r="U51" s="262">
        <f t="shared" si="8"/>
        <v>12.347354724870788</v>
      </c>
      <c r="V51" s="262">
        <f t="shared" si="8"/>
        <v>14.072488824505081</v>
      </c>
      <c r="W51" s="262">
        <f t="shared" si="8"/>
        <v>15.946611685465543</v>
      </c>
      <c r="X51" s="262">
        <f t="shared" si="8"/>
        <v>17.981576112339916</v>
      </c>
      <c r="Y51" s="262">
        <f t="shared" si="8"/>
        <v>19.660592122244868</v>
      </c>
      <c r="Z51" s="262">
        <f t="shared" si="8"/>
        <v>21.68312099795739</v>
      </c>
      <c r="AA51" s="262">
        <f t="shared" si="8"/>
        <v>23.854851098375786</v>
      </c>
      <c r="AB51" s="262">
        <f t="shared" si="8"/>
        <v>26.18604447987808</v>
      </c>
      <c r="AC51" s="262">
        <f t="shared" si="8"/>
        <v>28.687656883582406</v>
      </c>
      <c r="AD51" s="262">
        <f t="shared" si="8"/>
        <v>31.371384486100688</v>
      </c>
      <c r="AE51" s="262">
        <f t="shared" si="8"/>
        <v>34.24971380506365</v>
      </c>
      <c r="AF51" s="262">
        <f t="shared" si="8"/>
        <v>37.33597497286131</v>
      </c>
      <c r="AG51" s="262">
        <f t="shared" si="8"/>
        <v>40.644398606530395</v>
      </c>
      <c r="AH51" s="262">
        <f t="shared" si="8"/>
        <v>44.19017651719158</v>
      </c>
      <c r="AI51" s="22"/>
    </row>
    <row r="52" spans="3:35" ht="12.75">
      <c r="C52" s="269"/>
      <c r="D52" s="268"/>
      <c r="E52" s="324"/>
      <c r="F52" s="261"/>
      <c r="G52" s="261"/>
      <c r="H52" s="262"/>
      <c r="I52" s="262"/>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2"/>
    </row>
    <row r="53" spans="3:35" ht="12.75">
      <c r="C53" s="269"/>
      <c r="D53" s="268"/>
      <c r="E53" s="324" t="s">
        <v>165</v>
      </c>
      <c r="F53" s="261" t="s">
        <v>61</v>
      </c>
      <c r="G53" s="261"/>
      <c r="H53" s="262"/>
      <c r="I53" s="263">
        <f>SUM(I41:I44,I51)</f>
        <v>8.6</v>
      </c>
      <c r="J53" s="263">
        <f aca="true" t="shared" si="9" ref="J53:AH53">SUM(J41:J44,J51)</f>
        <v>21.8</v>
      </c>
      <c r="K53" s="263">
        <f t="shared" si="9"/>
        <v>20.6</v>
      </c>
      <c r="L53" s="263">
        <f t="shared" si="9"/>
        <v>13.21236110937403</v>
      </c>
      <c r="M53" s="263">
        <f t="shared" si="9"/>
        <v>7.703403745068592</v>
      </c>
      <c r="N53" s="263">
        <f t="shared" si="9"/>
        <v>6.966570224702156</v>
      </c>
      <c r="O53" s="263">
        <f t="shared" si="9"/>
        <v>8.446926318030867</v>
      </c>
      <c r="P53" s="263">
        <f t="shared" si="9"/>
        <v>10.14326335028619</v>
      </c>
      <c r="Q53" s="263">
        <f t="shared" si="9"/>
        <v>11.970653453842871</v>
      </c>
      <c r="R53" s="263">
        <f t="shared" si="9"/>
        <v>13.93873814609315</v>
      </c>
      <c r="S53" s="263">
        <f t="shared" si="9"/>
        <v>16.05786762370519</v>
      </c>
      <c r="T53" s="263">
        <f t="shared" si="9"/>
        <v>18.33915335079278</v>
      </c>
      <c r="U53" s="263">
        <f t="shared" si="9"/>
        <v>20.794524590279515</v>
      </c>
      <c r="V53" s="263">
        <f t="shared" si="9"/>
        <v>23.43678917679319</v>
      </c>
      <c r="W53" s="263">
        <f t="shared" si="9"/>
        <v>26.279698852160337</v>
      </c>
      <c r="X53" s="263">
        <f t="shared" si="9"/>
        <v>29.338019509048692</v>
      </c>
      <c r="Y53" s="263">
        <f t="shared" si="9"/>
        <v>31.91646413464576</v>
      </c>
      <c r="Z53" s="263">
        <f t="shared" si="9"/>
        <v>34.8796322710845</v>
      </c>
      <c r="AA53" s="263">
        <f t="shared" si="9"/>
        <v>38.03511071914015</v>
      </c>
      <c r="AB53" s="263">
        <f t="shared" si="9"/>
        <v>41.395147940066025</v>
      </c>
      <c r="AC53" s="263">
        <f t="shared" si="9"/>
        <v>44.97277814368934</v>
      </c>
      <c r="AD53" s="263">
        <f t="shared" si="9"/>
        <v>48.78187233241912</v>
      </c>
      <c r="AE53" s="263">
        <f t="shared" si="9"/>
        <v>52.837192701533866</v>
      </c>
      <c r="AF53" s="263">
        <f t="shared" si="9"/>
        <v>57.154450618714705</v>
      </c>
      <c r="AG53" s="263">
        <f t="shared" si="9"/>
        <v>61.750368420730126</v>
      </c>
      <c r="AH53" s="263">
        <f t="shared" si="9"/>
        <v>66.64274528112469</v>
      </c>
      <c r="AI53" s="22"/>
    </row>
    <row r="54" spans="3:35" ht="12.75">
      <c r="C54" s="269"/>
      <c r="D54" s="268"/>
      <c r="E54" s="324"/>
      <c r="F54" s="261"/>
      <c r="G54" s="261"/>
      <c r="H54" s="262"/>
      <c r="I54" s="262"/>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2"/>
    </row>
    <row r="55" spans="3:35" ht="12.75">
      <c r="C55" s="269"/>
      <c r="D55" s="316" t="s">
        <v>153</v>
      </c>
      <c r="E55" s="324"/>
      <c r="F55" s="261"/>
      <c r="G55" s="261"/>
      <c r="H55" s="262"/>
      <c r="I55" s="262"/>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2"/>
    </row>
    <row r="56" spans="3:35" ht="13.5" thickBot="1">
      <c r="C56" s="269"/>
      <c r="D56" s="316"/>
      <c r="E56" s="324"/>
      <c r="F56" s="261"/>
      <c r="G56" s="261"/>
      <c r="H56" s="262" t="s">
        <v>228</v>
      </c>
      <c r="I56" s="262" t="s">
        <v>229</v>
      </c>
      <c r="J56" s="262" t="s">
        <v>230</v>
      </c>
      <c r="K56" s="262" t="s">
        <v>231</v>
      </c>
      <c r="L56" s="262" t="s">
        <v>232</v>
      </c>
      <c r="M56" s="261">
        <v>6</v>
      </c>
      <c r="N56" s="261">
        <v>7</v>
      </c>
      <c r="O56" s="261">
        <v>8</v>
      </c>
      <c r="P56" s="261">
        <v>9</v>
      </c>
      <c r="Q56" s="261">
        <v>10</v>
      </c>
      <c r="R56" s="261">
        <v>11</v>
      </c>
      <c r="S56" s="261">
        <v>12</v>
      </c>
      <c r="T56" s="261">
        <v>13</v>
      </c>
      <c r="U56" s="261">
        <v>14</v>
      </c>
      <c r="V56" s="261">
        <v>15</v>
      </c>
      <c r="W56" s="261">
        <v>16</v>
      </c>
      <c r="X56" s="261">
        <v>17</v>
      </c>
      <c r="Y56" s="261">
        <v>18</v>
      </c>
      <c r="Z56" s="261">
        <v>19</v>
      </c>
      <c r="AA56" s="261">
        <v>20</v>
      </c>
      <c r="AB56" s="261"/>
      <c r="AC56" s="261"/>
      <c r="AD56" s="261"/>
      <c r="AE56" s="261"/>
      <c r="AF56" s="261"/>
      <c r="AG56" s="261"/>
      <c r="AH56" s="261"/>
      <c r="AI56" s="22"/>
    </row>
    <row r="57" spans="3:35" ht="13.5" thickBot="1">
      <c r="C57" s="279"/>
      <c r="D57" s="323"/>
      <c r="E57" s="598" t="s">
        <v>174</v>
      </c>
      <c r="F57" s="599"/>
      <c r="G57" s="601">
        <f>304.5*1.064</f>
        <v>323.988</v>
      </c>
      <c r="H57" s="376">
        <v>2008</v>
      </c>
      <c r="I57" s="376">
        <v>2009</v>
      </c>
      <c r="J57" s="376">
        <v>2010</v>
      </c>
      <c r="K57" s="376">
        <v>2011</v>
      </c>
      <c r="L57" s="376">
        <v>2012</v>
      </c>
      <c r="M57" s="377"/>
      <c r="N57" s="377"/>
      <c r="O57" s="467"/>
      <c r="P57" s="467"/>
      <c r="Q57" s="467"/>
      <c r="R57" s="467"/>
      <c r="S57" s="467"/>
      <c r="T57" s="467"/>
      <c r="U57" s="377"/>
      <c r="V57" s="377"/>
      <c r="W57" s="377"/>
      <c r="X57" s="377"/>
      <c r="Y57" s="377"/>
      <c r="Z57" s="377"/>
      <c r="AA57" s="377"/>
      <c r="AB57" s="377"/>
      <c r="AC57" s="377"/>
      <c r="AD57" s="377"/>
      <c r="AE57" s="377"/>
      <c r="AF57" s="377"/>
      <c r="AG57" s="377"/>
      <c r="AH57" s="377"/>
      <c r="AI57" s="270"/>
    </row>
    <row r="58" spans="3:35" ht="12.75">
      <c r="C58" s="279"/>
      <c r="D58" s="280"/>
      <c r="E58" s="468"/>
      <c r="F58" s="464"/>
      <c r="G58" s="469"/>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270"/>
    </row>
    <row r="59" spans="3:35" ht="12.75">
      <c r="C59" s="279"/>
      <c r="D59" s="280"/>
      <c r="E59" s="617" t="s">
        <v>250</v>
      </c>
      <c r="F59" s="618"/>
      <c r="G59" s="619"/>
      <c r="H59" s="620">
        <f>984625*(1+0.03)^5</f>
        <v>1141450.2354076374</v>
      </c>
      <c r="I59" s="620">
        <f>H59*(1+0.03)</f>
        <v>1175693.7424698665</v>
      </c>
      <c r="J59" s="620">
        <f aca="true" t="shared" si="10" ref="J59:AH59">I59*(1+0.03)</f>
        <v>1210964.5547439626</v>
      </c>
      <c r="K59" s="620">
        <f t="shared" si="10"/>
        <v>1247293.4913862816</v>
      </c>
      <c r="L59" s="620">
        <f t="shared" si="10"/>
        <v>1284712.29612787</v>
      </c>
      <c r="M59" s="620">
        <f t="shared" si="10"/>
        <v>1323253.665011706</v>
      </c>
      <c r="N59" s="620">
        <f t="shared" si="10"/>
        <v>1362951.2749620574</v>
      </c>
      <c r="O59" s="620">
        <f t="shared" si="10"/>
        <v>1403839.813210919</v>
      </c>
      <c r="P59" s="620">
        <f t="shared" si="10"/>
        <v>1445955.0076072467</v>
      </c>
      <c r="Q59" s="620">
        <f t="shared" si="10"/>
        <v>1489333.6578354642</v>
      </c>
      <c r="R59" s="620">
        <f t="shared" si="10"/>
        <v>1534013.667570528</v>
      </c>
      <c r="S59" s="620">
        <f t="shared" si="10"/>
        <v>1580034.077597644</v>
      </c>
      <c r="T59" s="620">
        <f t="shared" si="10"/>
        <v>1627435.0999255732</v>
      </c>
      <c r="U59" s="620">
        <f t="shared" si="10"/>
        <v>1676258.1529233404</v>
      </c>
      <c r="V59" s="620">
        <f t="shared" si="10"/>
        <v>1726545.8975110408</v>
      </c>
      <c r="W59" s="620">
        <f t="shared" si="10"/>
        <v>1778342.274436372</v>
      </c>
      <c r="X59" s="620">
        <f t="shared" si="10"/>
        <v>1831692.5426694632</v>
      </c>
      <c r="Y59" s="620">
        <f t="shared" si="10"/>
        <v>1886643.3189495471</v>
      </c>
      <c r="Z59" s="620">
        <f t="shared" si="10"/>
        <v>1943242.6185180335</v>
      </c>
      <c r="AA59" s="620">
        <f t="shared" si="10"/>
        <v>2001539.8970735746</v>
      </c>
      <c r="AB59" s="620">
        <f t="shared" si="10"/>
        <v>2061586.0939857818</v>
      </c>
      <c r="AC59" s="620">
        <f t="shared" si="10"/>
        <v>2123433.676805355</v>
      </c>
      <c r="AD59" s="620">
        <f t="shared" si="10"/>
        <v>2187136.687109516</v>
      </c>
      <c r="AE59" s="620">
        <f t="shared" si="10"/>
        <v>2252750.7877228013</v>
      </c>
      <c r="AF59" s="620">
        <f t="shared" si="10"/>
        <v>2320333.3113544853</v>
      </c>
      <c r="AG59" s="620">
        <f t="shared" si="10"/>
        <v>2389943.31069512</v>
      </c>
      <c r="AH59" s="620">
        <f t="shared" si="10"/>
        <v>2461641.610015974</v>
      </c>
      <c r="AI59" s="270"/>
    </row>
    <row r="60" spans="3:35" ht="12.75">
      <c r="C60" s="279"/>
      <c r="D60" s="280"/>
      <c r="E60" s="382"/>
      <c r="F60" s="618"/>
      <c r="G60" s="619"/>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c r="AF60" s="621"/>
      <c r="AG60" s="621"/>
      <c r="AH60" s="621"/>
      <c r="AI60" s="270"/>
    </row>
    <row r="61" spans="3:35" s="283" customFormat="1" ht="12.75">
      <c r="C61" s="279"/>
      <c r="D61" s="280"/>
      <c r="E61" s="453" t="s">
        <v>175</v>
      </c>
      <c r="F61" s="379"/>
      <c r="G61" s="379"/>
      <c r="H61" s="379">
        <f>G57*(1+grow)^2</f>
        <v>366.7855188480001</v>
      </c>
      <c r="I61" s="379">
        <f>H61*(1+grow)</f>
        <v>390.2597920542721</v>
      </c>
      <c r="J61" s="379">
        <f>I61*(1+grow)</f>
        <v>415.23641874574554</v>
      </c>
      <c r="K61" s="379">
        <f aca="true" t="shared" si="11" ref="K61:AH61">J61*(1+grow)+K62</f>
        <v>441.81154954547327</v>
      </c>
      <c r="L61" s="379">
        <f t="shared" si="11"/>
        <v>470.33757194411487</v>
      </c>
      <c r="M61" s="379">
        <f t="shared" si="11"/>
        <v>501.2513234818381</v>
      </c>
      <c r="N61" s="379">
        <f t="shared" si="11"/>
        <v>534.7303649358353</v>
      </c>
      <c r="O61" s="379">
        <f t="shared" si="11"/>
        <v>570.8460142153118</v>
      </c>
      <c r="P61" s="379">
        <f t="shared" si="11"/>
        <v>609.8000854293448</v>
      </c>
      <c r="Q61" s="379">
        <f t="shared" si="11"/>
        <v>651.7942847535182</v>
      </c>
      <c r="R61" s="379">
        <f t="shared" si="11"/>
        <v>697.0387702425191</v>
      </c>
      <c r="S61" s="379">
        <f t="shared" si="11"/>
        <v>745.7509249903669</v>
      </c>
      <c r="T61" s="379">
        <f t="shared" si="11"/>
        <v>798.1536714356654</v>
      </c>
      <c r="U61" s="379">
        <f t="shared" si="11"/>
        <v>854.4732355589972</v>
      </c>
      <c r="V61" s="379">
        <f t="shared" si="11"/>
        <v>914.9362582009842</v>
      </c>
      <c r="W61" s="379">
        <f t="shared" si="11"/>
        <v>979.7661392581074</v>
      </c>
      <c r="X61" s="379">
        <f t="shared" si="11"/>
        <v>1049.1784897036014</v>
      </c>
      <c r="Y61" s="379">
        <f t="shared" si="11"/>
        <v>1123.2979890180668</v>
      </c>
      <c r="Z61" s="379">
        <f t="shared" si="11"/>
        <v>1202.4359860117463</v>
      </c>
      <c r="AA61" s="379">
        <f t="shared" si="11"/>
        <v>1286.8080694467258</v>
      </c>
      <c r="AB61" s="379">
        <f t="shared" si="11"/>
        <v>1376.6129688634562</v>
      </c>
      <c r="AC61" s="379">
        <f t="shared" si="11"/>
        <v>1472.0260826685644</v>
      </c>
      <c r="AD61" s="379">
        <f t="shared" si="11"/>
        <v>1573.191964276618</v>
      </c>
      <c r="AE61" s="379">
        <f t="shared" si="11"/>
        <v>1680.215690156943</v>
      </c>
      <c r="AF61" s="379">
        <f t="shared" si="11"/>
        <v>1793.1530488778544</v>
      </c>
      <c r="AG61" s="379">
        <f t="shared" si="11"/>
        <v>1911.9995131464439</v>
      </c>
      <c r="AH61" s="379">
        <f t="shared" si="11"/>
        <v>2036.677989088012</v>
      </c>
      <c r="AI61" s="270"/>
    </row>
    <row r="62" spans="3:35" s="283" customFormat="1" ht="12.75">
      <c r="C62" s="279"/>
      <c r="D62" s="280"/>
      <c r="E62" s="453" t="s">
        <v>176</v>
      </c>
      <c r="F62" s="618"/>
      <c r="G62" s="21"/>
      <c r="H62" s="622">
        <v>0</v>
      </c>
      <c r="I62" s="622">
        <v>0</v>
      </c>
      <c r="J62" s="622">
        <v>0</v>
      </c>
      <c r="K62" s="622">
        <v>0</v>
      </c>
      <c r="L62" s="623">
        <f>K61*((L31^Assumptions!$H$17)-(275^Assumptions!$H$17))*($AH$31-K$31)/($AH$31-$K$31)</f>
        <v>0.2500832277312726</v>
      </c>
      <c r="M62" s="623">
        <f>L61*((M31^Assumptions!$H$17)-(275^Assumptions!$H$17))*($AH$31-L$31)/($AH$31-$K$31)</f>
        <v>0.8121469332998854</v>
      </c>
      <c r="N62" s="623">
        <f>M61*((N31^Assumptions!$H$17)-(275^Assumptions!$H$17))*($AH$31-M$31)/($AH$31-$K$31)</f>
        <v>1.3989567511595593</v>
      </c>
      <c r="O62" s="623">
        <f>N61*((O31^Assumptions!$H$17)-(275^Assumptions!$H$17))*($AH$31-N$31)/($AH$31-$K$31)</f>
        <v>1.8929059235830643</v>
      </c>
      <c r="P62" s="623">
        <f>O61*((P31^Assumptions!$H$17)-(275^Assumptions!$H$17))*($AH$31-O$31)/($AH$31-$K$31)</f>
        <v>2.419926304253005</v>
      </c>
      <c r="Q62" s="623">
        <f>P61*((Q31^Assumptions!$H$17)-(275^Assumptions!$H$17))*($AH$31-P$31)/($AH$31-$K$31)</f>
        <v>2.9669938566953657</v>
      </c>
      <c r="R62" s="623">
        <f>Q61*((R31^Assumptions!$H$17)-(275^Assumptions!$H$17))*($AH$31-Q$31)/($AH$31-$K$31)</f>
        <v>3.52965126477564</v>
      </c>
      <c r="S62" s="623">
        <f>R61*((S31^Assumptions!$H$17)-(275^Assumptions!$H$17))*($AH$31-R$31)/($AH$31-$K$31)</f>
        <v>4.101673452326547</v>
      </c>
      <c r="T62" s="623">
        <f>S61*((T31^Assumptions!$H$17)-(275^Assumptions!$H$17))*($AH$31-S$31)/($AH$31-$K$31)</f>
        <v>4.674687245914886</v>
      </c>
      <c r="U62" s="623">
        <f>T61*((U31^Assumptions!$H$17)-(275^Assumptions!$H$17))*($AH$31-T$31)/($AH$31-$K$31)</f>
        <v>5.237729151449246</v>
      </c>
      <c r="V62" s="623">
        <f>U61*((V31^Assumptions!$H$17)-(275^Assumptions!$H$17))*($AH$31-U$31)/($AH$31-$K$31)</f>
        <v>5.77673556621108</v>
      </c>
      <c r="W62" s="623">
        <f>V61*((W31^Assumptions!$H$17)-(275^Assumptions!$H$17))*($AH$31-V$31)/($AH$31-$K$31)</f>
        <v>6.273960532260117</v>
      </c>
      <c r="X62" s="623">
        <f>W61*((X31^Assumptions!$H$17)-(275^Assumptions!$H$17))*($AH$31-W$31)/($AH$31-$K$31)</f>
        <v>6.7073175329751304</v>
      </c>
      <c r="Y62" s="623">
        <f>X61*((Y31^Assumptions!$H$17)-(275^Assumptions!$H$17))*($AH$31-X$31)/($AH$31-$K$31)</f>
        <v>6.972075973434783</v>
      </c>
      <c r="Z62" s="623">
        <f>Y61*((Z31^Assumptions!$H$17)-(275^Assumptions!$H$17))*($AH$31-Y$31)/($AH$31-$K$31)</f>
        <v>7.24692569652323</v>
      </c>
      <c r="AA62" s="623">
        <f>Z61*((AA31^Assumptions!$H$17)-(275^Assumptions!$H$17))*($AH$31-Z$31)/($AH$31-$K$31)</f>
        <v>7.416180330227635</v>
      </c>
      <c r="AB62" s="623">
        <f>AA61*((AB31^Assumptions!$H$17)-(275^Assumptions!$H$17))*($AH$31-AA$31)/($AH$31-$K$31)</f>
        <v>7.4491829721398295</v>
      </c>
      <c r="AC62" s="623">
        <f>AB61*((AC31^Assumptions!$H$17)-(275^Assumptions!$H$17))*($AH$31-AB$31)/($AH$31-$K$31)</f>
        <v>7.309883797846829</v>
      </c>
      <c r="AD62" s="623">
        <f>AC61*((AD31^Assumptions!$H$17)-(275^Assumptions!$H$17))*($AH$31-AC$31)/($AH$31-$K$31)</f>
        <v>6.956212317265121</v>
      </c>
      <c r="AE62" s="623">
        <f>AD61*((AE31^Assumptions!$H$17)-(275^Assumptions!$H$17))*($AH$31-AD$31)/($AH$31-$K$31)</f>
        <v>6.339440166621546</v>
      </c>
      <c r="AF62" s="623">
        <f>AE61*((AF31^Assumptions!$H$17)-(275^Assumptions!$H$17))*($AH$31-AE$31)/($AH$31-$K$31)</f>
        <v>5.40355455086675</v>
      </c>
      <c r="AG62" s="623">
        <f>AF61*((AG31^Assumptions!$H$17)-(275^Assumptions!$H$17))*($AH$31-AF$31)/($AH$31-$K$31)</f>
        <v>4.084669140406714</v>
      </c>
      <c r="AH62" s="623">
        <f>AG61*((AH31^Assumptions!$H$17)-(275^Assumptions!$H$17))*($AH$31-AG$31)/($AH$31-$K$31)</f>
        <v>2.3105071001958204</v>
      </c>
      <c r="AI62" s="270"/>
    </row>
    <row r="63" spans="3:35" s="283" customFormat="1" ht="12.75">
      <c r="C63" s="279"/>
      <c r="D63" s="280"/>
      <c r="E63" s="453" t="s">
        <v>177</v>
      </c>
      <c r="F63" s="379"/>
      <c r="G63" s="379"/>
      <c r="H63" s="379">
        <f>H61</f>
        <v>366.7855188480001</v>
      </c>
      <c r="I63" s="379">
        <f aca="true" t="shared" si="12" ref="I63:AH63">H63*(1+grow)</f>
        <v>390.2597920542721</v>
      </c>
      <c r="J63" s="379">
        <f t="shared" si="12"/>
        <v>415.23641874574554</v>
      </c>
      <c r="K63" s="379">
        <f t="shared" si="12"/>
        <v>441.81154954547327</v>
      </c>
      <c r="L63" s="379">
        <f t="shared" si="12"/>
        <v>470.0874887163836</v>
      </c>
      <c r="M63" s="379">
        <f t="shared" si="12"/>
        <v>500.17308799423216</v>
      </c>
      <c r="N63" s="379">
        <f t="shared" si="12"/>
        <v>532.1841656258631</v>
      </c>
      <c r="O63" s="379">
        <f t="shared" si="12"/>
        <v>566.2439522259184</v>
      </c>
      <c r="P63" s="379">
        <f t="shared" si="12"/>
        <v>602.4835651683773</v>
      </c>
      <c r="Q63" s="379">
        <f t="shared" si="12"/>
        <v>641.0425133391534</v>
      </c>
      <c r="R63" s="379">
        <f t="shared" si="12"/>
        <v>682.0692341928593</v>
      </c>
      <c r="S63" s="379">
        <f t="shared" si="12"/>
        <v>725.7216651812023</v>
      </c>
      <c r="T63" s="379">
        <f t="shared" si="12"/>
        <v>772.1678517527993</v>
      </c>
      <c r="U63" s="379">
        <f t="shared" si="12"/>
        <v>821.5865942649784</v>
      </c>
      <c r="V63" s="379">
        <f t="shared" si="12"/>
        <v>874.168136297937</v>
      </c>
      <c r="W63" s="379">
        <f t="shared" si="12"/>
        <v>930.114897021005</v>
      </c>
      <c r="X63" s="379">
        <f t="shared" si="12"/>
        <v>989.6422504303495</v>
      </c>
      <c r="Y63" s="379">
        <f t="shared" si="12"/>
        <v>1052.979354457892</v>
      </c>
      <c r="Z63" s="379">
        <f t="shared" si="12"/>
        <v>1120.3700331431971</v>
      </c>
      <c r="AA63" s="379">
        <f t="shared" si="12"/>
        <v>1192.073715264362</v>
      </c>
      <c r="AB63" s="379">
        <f t="shared" si="12"/>
        <v>1268.3664330412812</v>
      </c>
      <c r="AC63" s="379">
        <f t="shared" si="12"/>
        <v>1349.5418847559233</v>
      </c>
      <c r="AD63" s="379">
        <f t="shared" si="12"/>
        <v>1435.9125653803026</v>
      </c>
      <c r="AE63" s="379">
        <f t="shared" si="12"/>
        <v>1527.810969564642</v>
      </c>
      <c r="AF63" s="379">
        <f t="shared" si="12"/>
        <v>1625.5908716167792</v>
      </c>
      <c r="AG63" s="379">
        <f t="shared" si="12"/>
        <v>1729.628687400253</v>
      </c>
      <c r="AH63" s="379">
        <f t="shared" si="12"/>
        <v>1840.3249233938693</v>
      </c>
      <c r="AI63" s="270"/>
    </row>
    <row r="64" spans="3:35" s="283" customFormat="1" ht="12.75">
      <c r="C64" s="279"/>
      <c r="D64" s="280"/>
      <c r="E64" s="453"/>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270"/>
    </row>
    <row r="65" spans="3:35" s="283" customFormat="1" ht="12.75">
      <c r="C65" s="279"/>
      <c r="D65" s="280"/>
      <c r="E65" s="640" t="s">
        <v>247</v>
      </c>
      <c r="F65" s="640"/>
      <c r="G65" s="640"/>
      <c r="H65" s="379">
        <f>(H61*1000000)/H59</f>
        <v>321.3329039412855</v>
      </c>
      <c r="I65" s="379">
        <f aca="true" t="shared" si="13" ref="I65:AH65">(I61*1000000)/I59</f>
        <v>331.94000950827945</v>
      </c>
      <c r="J65" s="379">
        <f t="shared" si="13"/>
        <v>342.8972525405915</v>
      </c>
      <c r="K65" s="379">
        <f t="shared" si="13"/>
        <v>354.2161909739703</v>
      </c>
      <c r="L65" s="379">
        <f t="shared" si="13"/>
        <v>366.1034251495179</v>
      </c>
      <c r="M65" s="379">
        <f t="shared" si="13"/>
        <v>378.8021425789165</v>
      </c>
      <c r="N65" s="379">
        <f t="shared" si="13"/>
        <v>392.33270826260565</v>
      </c>
      <c r="O65" s="379">
        <f t="shared" si="13"/>
        <v>406.63187412362225</v>
      </c>
      <c r="P65" s="379">
        <f t="shared" si="13"/>
        <v>421.7282572563834</v>
      </c>
      <c r="Q65" s="379">
        <f t="shared" si="13"/>
        <v>437.6415461534718</v>
      </c>
      <c r="R65" s="379">
        <f t="shared" si="13"/>
        <v>454.3888916885885</v>
      </c>
      <c r="S65" s="379">
        <f t="shared" si="13"/>
        <v>471.98407652336255</v>
      </c>
      <c r="T65" s="379">
        <f t="shared" si="13"/>
        <v>490.43655963433935</v>
      </c>
      <c r="U65" s="379">
        <f t="shared" si="13"/>
        <v>509.75038305932964</v>
      </c>
      <c r="V65" s="379">
        <f t="shared" si="13"/>
        <v>529.9229285013163</v>
      </c>
      <c r="W65" s="379">
        <f t="shared" si="13"/>
        <v>550.9435125859753</v>
      </c>
      <c r="X65" s="379">
        <f t="shared" si="13"/>
        <v>572.7918115419931</v>
      </c>
      <c r="Y65" s="379">
        <f t="shared" si="13"/>
        <v>595.3949947696002</v>
      </c>
      <c r="Z65" s="379">
        <f t="shared" si="13"/>
        <v>618.7781054991243</v>
      </c>
      <c r="AA65" s="379">
        <f t="shared" si="13"/>
        <v>642.9090278580762</v>
      </c>
      <c r="AB65" s="379">
        <f t="shared" si="13"/>
        <v>667.7445937763249</v>
      </c>
      <c r="AC65" s="379">
        <f t="shared" si="13"/>
        <v>693.2291310756573</v>
      </c>
      <c r="AD65" s="379">
        <f t="shared" si="13"/>
        <v>719.2929337926852</v>
      </c>
      <c r="AE65" s="379">
        <f t="shared" si="13"/>
        <v>745.8506725705746</v>
      </c>
      <c r="AF65" s="379">
        <f t="shared" si="13"/>
        <v>772.7997698016534</v>
      </c>
      <c r="AG65" s="379">
        <f t="shared" si="13"/>
        <v>800.0187722403904</v>
      </c>
      <c r="AH65" s="379">
        <f t="shared" si="13"/>
        <v>827.3657630749896</v>
      </c>
      <c r="AI65" s="270"/>
    </row>
    <row r="66" spans="3:35" s="283" customFormat="1" ht="25.5" customHeight="1">
      <c r="C66" s="279"/>
      <c r="D66" s="280"/>
      <c r="E66" s="641" t="s">
        <v>248</v>
      </c>
      <c r="F66" s="641"/>
      <c r="G66" s="641"/>
      <c r="H66" s="379">
        <f aca="true" t="shared" si="14" ref="H66:AH66">H65-H67</f>
        <v>0</v>
      </c>
      <c r="I66" s="379">
        <f t="shared" si="14"/>
        <v>0</v>
      </c>
      <c r="J66" s="379">
        <f t="shared" si="14"/>
        <v>0</v>
      </c>
      <c r="K66" s="379">
        <f t="shared" si="14"/>
        <v>0</v>
      </c>
      <c r="L66" s="379">
        <f t="shared" si="14"/>
        <v>0.194660881261143</v>
      </c>
      <c r="M66" s="379">
        <f t="shared" si="14"/>
        <v>0.8148365775328443</v>
      </c>
      <c r="N66" s="379">
        <f t="shared" si="14"/>
        <v>1.8681513835064152</v>
      </c>
      <c r="O66" s="379">
        <f t="shared" si="14"/>
        <v>3.2781959494847115</v>
      </c>
      <c r="P66" s="379">
        <f t="shared" si="14"/>
        <v>5.059991647371419</v>
      </c>
      <c r="Q66" s="379">
        <f t="shared" si="14"/>
        <v>7.219182456395345</v>
      </c>
      <c r="R66" s="379">
        <f t="shared" si="14"/>
        <v>9.758411131608511</v>
      </c>
      <c r="S66" s="379">
        <f t="shared" si="14"/>
        <v>12.676473307220078</v>
      </c>
      <c r="T66" s="379">
        <f t="shared" si="14"/>
        <v>15.967346214945564</v>
      </c>
      <c r="U66" s="379">
        <f t="shared" si="14"/>
        <v>19.619079099878206</v>
      </c>
      <c r="V66" s="379">
        <f t="shared" si="14"/>
        <v>23.61253295485386</v>
      </c>
      <c r="W66" s="379">
        <f t="shared" si="14"/>
        <v>27.91995835157138</v>
      </c>
      <c r="X66" s="379">
        <f t="shared" si="14"/>
        <v>32.503402119269026</v>
      </c>
      <c r="Y66" s="379">
        <f t="shared" si="14"/>
        <v>37.271822317388114</v>
      </c>
      <c r="Z66" s="379">
        <f t="shared" si="14"/>
        <v>42.23144968441193</v>
      </c>
      <c r="AA66" s="379">
        <f t="shared" si="14"/>
        <v>47.33073486113062</v>
      </c>
      <c r="AB66" s="379">
        <f t="shared" si="14"/>
        <v>52.50643479695566</v>
      </c>
      <c r="AC66" s="379">
        <f t="shared" si="14"/>
        <v>57.68213966395933</v>
      </c>
      <c r="AD66" s="379">
        <f t="shared" si="14"/>
        <v>62.76672130526117</v>
      </c>
      <c r="AE66" s="379">
        <f t="shared" si="14"/>
        <v>67.65272103016764</v>
      </c>
      <c r="AF66" s="379">
        <f t="shared" si="14"/>
        <v>72.21470141428154</v>
      </c>
      <c r="AG66" s="379">
        <f t="shared" si="14"/>
        <v>76.30759479945482</v>
      </c>
      <c r="AH66" s="379">
        <f t="shared" si="14"/>
        <v>79.76509045639204</v>
      </c>
      <c r="AI66" s="270"/>
    </row>
    <row r="67" spans="3:35" s="283" customFormat="1" ht="12.75">
      <c r="C67" s="279"/>
      <c r="D67" s="280"/>
      <c r="E67" s="642" t="s">
        <v>249</v>
      </c>
      <c r="F67" s="642"/>
      <c r="G67" s="642"/>
      <c r="H67" s="379">
        <f>(H63*1000000)/H59</f>
        <v>321.3329039412855</v>
      </c>
      <c r="I67" s="379">
        <f aca="true" t="shared" si="15" ref="I67:AH67">(I63*1000000)/I59</f>
        <v>331.94000950827945</v>
      </c>
      <c r="J67" s="379">
        <f t="shared" si="15"/>
        <v>342.8972525405915</v>
      </c>
      <c r="K67" s="379">
        <f t="shared" si="15"/>
        <v>354.2161909739703</v>
      </c>
      <c r="L67" s="379">
        <f t="shared" si="15"/>
        <v>365.90876426825673</v>
      </c>
      <c r="M67" s="379">
        <f t="shared" si="15"/>
        <v>377.9873060013837</v>
      </c>
      <c r="N67" s="379">
        <f t="shared" si="15"/>
        <v>390.46455687909923</v>
      </c>
      <c r="O67" s="379">
        <f t="shared" si="15"/>
        <v>403.35367817413754</v>
      </c>
      <c r="P67" s="379">
        <f t="shared" si="15"/>
        <v>416.668265609012</v>
      </c>
      <c r="Q67" s="379">
        <f t="shared" si="15"/>
        <v>430.42236369707643</v>
      </c>
      <c r="R67" s="379">
        <f t="shared" si="15"/>
        <v>444.63048055698</v>
      </c>
      <c r="S67" s="379">
        <f t="shared" si="15"/>
        <v>459.30760321614247</v>
      </c>
      <c r="T67" s="379">
        <f t="shared" si="15"/>
        <v>474.4692134193938</v>
      </c>
      <c r="U67" s="379">
        <f t="shared" si="15"/>
        <v>490.13130395945143</v>
      </c>
      <c r="V67" s="379">
        <f t="shared" si="15"/>
        <v>506.3103955464624</v>
      </c>
      <c r="W67" s="379">
        <f t="shared" si="15"/>
        <v>523.023554234404</v>
      </c>
      <c r="X67" s="379">
        <f t="shared" si="15"/>
        <v>540.288409422724</v>
      </c>
      <c r="Y67" s="379">
        <f t="shared" si="15"/>
        <v>558.1231724522121</v>
      </c>
      <c r="Z67" s="379">
        <f t="shared" si="15"/>
        <v>576.5466558147124</v>
      </c>
      <c r="AA67" s="379">
        <f t="shared" si="15"/>
        <v>595.5782929969456</v>
      </c>
      <c r="AB67" s="379">
        <f t="shared" si="15"/>
        <v>615.2381589793692</v>
      </c>
      <c r="AC67" s="379">
        <f t="shared" si="15"/>
        <v>635.546991411698</v>
      </c>
      <c r="AD67" s="379">
        <f t="shared" si="15"/>
        <v>656.526212487424</v>
      </c>
      <c r="AE67" s="379">
        <f t="shared" si="15"/>
        <v>678.197951540407</v>
      </c>
      <c r="AF67" s="379">
        <f t="shared" si="15"/>
        <v>700.5850683873718</v>
      </c>
      <c r="AG67" s="379">
        <f t="shared" si="15"/>
        <v>723.7111774409356</v>
      </c>
      <c r="AH67" s="379">
        <f t="shared" si="15"/>
        <v>747.6006726185975</v>
      </c>
      <c r="AI67" s="270"/>
    </row>
    <row r="68" spans="3:35" s="474" customFormat="1" ht="12.75">
      <c r="C68" s="471"/>
      <c r="D68" s="378"/>
      <c r="E68" s="379"/>
      <c r="F68" s="379"/>
      <c r="G68" s="622"/>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624"/>
      <c r="AI68" s="470"/>
    </row>
    <row r="69" spans="3:35" s="474" customFormat="1" ht="12.75">
      <c r="C69" s="475"/>
      <c r="D69" s="476"/>
      <c r="E69" s="453" t="s">
        <v>238</v>
      </c>
      <c r="F69" s="625"/>
      <c r="G69" s="625"/>
      <c r="H69" s="625">
        <v>0.06400000000000003</v>
      </c>
      <c r="I69" s="625">
        <f aca="true" t="shared" si="16" ref="I69:AG69">(I61-H61)/H61</f>
        <v>0.06400000000000003</v>
      </c>
      <c r="J69" s="625">
        <f t="shared" si="16"/>
        <v>0.06400000000000003</v>
      </c>
      <c r="K69" s="625">
        <f t="shared" si="16"/>
        <v>0.06400000000000004</v>
      </c>
      <c r="L69" s="625">
        <f t="shared" si="16"/>
        <v>0.06456604049393591</v>
      </c>
      <c r="M69" s="625">
        <f t="shared" si="16"/>
        <v>0.06572673199366764</v>
      </c>
      <c r="N69" s="625">
        <f t="shared" si="16"/>
        <v>0.06679092879284983</v>
      </c>
      <c r="O69" s="625">
        <f t="shared" si="16"/>
        <v>0.0675399260032862</v>
      </c>
      <c r="P69" s="625">
        <f t="shared" si="16"/>
        <v>0.06823919278402857</v>
      </c>
      <c r="Q69" s="625">
        <f t="shared" si="16"/>
        <v>0.0688655189259385</v>
      </c>
      <c r="R69" s="625">
        <f t="shared" si="16"/>
        <v>0.06941528415842202</v>
      </c>
      <c r="S69" s="625">
        <f t="shared" si="16"/>
        <v>0.06988442655908429</v>
      </c>
      <c r="T69" s="625">
        <f t="shared" si="16"/>
        <v>0.07026842969852887</v>
      </c>
      <c r="U69" s="625">
        <f t="shared" si="16"/>
        <v>0.07056230665709769</v>
      </c>
      <c r="V69" s="625">
        <f t="shared" si="16"/>
        <v>0.07076058105252649</v>
      </c>
      <c r="W69" s="625">
        <f t="shared" si="16"/>
        <v>0.07085726516576854</v>
      </c>
      <c r="X69" s="625">
        <f t="shared" si="16"/>
        <v>0.07084583520926124</v>
      </c>
      <c r="Y69" s="625">
        <f t="shared" si="16"/>
        <v>0.07064527155470428</v>
      </c>
      <c r="Z69" s="625">
        <f t="shared" si="16"/>
        <v>0.07045147215375873</v>
      </c>
      <c r="AA69" s="625">
        <f t="shared" si="16"/>
        <v>0.07016763005806718</v>
      </c>
      <c r="AB69" s="625">
        <f t="shared" si="16"/>
        <v>0.06978888425477689</v>
      </c>
      <c r="AC69" s="625">
        <f t="shared" si="16"/>
        <v>0.06931005007448252</v>
      </c>
      <c r="AD69" s="625">
        <f t="shared" si="16"/>
        <v>0.06872560398159168</v>
      </c>
      <c r="AE69" s="625">
        <f t="shared" si="16"/>
        <v>0.06802966726920488</v>
      </c>
      <c r="AF69" s="625">
        <f t="shared" si="16"/>
        <v>0.06721598862724716</v>
      </c>
      <c r="AG69" s="625">
        <f t="shared" si="16"/>
        <v>0.0662779255473831</v>
      </c>
      <c r="AH69" s="624"/>
      <c r="AI69" s="470"/>
    </row>
    <row r="70" spans="3:35" s="474" customFormat="1" ht="12.75">
      <c r="C70" s="475"/>
      <c r="D70" s="476"/>
      <c r="E70" s="453" t="s">
        <v>239</v>
      </c>
      <c r="F70" s="379"/>
      <c r="G70" s="625"/>
      <c r="H70" s="625">
        <v>0</v>
      </c>
      <c r="I70" s="625">
        <f aca="true" t="shared" si="17" ref="I70:AG70">I69-I72</f>
        <v>0</v>
      </c>
      <c r="J70" s="625">
        <f t="shared" si="17"/>
        <v>0</v>
      </c>
      <c r="K70" s="625">
        <f t="shared" si="17"/>
        <v>0</v>
      </c>
      <c r="L70" s="625">
        <f t="shared" si="17"/>
        <v>0.0005660404939358682</v>
      </c>
      <c r="M70" s="625">
        <f t="shared" si="17"/>
        <v>0.0017267319936675601</v>
      </c>
      <c r="N70" s="625">
        <f t="shared" si="17"/>
        <v>0.002790928792849659</v>
      </c>
      <c r="O70" s="625">
        <f t="shared" si="17"/>
        <v>0.0035399260032860785</v>
      </c>
      <c r="P70" s="625">
        <f t="shared" si="17"/>
        <v>0.004239192784028442</v>
      </c>
      <c r="Q70" s="625">
        <f t="shared" si="17"/>
        <v>0.004865518925938492</v>
      </c>
      <c r="R70" s="625">
        <f t="shared" si="17"/>
        <v>0.005415284158421879</v>
      </c>
      <c r="S70" s="625">
        <f t="shared" si="17"/>
        <v>0.005884426559084305</v>
      </c>
      <c r="T70" s="625">
        <f t="shared" si="17"/>
        <v>0.006268429698528838</v>
      </c>
      <c r="U70" s="625">
        <f t="shared" si="17"/>
        <v>0.006562306657097672</v>
      </c>
      <c r="V70" s="625">
        <f t="shared" si="17"/>
        <v>0.006760581052526485</v>
      </c>
      <c r="W70" s="625">
        <f t="shared" si="17"/>
        <v>0.006857265165768511</v>
      </c>
      <c r="X70" s="625">
        <f t="shared" si="17"/>
        <v>0.006845835209261145</v>
      </c>
      <c r="Y70" s="625">
        <f t="shared" si="17"/>
        <v>0.006645271554704124</v>
      </c>
      <c r="Z70" s="625">
        <f t="shared" si="17"/>
        <v>0.006451472153758672</v>
      </c>
      <c r="AA70" s="625">
        <f t="shared" si="17"/>
        <v>0.0061676300580670446</v>
      </c>
      <c r="AB70" s="625">
        <f t="shared" si="17"/>
        <v>0.005788884254776777</v>
      </c>
      <c r="AC70" s="625">
        <f t="shared" si="17"/>
        <v>0.005310050074482417</v>
      </c>
      <c r="AD70" s="625">
        <f t="shared" si="17"/>
        <v>0.004725603981591567</v>
      </c>
      <c r="AE70" s="625">
        <f t="shared" si="17"/>
        <v>0.004029667269204881</v>
      </c>
      <c r="AF70" s="625">
        <f t="shared" si="17"/>
        <v>0.003215988627247063</v>
      </c>
      <c r="AG70" s="625">
        <f t="shared" si="17"/>
        <v>0.0022779255473830834</v>
      </c>
      <c r="AH70" s="624"/>
      <c r="AI70" s="470"/>
    </row>
    <row r="71" spans="3:35" s="474" customFormat="1" ht="12.75">
      <c r="C71" s="475"/>
      <c r="D71" s="476"/>
      <c r="E71" s="453" t="s">
        <v>240</v>
      </c>
      <c r="F71" s="379"/>
      <c r="G71" s="625"/>
      <c r="H71" s="625">
        <v>0</v>
      </c>
      <c r="I71" s="625">
        <f aca="true" t="shared" si="18" ref="I71:AG71">I70/I72</f>
        <v>0</v>
      </c>
      <c r="J71" s="625">
        <f t="shared" si="18"/>
        <v>0</v>
      </c>
      <c r="K71" s="625">
        <f t="shared" si="18"/>
        <v>0</v>
      </c>
      <c r="L71" s="625">
        <f t="shared" si="18"/>
        <v>0.008844382717747935</v>
      </c>
      <c r="M71" s="625">
        <f t="shared" si="18"/>
        <v>0.02698018740105559</v>
      </c>
      <c r="N71" s="625">
        <f t="shared" si="18"/>
        <v>0.04360826238827581</v>
      </c>
      <c r="O71" s="625">
        <f t="shared" si="18"/>
        <v>0.05531134380134487</v>
      </c>
      <c r="P71" s="625">
        <f t="shared" si="18"/>
        <v>0.06623738725044427</v>
      </c>
      <c r="Q71" s="625">
        <f t="shared" si="18"/>
        <v>0.07602373321778894</v>
      </c>
      <c r="R71" s="625">
        <f t="shared" si="18"/>
        <v>0.08461381497534168</v>
      </c>
      <c r="S71" s="625">
        <f t="shared" si="18"/>
        <v>0.09194416498569229</v>
      </c>
      <c r="T71" s="625">
        <f t="shared" si="18"/>
        <v>0.09794421403951305</v>
      </c>
      <c r="U71" s="625">
        <f t="shared" si="18"/>
        <v>0.1025360415171511</v>
      </c>
      <c r="V71" s="625">
        <f t="shared" si="18"/>
        <v>0.10563407894572632</v>
      </c>
      <c r="W71" s="625">
        <f t="shared" si="18"/>
        <v>0.10714476821513294</v>
      </c>
      <c r="X71" s="625">
        <f t="shared" si="18"/>
        <v>0.10696617514470522</v>
      </c>
      <c r="Y71" s="625">
        <f t="shared" si="18"/>
        <v>0.10383236804225168</v>
      </c>
      <c r="Z71" s="625">
        <f t="shared" si="18"/>
        <v>0.10080425240247916</v>
      </c>
      <c r="AA71" s="625">
        <f t="shared" si="18"/>
        <v>0.09636921965729736</v>
      </c>
      <c r="AB71" s="625">
        <f t="shared" si="18"/>
        <v>0.09045131648088699</v>
      </c>
      <c r="AC71" s="625">
        <f t="shared" si="18"/>
        <v>0.08296953241378764</v>
      </c>
      <c r="AD71" s="625">
        <f t="shared" si="18"/>
        <v>0.0738375622123681</v>
      </c>
      <c r="AE71" s="625">
        <f t="shared" si="18"/>
        <v>0.06296355108132627</v>
      </c>
      <c r="AF71" s="625">
        <f t="shared" si="18"/>
        <v>0.050249822300735277</v>
      </c>
      <c r="AG71" s="625">
        <f t="shared" si="18"/>
        <v>0.03559258667786067</v>
      </c>
      <c r="AH71" s="624"/>
      <c r="AI71" s="470"/>
    </row>
    <row r="72" spans="3:35" s="474" customFormat="1" ht="12.75">
      <c r="C72" s="475"/>
      <c r="D72" s="476"/>
      <c r="E72" s="453" t="s">
        <v>241</v>
      </c>
      <c r="F72" s="625"/>
      <c r="G72" s="625"/>
      <c r="H72" s="625">
        <v>0.06400000000000003</v>
      </c>
      <c r="I72" s="625">
        <f aca="true" t="shared" si="19" ref="I72:AG72">(I63-H63)/H63</f>
        <v>0.06400000000000003</v>
      </c>
      <c r="J72" s="625">
        <f t="shared" si="19"/>
        <v>0.06400000000000003</v>
      </c>
      <c r="K72" s="625">
        <f t="shared" si="19"/>
        <v>0.06400000000000004</v>
      </c>
      <c r="L72" s="625">
        <f t="shared" si="19"/>
        <v>0.06400000000000004</v>
      </c>
      <c r="M72" s="625">
        <f t="shared" si="19"/>
        <v>0.06400000000000008</v>
      </c>
      <c r="N72" s="625">
        <f t="shared" si="19"/>
        <v>0.06400000000000017</v>
      </c>
      <c r="O72" s="625">
        <f t="shared" si="19"/>
        <v>0.06400000000000013</v>
      </c>
      <c r="P72" s="625">
        <f t="shared" si="19"/>
        <v>0.06400000000000013</v>
      </c>
      <c r="Q72" s="625">
        <f t="shared" si="19"/>
        <v>0.064</v>
      </c>
      <c r="R72" s="625">
        <f t="shared" si="19"/>
        <v>0.06400000000000014</v>
      </c>
      <c r="S72" s="625">
        <f t="shared" si="19"/>
        <v>0.06399999999999999</v>
      </c>
      <c r="T72" s="625">
        <f t="shared" si="19"/>
        <v>0.06400000000000003</v>
      </c>
      <c r="U72" s="625">
        <f t="shared" si="19"/>
        <v>0.06400000000000002</v>
      </c>
      <c r="V72" s="625">
        <f t="shared" si="19"/>
        <v>0.064</v>
      </c>
      <c r="W72" s="625">
        <f t="shared" si="19"/>
        <v>0.06400000000000003</v>
      </c>
      <c r="X72" s="625">
        <f t="shared" si="19"/>
        <v>0.0640000000000001</v>
      </c>
      <c r="Y72" s="625">
        <f t="shared" si="19"/>
        <v>0.06400000000000015</v>
      </c>
      <c r="Z72" s="625">
        <f t="shared" si="19"/>
        <v>0.06400000000000006</v>
      </c>
      <c r="AA72" s="625">
        <f t="shared" si="19"/>
        <v>0.06400000000000014</v>
      </c>
      <c r="AB72" s="625">
        <f t="shared" si="19"/>
        <v>0.06400000000000011</v>
      </c>
      <c r="AC72" s="625">
        <f t="shared" si="19"/>
        <v>0.0640000000000001</v>
      </c>
      <c r="AD72" s="625">
        <f t="shared" si="19"/>
        <v>0.06400000000000011</v>
      </c>
      <c r="AE72" s="625">
        <f t="shared" si="19"/>
        <v>0.064</v>
      </c>
      <c r="AF72" s="625">
        <f t="shared" si="19"/>
        <v>0.0640000000000001</v>
      </c>
      <c r="AG72" s="625">
        <f t="shared" si="19"/>
        <v>0.06400000000000002</v>
      </c>
      <c r="AH72" s="624"/>
      <c r="AI72" s="470"/>
    </row>
    <row r="73" spans="3:35" s="474" customFormat="1" ht="12.75">
      <c r="C73" s="475"/>
      <c r="D73" s="476"/>
      <c r="E73" s="453"/>
      <c r="F73" s="625"/>
      <c r="G73" s="625"/>
      <c r="H73" s="625"/>
      <c r="I73" s="625"/>
      <c r="J73" s="625"/>
      <c r="K73" s="625"/>
      <c r="L73" s="625"/>
      <c r="M73" s="625"/>
      <c r="N73" s="625"/>
      <c r="O73" s="625"/>
      <c r="P73" s="625"/>
      <c r="Q73" s="625"/>
      <c r="R73" s="625"/>
      <c r="S73" s="625"/>
      <c r="T73" s="625"/>
      <c r="U73" s="625"/>
      <c r="V73" s="625"/>
      <c r="W73" s="625"/>
      <c r="X73" s="625"/>
      <c r="Y73" s="625"/>
      <c r="Z73" s="625"/>
      <c r="AA73" s="625"/>
      <c r="AB73" s="625"/>
      <c r="AC73" s="625"/>
      <c r="AD73" s="625"/>
      <c r="AE73" s="625"/>
      <c r="AF73" s="625"/>
      <c r="AG73" s="625"/>
      <c r="AH73" s="624"/>
      <c r="AI73" s="470"/>
    </row>
    <row r="74" spans="3:35" s="474" customFormat="1" ht="12.75">
      <c r="C74" s="475"/>
      <c r="D74" s="476"/>
      <c r="E74" s="677" t="s">
        <v>243</v>
      </c>
      <c r="F74" s="677"/>
      <c r="G74" s="677"/>
      <c r="H74" s="625">
        <v>0.03300970873786422</v>
      </c>
      <c r="I74" s="625">
        <f>(I65-H65)/H65</f>
        <v>0.03300970873786422</v>
      </c>
      <c r="J74" s="625">
        <f aca="true" t="shared" si="20" ref="J74:AG74">(J65-I65)/I65</f>
        <v>0.0330097087378639</v>
      </c>
      <c r="K74" s="625">
        <f t="shared" si="20"/>
        <v>0.03300970873786416</v>
      </c>
      <c r="L74" s="625">
        <f t="shared" si="20"/>
        <v>0.033559262615471784</v>
      </c>
      <c r="M74" s="625">
        <f t="shared" si="20"/>
        <v>0.03468614756666765</v>
      </c>
      <c r="N74" s="625">
        <f t="shared" si="20"/>
        <v>0.035719348342572496</v>
      </c>
      <c r="O74" s="625">
        <f t="shared" si="20"/>
        <v>0.0364465301002779</v>
      </c>
      <c r="P74" s="625">
        <f t="shared" si="20"/>
        <v>0.037125429887406296</v>
      </c>
      <c r="Q74" s="625">
        <f t="shared" si="20"/>
        <v>0.0377335135203286</v>
      </c>
      <c r="R74" s="625">
        <f t="shared" si="20"/>
        <v>0.03826726617322519</v>
      </c>
      <c r="S74" s="625">
        <f t="shared" si="20"/>
        <v>0.038722744232120784</v>
      </c>
      <c r="T74" s="625">
        <f t="shared" si="20"/>
        <v>0.03909556281410572</v>
      </c>
      <c r="U74" s="625">
        <f t="shared" si="20"/>
        <v>0.039380880249609305</v>
      </c>
      <c r="V74" s="625">
        <f t="shared" si="20"/>
        <v>0.039573379662647096</v>
      </c>
      <c r="W74" s="625">
        <f t="shared" si="20"/>
        <v>0.03966724773375575</v>
      </c>
      <c r="X74" s="625">
        <f t="shared" si="20"/>
        <v>0.03965615068860311</v>
      </c>
      <c r="Y74" s="625">
        <f t="shared" si="20"/>
        <v>0.03946142869388772</v>
      </c>
      <c r="Z74" s="625">
        <f t="shared" si="20"/>
        <v>0.03927327393568812</v>
      </c>
      <c r="AA74" s="625">
        <f t="shared" si="20"/>
        <v>0.038997699085502095</v>
      </c>
      <c r="AB74" s="625">
        <f t="shared" si="20"/>
        <v>0.038629984713375635</v>
      </c>
      <c r="AC74" s="625">
        <f t="shared" si="20"/>
        <v>0.0381650971596918</v>
      </c>
      <c r="AD74" s="625">
        <f t="shared" si="20"/>
        <v>0.0375976737685355</v>
      </c>
      <c r="AE74" s="625">
        <f t="shared" si="20"/>
        <v>0.03692200705748057</v>
      </c>
      <c r="AF74" s="625">
        <f t="shared" si="20"/>
        <v>0.036132027793443836</v>
      </c>
      <c r="AG74" s="625">
        <f t="shared" si="20"/>
        <v>0.03522128693920679</v>
      </c>
      <c r="AH74" s="624"/>
      <c r="AI74" s="470"/>
    </row>
    <row r="75" spans="3:35" s="474" customFormat="1" ht="25.5" customHeight="1">
      <c r="C75" s="475"/>
      <c r="D75" s="476"/>
      <c r="E75" s="678" t="s">
        <v>244</v>
      </c>
      <c r="F75" s="678"/>
      <c r="G75" s="678"/>
      <c r="H75" s="625">
        <v>0</v>
      </c>
      <c r="I75" s="625">
        <f>I74-I77</f>
        <v>0</v>
      </c>
      <c r="J75" s="625">
        <f aca="true" t="shared" si="21" ref="J75:AG75">J74-J77</f>
        <v>0</v>
      </c>
      <c r="K75" s="625">
        <f t="shared" si="21"/>
        <v>0</v>
      </c>
      <c r="L75" s="625">
        <f t="shared" si="21"/>
        <v>0.0005495538776076059</v>
      </c>
      <c r="M75" s="625">
        <f t="shared" si="21"/>
        <v>0.0016764388288035212</v>
      </c>
      <c r="N75" s="625">
        <f t="shared" si="21"/>
        <v>0.0027096396047084567</v>
      </c>
      <c r="O75" s="625">
        <f t="shared" si="21"/>
        <v>0.0034368213624136196</v>
      </c>
      <c r="P75" s="625">
        <f t="shared" si="21"/>
        <v>0.004115721149542194</v>
      </c>
      <c r="Q75" s="625">
        <f t="shared" si="21"/>
        <v>0.004723804782464612</v>
      </c>
      <c r="R75" s="625">
        <f t="shared" si="21"/>
        <v>0.0052575574353609725</v>
      </c>
      <c r="S75" s="625">
        <f t="shared" si="21"/>
        <v>0.005713035494256634</v>
      </c>
      <c r="T75" s="625">
        <f t="shared" si="21"/>
        <v>0.006085854076241626</v>
      </c>
      <c r="U75" s="625">
        <f t="shared" si="21"/>
        <v>0.006371171511745252</v>
      </c>
      <c r="V75" s="625">
        <f t="shared" si="21"/>
        <v>0.006563670924783084</v>
      </c>
      <c r="W75" s="625">
        <f t="shared" si="21"/>
        <v>0.006657538995891575</v>
      </c>
      <c r="X75" s="625">
        <f t="shared" si="21"/>
        <v>0.0066464419507390946</v>
      </c>
      <c r="Y75" s="625">
        <f t="shared" si="21"/>
        <v>0.006451719956023519</v>
      </c>
      <c r="Z75" s="625">
        <f t="shared" si="21"/>
        <v>0.006263565197823888</v>
      </c>
      <c r="AA75" s="625">
        <f t="shared" si="21"/>
        <v>0.005987990347638014</v>
      </c>
      <c r="AB75" s="625">
        <f t="shared" si="21"/>
        <v>0.005620275975511235</v>
      </c>
      <c r="AC75" s="625">
        <f t="shared" si="21"/>
        <v>0.0051553884218277155</v>
      </c>
      <c r="AD75" s="625">
        <f t="shared" si="21"/>
        <v>0.00458796503067125</v>
      </c>
      <c r="AE75" s="625">
        <f t="shared" si="21"/>
        <v>0.003912298319616446</v>
      </c>
      <c r="AF75" s="625">
        <f t="shared" si="21"/>
        <v>0.0031223190555797614</v>
      </c>
      <c r="AG75" s="625">
        <f t="shared" si="21"/>
        <v>0.002211578201342747</v>
      </c>
      <c r="AH75" s="624"/>
      <c r="AI75" s="470"/>
    </row>
    <row r="76" spans="3:35" s="474" customFormat="1" ht="12.75" customHeight="1">
      <c r="C76" s="475"/>
      <c r="D76" s="476"/>
      <c r="E76" s="678" t="s">
        <v>245</v>
      </c>
      <c r="F76" s="678"/>
      <c r="G76" s="678"/>
      <c r="H76" s="625">
        <v>0</v>
      </c>
      <c r="I76" s="625">
        <f>I75/I77</f>
        <v>0</v>
      </c>
      <c r="J76" s="625">
        <f aca="true" t="shared" si="22" ref="J76:AG76">J75/J77</f>
        <v>0</v>
      </c>
      <c r="K76" s="625">
        <f t="shared" si="22"/>
        <v>0</v>
      </c>
      <c r="L76" s="625">
        <f t="shared" si="22"/>
        <v>0.016648249821642126</v>
      </c>
      <c r="M76" s="625">
        <f t="shared" si="22"/>
        <v>0.050786235107871294</v>
      </c>
      <c r="N76" s="625">
        <f t="shared" si="22"/>
        <v>0.08208614096616805</v>
      </c>
      <c r="O76" s="625">
        <f t="shared" si="22"/>
        <v>0.10411547068488254</v>
      </c>
      <c r="P76" s="625">
        <f t="shared" si="22"/>
        <v>0.1246821407067193</v>
      </c>
      <c r="Q76" s="625">
        <f t="shared" si="22"/>
        <v>0.14310349782172244</v>
      </c>
      <c r="R76" s="625">
        <f t="shared" si="22"/>
        <v>0.15927306348299347</v>
      </c>
      <c r="S76" s="625">
        <f t="shared" si="22"/>
        <v>0.17307136938483295</v>
      </c>
      <c r="T76" s="625">
        <f t="shared" si="22"/>
        <v>0.1843655793684962</v>
      </c>
      <c r="U76" s="625">
        <f t="shared" si="22"/>
        <v>0.19300901932640044</v>
      </c>
      <c r="V76" s="625">
        <f t="shared" si="22"/>
        <v>0.19884061919195853</v>
      </c>
      <c r="W76" s="625">
        <f t="shared" si="22"/>
        <v>0.20168426958142063</v>
      </c>
      <c r="X76" s="625">
        <f t="shared" si="22"/>
        <v>0.20134809439003765</v>
      </c>
      <c r="Y76" s="625">
        <f t="shared" si="22"/>
        <v>0.19544916337365295</v>
      </c>
      <c r="Z76" s="625">
        <f t="shared" si="22"/>
        <v>0.18974918099289922</v>
      </c>
      <c r="AA76" s="625">
        <f t="shared" si="22"/>
        <v>0.18140088406079866</v>
      </c>
      <c r="AB76" s="625">
        <f t="shared" si="22"/>
        <v>0.170261301611074</v>
      </c>
      <c r="AC76" s="625">
        <f t="shared" si="22"/>
        <v>0.15617794336713367</v>
      </c>
      <c r="AD76" s="625">
        <f t="shared" si="22"/>
        <v>0.13898835239974597</v>
      </c>
      <c r="AE76" s="625">
        <f t="shared" si="22"/>
        <v>0.118519625564851</v>
      </c>
      <c r="AF76" s="625">
        <f t="shared" si="22"/>
        <v>0.0945879008013869</v>
      </c>
      <c r="AG76" s="625">
        <f t="shared" si="22"/>
        <v>0.06699781021714799</v>
      </c>
      <c r="AH76" s="624"/>
      <c r="AI76" s="470"/>
    </row>
    <row r="77" spans="3:35" s="474" customFormat="1" ht="12.75">
      <c r="C77" s="475"/>
      <c r="D77" s="476"/>
      <c r="E77" s="600" t="s">
        <v>246</v>
      </c>
      <c r="F77" s="625"/>
      <c r="G77" s="625"/>
      <c r="H77" s="625">
        <v>0.03300970873786422</v>
      </c>
      <c r="I77" s="625">
        <f>(I67-H67)/H67</f>
        <v>0.03300970873786422</v>
      </c>
      <c r="J77" s="625">
        <f aca="true" t="shared" si="23" ref="J77:AG77">(J67-I67)/I67</f>
        <v>0.0330097087378639</v>
      </c>
      <c r="K77" s="625">
        <f t="shared" si="23"/>
        <v>0.03300970873786416</v>
      </c>
      <c r="L77" s="625">
        <f t="shared" si="23"/>
        <v>0.03300970873786418</v>
      </c>
      <c r="M77" s="625">
        <f t="shared" si="23"/>
        <v>0.03300970873786413</v>
      </c>
      <c r="N77" s="625">
        <f t="shared" si="23"/>
        <v>0.03300970873786404</v>
      </c>
      <c r="O77" s="625">
        <f t="shared" si="23"/>
        <v>0.03300970873786428</v>
      </c>
      <c r="P77" s="625">
        <f t="shared" si="23"/>
        <v>0.0330097087378641</v>
      </c>
      <c r="Q77" s="625">
        <f t="shared" si="23"/>
        <v>0.03300970873786399</v>
      </c>
      <c r="R77" s="625">
        <f t="shared" si="23"/>
        <v>0.03300970873786422</v>
      </c>
      <c r="S77" s="625">
        <f t="shared" si="23"/>
        <v>0.03300970873786415</v>
      </c>
      <c r="T77" s="625">
        <f t="shared" si="23"/>
        <v>0.033009708737864095</v>
      </c>
      <c r="U77" s="625">
        <f t="shared" si="23"/>
        <v>0.03300970873786405</v>
      </c>
      <c r="V77" s="625">
        <f t="shared" si="23"/>
        <v>0.03300970873786401</v>
      </c>
      <c r="W77" s="625">
        <f t="shared" si="23"/>
        <v>0.03300970873786418</v>
      </c>
      <c r="X77" s="625">
        <f t="shared" si="23"/>
        <v>0.03300970873786402</v>
      </c>
      <c r="Y77" s="625">
        <f t="shared" si="23"/>
        <v>0.0330097087378642</v>
      </c>
      <c r="Z77" s="625">
        <f t="shared" si="23"/>
        <v>0.033009708737864234</v>
      </c>
      <c r="AA77" s="625">
        <f t="shared" si="23"/>
        <v>0.03300970873786408</v>
      </c>
      <c r="AB77" s="625">
        <f t="shared" si="23"/>
        <v>0.0330097087378644</v>
      </c>
      <c r="AC77" s="625">
        <f t="shared" si="23"/>
        <v>0.03300970873786409</v>
      </c>
      <c r="AD77" s="625">
        <f t="shared" si="23"/>
        <v>0.03300970873786425</v>
      </c>
      <c r="AE77" s="625">
        <f t="shared" si="23"/>
        <v>0.03300970873786412</v>
      </c>
      <c r="AF77" s="625">
        <f t="shared" si="23"/>
        <v>0.033009708737864074</v>
      </c>
      <c r="AG77" s="625">
        <f t="shared" si="23"/>
        <v>0.033009708737864046</v>
      </c>
      <c r="AH77" s="624"/>
      <c r="AI77" s="470"/>
    </row>
    <row r="78" spans="3:35" ht="12.75">
      <c r="C78" s="322"/>
      <c r="D78" s="323"/>
      <c r="E78" s="382"/>
      <c r="F78" s="379"/>
      <c r="G78" s="379"/>
      <c r="H78" s="379"/>
      <c r="I78" s="379"/>
      <c r="J78" s="379"/>
      <c r="K78" s="379"/>
      <c r="L78" s="379"/>
      <c r="M78" s="379"/>
      <c r="N78" s="379"/>
      <c r="O78" s="379"/>
      <c r="P78" s="379"/>
      <c r="Q78" s="379"/>
      <c r="R78" s="379"/>
      <c r="S78" s="379"/>
      <c r="T78" s="379"/>
      <c r="U78" s="379"/>
      <c r="V78" s="379"/>
      <c r="W78" s="379"/>
      <c r="X78" s="379"/>
      <c r="Y78" s="379"/>
      <c r="Z78" s="379"/>
      <c r="AA78" s="379"/>
      <c r="AB78" s="379"/>
      <c r="AC78" s="379"/>
      <c r="AD78" s="379"/>
      <c r="AE78" s="379"/>
      <c r="AF78" s="379"/>
      <c r="AG78" s="379"/>
      <c r="AH78" s="379"/>
      <c r="AI78" s="270"/>
    </row>
    <row r="79" spans="3:35" ht="12.75" customHeight="1">
      <c r="C79" s="322"/>
      <c r="D79" s="323"/>
      <c r="E79" s="383" t="s">
        <v>178</v>
      </c>
      <c r="F79" s="626"/>
      <c r="G79" s="626"/>
      <c r="H79" s="384">
        <f aca="true" t="shared" si="24" ref="H79:AH79">H61-H63</f>
        <v>0</v>
      </c>
      <c r="I79" s="384">
        <f t="shared" si="24"/>
        <v>0</v>
      </c>
      <c r="J79" s="384">
        <f t="shared" si="24"/>
        <v>0</v>
      </c>
      <c r="K79" s="384">
        <f t="shared" si="24"/>
        <v>0</v>
      </c>
      <c r="L79" s="384">
        <f t="shared" si="24"/>
        <v>0.2500832277312952</v>
      </c>
      <c r="M79" s="460">
        <f t="shared" si="24"/>
        <v>1.078235487605923</v>
      </c>
      <c r="N79" s="384">
        <f t="shared" si="24"/>
        <v>2.5461993099721667</v>
      </c>
      <c r="O79" s="384">
        <f t="shared" si="24"/>
        <v>4.602061989393405</v>
      </c>
      <c r="P79" s="384">
        <f t="shared" si="24"/>
        <v>7.316520260967536</v>
      </c>
      <c r="Q79" s="384">
        <f t="shared" si="24"/>
        <v>10.751771414364839</v>
      </c>
      <c r="R79" s="384">
        <f t="shared" si="24"/>
        <v>14.969536049659837</v>
      </c>
      <c r="S79" s="384">
        <f t="shared" si="24"/>
        <v>20.029259809164614</v>
      </c>
      <c r="T79" s="384">
        <f t="shared" si="24"/>
        <v>25.985819682866122</v>
      </c>
      <c r="U79" s="384">
        <f t="shared" si="24"/>
        <v>32.88664129401877</v>
      </c>
      <c r="V79" s="384">
        <f t="shared" si="24"/>
        <v>40.76812190304713</v>
      </c>
      <c r="W79" s="384">
        <f t="shared" si="24"/>
        <v>49.65124223710234</v>
      </c>
      <c r="X79" s="384">
        <f t="shared" si="24"/>
        <v>59.53623927325191</v>
      </c>
      <c r="Y79" s="384">
        <f t="shared" si="24"/>
        <v>70.31863456017481</v>
      </c>
      <c r="Z79" s="384">
        <f t="shared" si="24"/>
        <v>82.06595286854918</v>
      </c>
      <c r="AA79" s="384">
        <f t="shared" si="24"/>
        <v>94.73435418236386</v>
      </c>
      <c r="AB79" s="384">
        <f t="shared" si="24"/>
        <v>108.24653582217502</v>
      </c>
      <c r="AC79" s="384">
        <f t="shared" si="24"/>
        <v>122.4841979126411</v>
      </c>
      <c r="AD79" s="384">
        <f t="shared" si="24"/>
        <v>137.27939889631534</v>
      </c>
      <c r="AE79" s="384">
        <f t="shared" si="24"/>
        <v>152.40472059230115</v>
      </c>
      <c r="AF79" s="384">
        <f t="shared" si="24"/>
        <v>167.56217726107525</v>
      </c>
      <c r="AG79" s="384">
        <f t="shared" si="24"/>
        <v>182.3708257461908</v>
      </c>
      <c r="AH79" s="384">
        <f t="shared" si="24"/>
        <v>196.35306569414274</v>
      </c>
      <c r="AI79" s="270"/>
    </row>
    <row r="80" spans="3:35" ht="12.75" customHeight="1">
      <c r="C80" s="322"/>
      <c r="D80" s="323"/>
      <c r="E80" s="472" t="s">
        <v>242</v>
      </c>
      <c r="F80" s="380"/>
      <c r="G80" s="380"/>
      <c r="H80" s="473">
        <f aca="true" t="shared" si="25" ref="H80:AH80">H79/H63</f>
        <v>0</v>
      </c>
      <c r="I80" s="473">
        <f t="shared" si="25"/>
        <v>0</v>
      </c>
      <c r="J80" s="473">
        <f t="shared" si="25"/>
        <v>0</v>
      </c>
      <c r="K80" s="473">
        <f t="shared" si="25"/>
        <v>0</v>
      </c>
      <c r="L80" s="473">
        <f t="shared" si="25"/>
        <v>0.0005319929454284565</v>
      </c>
      <c r="M80" s="473">
        <f t="shared" si="25"/>
        <v>0.002155724715077747</v>
      </c>
      <c r="N80" s="473">
        <f t="shared" si="25"/>
        <v>0.0047844326728093585</v>
      </c>
      <c r="O80" s="473">
        <f t="shared" si="25"/>
        <v>0.008127348594722453</v>
      </c>
      <c r="P80" s="473">
        <f t="shared" si="25"/>
        <v>0.01214393335181313</v>
      </c>
      <c r="Q80" s="473">
        <f t="shared" si="25"/>
        <v>0.016772321945325408</v>
      </c>
      <c r="R80" s="473">
        <f t="shared" si="25"/>
        <v>0.021947238343588898</v>
      </c>
      <c r="S80" s="473">
        <f t="shared" si="25"/>
        <v>0.027599093109840666</v>
      </c>
      <c r="T80" s="473">
        <f t="shared" si="25"/>
        <v>0.03365307118637359</v>
      </c>
      <c r="U80" s="473">
        <f t="shared" si="25"/>
        <v>0.04002821068841851</v>
      </c>
      <c r="V80" s="473">
        <f t="shared" si="25"/>
        <v>0.04663647668021658</v>
      </c>
      <c r="W80" s="473">
        <f t="shared" si="25"/>
        <v>0.05338183744409058</v>
      </c>
      <c r="X80" s="473">
        <f t="shared" si="25"/>
        <v>0.0601593548045896</v>
      </c>
      <c r="Y80" s="473">
        <f t="shared" si="25"/>
        <v>0.0667806393947554</v>
      </c>
      <c r="Z80" s="473">
        <f t="shared" si="25"/>
        <v>0.07324897171545477</v>
      </c>
      <c r="AA80" s="473">
        <f t="shared" si="25"/>
        <v>0.07947021477724216</v>
      </c>
      <c r="AB80" s="473">
        <f t="shared" si="25"/>
        <v>0.08534326753083661</v>
      </c>
      <c r="AC80" s="473">
        <f t="shared" si="25"/>
        <v>0.09075983435282074</v>
      </c>
      <c r="AD80" s="473">
        <f t="shared" si="25"/>
        <v>0.0956042883153939</v>
      </c>
      <c r="AE80" s="473">
        <f t="shared" si="25"/>
        <v>0.09975364991372572</v>
      </c>
      <c r="AF80" s="473">
        <f t="shared" si="25"/>
        <v>0.10307770558186105</v>
      </c>
      <c r="AG80" s="473">
        <f t="shared" si="25"/>
        <v>0.10543929288100921</v>
      </c>
      <c r="AH80" s="473">
        <f t="shared" si="25"/>
        <v>0.1066947815563105</v>
      </c>
      <c r="AI80" s="270"/>
    </row>
    <row r="81" spans="3:35" ht="12.75" customHeight="1">
      <c r="C81" s="322"/>
      <c r="D81" s="323"/>
      <c r="E81" s="383"/>
      <c r="F81" s="380"/>
      <c r="G81" s="380"/>
      <c r="H81" s="380"/>
      <c r="I81" s="380"/>
      <c r="J81" s="380"/>
      <c r="K81" s="380"/>
      <c r="L81" s="380"/>
      <c r="M81" s="384">
        <f>(M31-$L31)</f>
        <v>26.176827674521576</v>
      </c>
      <c r="N81" s="384">
        <f aca="true" t="shared" si="26" ref="N81:AH81">(N31-$L31)</f>
        <v>54.26721270626365</v>
      </c>
      <c r="O81" s="384">
        <f t="shared" si="26"/>
        <v>78.16507294798305</v>
      </c>
      <c r="P81" s="384">
        <f t="shared" si="26"/>
        <v>103.40832577272363</v>
      </c>
      <c r="Q81" s="384">
        <f t="shared" si="26"/>
        <v>130.07280874572552</v>
      </c>
      <c r="R81" s="384">
        <f t="shared" si="26"/>
        <v>158.23863943210023</v>
      </c>
      <c r="S81" s="384">
        <f t="shared" si="26"/>
        <v>187.99045722525852</v>
      </c>
      <c r="T81" s="384">
        <f t="shared" si="26"/>
        <v>219.4176788544168</v>
      </c>
      <c r="U81" s="384">
        <f t="shared" si="26"/>
        <v>252.61476834577434</v>
      </c>
      <c r="V81" s="384">
        <f t="shared" si="26"/>
        <v>287.68152225586834</v>
      </c>
      <c r="W81" s="384">
        <f t="shared" si="26"/>
        <v>324.7233710420063</v>
      </c>
      <c r="X81" s="384">
        <f t="shared" si="26"/>
        <v>363.8516974837173</v>
      </c>
      <c r="Y81" s="384">
        <f t="shared" si="26"/>
        <v>398.24161514253353</v>
      </c>
      <c r="Z81" s="384">
        <f t="shared" si="26"/>
        <v>434.2072339350067</v>
      </c>
      <c r="AA81" s="384">
        <f t="shared" si="26"/>
        <v>471.8211413446661</v>
      </c>
      <c r="AB81" s="384">
        <f t="shared" si="26"/>
        <v>511.1592881461561</v>
      </c>
      <c r="AC81" s="384">
        <f t="shared" si="26"/>
        <v>552.3011452018824</v>
      </c>
      <c r="AD81" s="384">
        <f t="shared" si="26"/>
        <v>595.3298676158512</v>
      </c>
      <c r="AE81" s="384">
        <f t="shared" si="26"/>
        <v>640.3324665922431</v>
      </c>
      <c r="AF81" s="384">
        <f t="shared" si="26"/>
        <v>687.3999893627765</v>
      </c>
      <c r="AG81" s="384">
        <f t="shared" si="26"/>
        <v>736.6277075642539</v>
      </c>
      <c r="AH81" s="384">
        <f t="shared" si="26"/>
        <v>788.115314465824</v>
      </c>
      <c r="AI81" s="270"/>
    </row>
    <row r="82" spans="2:35" ht="12.75" customHeight="1">
      <c r="B82" s="5"/>
      <c r="C82" s="455"/>
      <c r="D82" s="323"/>
      <c r="E82" s="451" t="s">
        <v>189</v>
      </c>
      <c r="F82" s="323"/>
      <c r="G82" s="451"/>
      <c r="H82" s="384"/>
      <c r="I82" s="384"/>
      <c r="J82" s="384"/>
      <c r="K82" s="384"/>
      <c r="L82" s="384"/>
      <c r="M82" s="466">
        <f>M79/M81</f>
        <v>0.04119045672808516</v>
      </c>
      <c r="N82" s="466">
        <f aca="true" t="shared" si="27" ref="N82:AH82">N79/N81</f>
        <v>0.04691966259174167</v>
      </c>
      <c r="O82" s="466">
        <f t="shared" si="27"/>
        <v>0.05887619387825513</v>
      </c>
      <c r="P82" s="466">
        <f t="shared" si="27"/>
        <v>0.07075368647828394</v>
      </c>
      <c r="Q82" s="466">
        <f t="shared" si="27"/>
        <v>0.08265963899790213</v>
      </c>
      <c r="R82" s="466">
        <f t="shared" si="27"/>
        <v>0.09460101593001388</v>
      </c>
      <c r="S82" s="466">
        <f t="shared" si="27"/>
        <v>0.10654402412120667</v>
      </c>
      <c r="T82" s="466">
        <f t="shared" si="27"/>
        <v>0.11843083847454089</v>
      </c>
      <c r="U82" s="466">
        <f t="shared" si="27"/>
        <v>0.13018495121791201</v>
      </c>
      <c r="V82" s="466">
        <f t="shared" si="27"/>
        <v>0.1417126883345234</v>
      </c>
      <c r="W82" s="466">
        <f t="shared" si="27"/>
        <v>0.15290319904531738</v>
      </c>
      <c r="X82" s="466">
        <f t="shared" si="27"/>
        <v>0.1636277628632369</v>
      </c>
      <c r="Y82" s="466">
        <f t="shared" si="27"/>
        <v>0.17657279371721932</v>
      </c>
      <c r="Z82" s="466">
        <f t="shared" si="27"/>
        <v>0.18900180940060762</v>
      </c>
      <c r="AA82" s="466">
        <f t="shared" si="27"/>
        <v>0.2007844623332812</v>
      </c>
      <c r="AB82" s="466">
        <f t="shared" si="27"/>
        <v>0.21176673951236905</v>
      </c>
      <c r="AC82" s="466">
        <f t="shared" si="27"/>
        <v>0.22177067524976704</v>
      </c>
      <c r="AD82" s="466">
        <f t="shared" si="27"/>
        <v>0.23059383774257014</v>
      </c>
      <c r="AE82" s="466">
        <f t="shared" si="27"/>
        <v>0.23800873537363654</v>
      </c>
      <c r="AF82" s="466">
        <f t="shared" si="27"/>
        <v>0.243762263389626</v>
      </c>
      <c r="AG82" s="466">
        <f t="shared" si="27"/>
        <v>0.2475753000782734</v>
      </c>
      <c r="AH82" s="466">
        <f t="shared" si="27"/>
        <v>0.24914255831613769</v>
      </c>
      <c r="AI82" s="270"/>
    </row>
    <row r="83" spans="2:35" ht="12.75" customHeight="1">
      <c r="B83" s="5"/>
      <c r="C83" s="456"/>
      <c r="D83" s="323"/>
      <c r="E83" s="452"/>
      <c r="F83" s="323"/>
      <c r="G83" s="451"/>
      <c r="H83" s="384"/>
      <c r="I83" s="384"/>
      <c r="J83" s="384"/>
      <c r="K83" s="384"/>
      <c r="L83" s="384"/>
      <c r="M83" s="384"/>
      <c r="N83" s="384"/>
      <c r="O83" s="384"/>
      <c r="P83" s="384"/>
      <c r="Q83" s="384"/>
      <c r="R83" s="384"/>
      <c r="S83" s="384"/>
      <c r="T83" s="384"/>
      <c r="U83" s="384"/>
      <c r="V83" s="384"/>
      <c r="W83" s="384"/>
      <c r="X83" s="384"/>
      <c r="Y83" s="384"/>
      <c r="Z83" s="384"/>
      <c r="AA83" s="384"/>
      <c r="AB83" s="384"/>
      <c r="AC83" s="384"/>
      <c r="AD83" s="384"/>
      <c r="AE83" s="384"/>
      <c r="AF83" s="384"/>
      <c r="AG83" s="384"/>
      <c r="AH83" s="384"/>
      <c r="AI83" s="270"/>
    </row>
    <row r="84" spans="2:35" ht="12.75" customHeight="1">
      <c r="B84" s="5"/>
      <c r="C84" s="457"/>
      <c r="D84" s="323"/>
      <c r="E84" s="453" t="s">
        <v>190</v>
      </c>
      <c r="F84" s="323"/>
      <c r="G84" s="451"/>
      <c r="H84" s="384"/>
      <c r="I84" s="384"/>
      <c r="J84" s="384"/>
      <c r="K84" s="384"/>
      <c r="L84" s="384"/>
      <c r="M84" s="384"/>
      <c r="N84" s="384"/>
      <c r="O84" s="384"/>
      <c r="P84" s="384"/>
      <c r="Q84" s="384"/>
      <c r="R84" s="384"/>
      <c r="S84" s="384"/>
      <c r="T84" s="384"/>
      <c r="U84" s="384"/>
      <c r="V84" s="384"/>
      <c r="W84" s="384"/>
      <c r="X84" s="384"/>
      <c r="Y84" s="384"/>
      <c r="Z84" s="384"/>
      <c r="AA84" s="384"/>
      <c r="AB84" s="384"/>
      <c r="AC84" s="384"/>
      <c r="AD84" s="384"/>
      <c r="AE84" s="384"/>
      <c r="AF84" s="384"/>
      <c r="AG84" s="384"/>
      <c r="AH84" s="384"/>
      <c r="AI84" s="270"/>
    </row>
    <row r="85" spans="2:35" ht="12.75" customHeight="1">
      <c r="B85" s="5"/>
      <c r="C85" s="457"/>
      <c r="D85" s="323"/>
      <c r="E85" s="453" t="s">
        <v>191</v>
      </c>
      <c r="F85" s="323"/>
      <c r="G85" s="451"/>
      <c r="H85" s="384">
        <f aca="true" t="shared" si="28" ref="H85:K91">H81-H83</f>
        <v>0</v>
      </c>
      <c r="I85" s="384">
        <f t="shared" si="28"/>
        <v>0</v>
      </c>
      <c r="J85" s="384">
        <f t="shared" si="28"/>
        <v>0</v>
      </c>
      <c r="K85" s="384">
        <f t="shared" si="28"/>
        <v>0</v>
      </c>
      <c r="L85" s="384">
        <v>4300</v>
      </c>
      <c r="M85" s="384">
        <f>L85+4300</f>
        <v>8600</v>
      </c>
      <c r="N85" s="384">
        <f aca="true" t="shared" si="29" ref="N85:AH85">M85+4300</f>
        <v>12900</v>
      </c>
      <c r="O85" s="384">
        <f t="shared" si="29"/>
        <v>17200</v>
      </c>
      <c r="P85" s="384">
        <f t="shared" si="29"/>
        <v>21500</v>
      </c>
      <c r="Q85" s="384">
        <f t="shared" si="29"/>
        <v>25800</v>
      </c>
      <c r="R85" s="384">
        <f t="shared" si="29"/>
        <v>30100</v>
      </c>
      <c r="S85" s="384">
        <f t="shared" si="29"/>
        <v>34400</v>
      </c>
      <c r="T85" s="384">
        <f t="shared" si="29"/>
        <v>38700</v>
      </c>
      <c r="U85" s="384">
        <f t="shared" si="29"/>
        <v>43000</v>
      </c>
      <c r="V85" s="384">
        <f t="shared" si="29"/>
        <v>47300</v>
      </c>
      <c r="W85" s="384">
        <f t="shared" si="29"/>
        <v>51600</v>
      </c>
      <c r="X85" s="384">
        <f t="shared" si="29"/>
        <v>55900</v>
      </c>
      <c r="Y85" s="384">
        <f t="shared" si="29"/>
        <v>60200</v>
      </c>
      <c r="Z85" s="384">
        <f t="shared" si="29"/>
        <v>64500</v>
      </c>
      <c r="AA85" s="384">
        <f t="shared" si="29"/>
        <v>68800</v>
      </c>
      <c r="AB85" s="384">
        <f t="shared" si="29"/>
        <v>73100</v>
      </c>
      <c r="AC85" s="384">
        <f t="shared" si="29"/>
        <v>77400</v>
      </c>
      <c r="AD85" s="384">
        <f t="shared" si="29"/>
        <v>81700</v>
      </c>
      <c r="AE85" s="384">
        <f t="shared" si="29"/>
        <v>86000</v>
      </c>
      <c r="AF85" s="384">
        <f t="shared" si="29"/>
        <v>90300</v>
      </c>
      <c r="AG85" s="384">
        <f t="shared" si="29"/>
        <v>94600</v>
      </c>
      <c r="AH85" s="384">
        <f t="shared" si="29"/>
        <v>98900</v>
      </c>
      <c r="AI85" s="270"/>
    </row>
    <row r="86" spans="2:35" ht="12.75" customHeight="1">
      <c r="B86" s="459">
        <f>'Social and Environmental'!E27</f>
        <v>23.28957528957529</v>
      </c>
      <c r="C86" s="458"/>
      <c r="D86" s="323"/>
      <c r="E86" s="454" t="s">
        <v>192</v>
      </c>
      <c r="F86" s="323"/>
      <c r="G86" s="451"/>
      <c r="H86" s="460">
        <f t="shared" si="28"/>
        <v>0</v>
      </c>
      <c r="I86" s="460">
        <f t="shared" si="28"/>
        <v>0</v>
      </c>
      <c r="J86" s="460">
        <f t="shared" si="28"/>
        <v>0</v>
      </c>
      <c r="K86" s="460">
        <f t="shared" si="28"/>
        <v>0</v>
      </c>
      <c r="L86" s="460">
        <f>L85*$B86*10^-6</f>
        <v>0.10014517374517373</v>
      </c>
      <c r="M86" s="460">
        <f aca="true" t="shared" si="30" ref="M86:AH86">M85*$B86*10^-6</f>
        <v>0.20029034749034746</v>
      </c>
      <c r="N86" s="460">
        <f t="shared" si="30"/>
        <v>0.30043552123552125</v>
      </c>
      <c r="O86" s="460">
        <f t="shared" si="30"/>
        <v>0.40058069498069493</v>
      </c>
      <c r="P86" s="460">
        <f t="shared" si="30"/>
        <v>0.5007258687258687</v>
      </c>
      <c r="Q86" s="460">
        <f t="shared" si="30"/>
        <v>0.6008710424710425</v>
      </c>
      <c r="R86" s="460">
        <f t="shared" si="30"/>
        <v>0.7010162162162161</v>
      </c>
      <c r="S86" s="460">
        <f t="shared" si="30"/>
        <v>0.8011613899613899</v>
      </c>
      <c r="T86" s="460">
        <f t="shared" si="30"/>
        <v>0.9013065637065636</v>
      </c>
      <c r="U86" s="460">
        <f t="shared" si="30"/>
        <v>1.0014517374517373</v>
      </c>
      <c r="V86" s="460">
        <f t="shared" si="30"/>
        <v>1.1015969111969113</v>
      </c>
      <c r="W86" s="460">
        <f t="shared" si="30"/>
        <v>1.201742084942085</v>
      </c>
      <c r="X86" s="460">
        <f t="shared" si="30"/>
        <v>1.3018872586872587</v>
      </c>
      <c r="Y86" s="460">
        <f t="shared" si="30"/>
        <v>1.4020324324324323</v>
      </c>
      <c r="Z86" s="460">
        <f t="shared" si="30"/>
        <v>1.502177606177606</v>
      </c>
      <c r="AA86" s="460">
        <f t="shared" si="30"/>
        <v>1.6023227799227797</v>
      </c>
      <c r="AB86" s="460">
        <f t="shared" si="30"/>
        <v>1.7024679536679534</v>
      </c>
      <c r="AC86" s="460">
        <f t="shared" si="30"/>
        <v>1.8026131274131272</v>
      </c>
      <c r="AD86" s="460">
        <f t="shared" si="30"/>
        <v>1.902758301158301</v>
      </c>
      <c r="AE86" s="460">
        <f t="shared" si="30"/>
        <v>2.0029034749034746</v>
      </c>
      <c r="AF86" s="460">
        <f t="shared" si="30"/>
        <v>2.1030486486486484</v>
      </c>
      <c r="AG86" s="460">
        <f t="shared" si="30"/>
        <v>2.2031938223938226</v>
      </c>
      <c r="AH86" s="460">
        <f t="shared" si="30"/>
        <v>2.303338996138996</v>
      </c>
      <c r="AI86" s="270"/>
    </row>
    <row r="87" spans="2:35" ht="12.75" customHeight="1">
      <c r="B87" s="459">
        <f>'Social and Environmental'!E29</f>
        <v>67.18146718146718</v>
      </c>
      <c r="C87" s="458"/>
      <c r="D87" s="323"/>
      <c r="E87" s="454" t="s">
        <v>193</v>
      </c>
      <c r="F87" s="323"/>
      <c r="G87" s="451"/>
      <c r="H87" s="460">
        <f t="shared" si="28"/>
        <v>0</v>
      </c>
      <c r="I87" s="460">
        <f t="shared" si="28"/>
        <v>0</v>
      </c>
      <c r="J87" s="460">
        <f t="shared" si="28"/>
        <v>0</v>
      </c>
      <c r="K87" s="460">
        <f t="shared" si="28"/>
        <v>0</v>
      </c>
      <c r="L87" s="460">
        <f>L85*$B87*10^-6</f>
        <v>0.28888030888030886</v>
      </c>
      <c r="M87" s="460">
        <f aca="true" t="shared" si="31" ref="M87:AH87">M85*$B87*10^-6</f>
        <v>0.5777606177606177</v>
      </c>
      <c r="N87" s="460">
        <f t="shared" si="31"/>
        <v>0.8666409266409266</v>
      </c>
      <c r="O87" s="460">
        <f t="shared" si="31"/>
        <v>1.1555212355212354</v>
      </c>
      <c r="P87" s="460">
        <f t="shared" si="31"/>
        <v>1.4444015444015443</v>
      </c>
      <c r="Q87" s="460">
        <f t="shared" si="31"/>
        <v>1.7332818532818532</v>
      </c>
      <c r="R87" s="460">
        <f t="shared" si="31"/>
        <v>2.022162162162162</v>
      </c>
      <c r="S87" s="460">
        <f t="shared" si="31"/>
        <v>2.311042471042471</v>
      </c>
      <c r="T87" s="460">
        <f t="shared" si="31"/>
        <v>2.59992277992278</v>
      </c>
      <c r="U87" s="460">
        <f t="shared" si="31"/>
        <v>2.8888030888030887</v>
      </c>
      <c r="V87" s="460">
        <f t="shared" si="31"/>
        <v>3.177683397683398</v>
      </c>
      <c r="W87" s="460">
        <f t="shared" si="31"/>
        <v>3.4665637065637065</v>
      </c>
      <c r="X87" s="460">
        <f t="shared" si="31"/>
        <v>3.7554440154440156</v>
      </c>
      <c r="Y87" s="460">
        <f t="shared" si="31"/>
        <v>4.044324324324324</v>
      </c>
      <c r="Z87" s="460">
        <f t="shared" si="31"/>
        <v>4.333204633204633</v>
      </c>
      <c r="AA87" s="460">
        <f t="shared" si="31"/>
        <v>4.622084942084942</v>
      </c>
      <c r="AB87" s="460">
        <f t="shared" si="31"/>
        <v>4.910965250965251</v>
      </c>
      <c r="AC87" s="460">
        <f t="shared" si="31"/>
        <v>5.19984555984556</v>
      </c>
      <c r="AD87" s="460">
        <f t="shared" si="31"/>
        <v>5.488725868725869</v>
      </c>
      <c r="AE87" s="460">
        <f t="shared" si="31"/>
        <v>5.777606177606177</v>
      </c>
      <c r="AF87" s="460">
        <f t="shared" si="31"/>
        <v>6.066486486486487</v>
      </c>
      <c r="AG87" s="460">
        <f t="shared" si="31"/>
        <v>6.355366795366796</v>
      </c>
      <c r="AH87" s="460">
        <f t="shared" si="31"/>
        <v>6.644247104247104</v>
      </c>
      <c r="AI87" s="270"/>
    </row>
    <row r="88" spans="2:35" ht="12.75" customHeight="1">
      <c r="B88" s="459">
        <f>'Social and Environmental'!E28</f>
        <v>4.478764478764479</v>
      </c>
      <c r="C88" s="458"/>
      <c r="D88" s="323"/>
      <c r="E88" s="454" t="s">
        <v>194</v>
      </c>
      <c r="F88" s="323"/>
      <c r="G88" s="451"/>
      <c r="H88" s="460">
        <f t="shared" si="28"/>
        <v>0</v>
      </c>
      <c r="I88" s="460">
        <f t="shared" si="28"/>
        <v>0</v>
      </c>
      <c r="J88" s="460">
        <f t="shared" si="28"/>
        <v>0</v>
      </c>
      <c r="K88" s="460">
        <f t="shared" si="28"/>
        <v>0</v>
      </c>
      <c r="L88" s="460">
        <f>L85*$B88*10^-6</f>
        <v>0.01925868725868726</v>
      </c>
      <c r="M88" s="460">
        <f aca="true" t="shared" si="32" ref="M88:AH88">M85*$B88*10^-6</f>
        <v>0.03851737451737452</v>
      </c>
      <c r="N88" s="460">
        <f t="shared" si="32"/>
        <v>0.057776061776061774</v>
      </c>
      <c r="O88" s="460">
        <f t="shared" si="32"/>
        <v>0.07703474903474904</v>
      </c>
      <c r="P88" s="460">
        <f t="shared" si="32"/>
        <v>0.09629343629343629</v>
      </c>
      <c r="Q88" s="460">
        <f t="shared" si="32"/>
        <v>0.11555212355212355</v>
      </c>
      <c r="R88" s="460">
        <f t="shared" si="32"/>
        <v>0.13481081081081078</v>
      </c>
      <c r="S88" s="460">
        <f t="shared" si="32"/>
        <v>0.15406949806949807</v>
      </c>
      <c r="T88" s="460">
        <f t="shared" si="32"/>
        <v>0.1733281853281853</v>
      </c>
      <c r="U88" s="460">
        <f t="shared" si="32"/>
        <v>0.19258687258687257</v>
      </c>
      <c r="V88" s="460">
        <f t="shared" si="32"/>
        <v>0.21184555984555983</v>
      </c>
      <c r="W88" s="460">
        <f t="shared" si="32"/>
        <v>0.2311042471042471</v>
      </c>
      <c r="X88" s="460">
        <f t="shared" si="32"/>
        <v>0.25036293436293433</v>
      </c>
      <c r="Y88" s="460">
        <f t="shared" si="32"/>
        <v>0.26962162162162157</v>
      </c>
      <c r="Z88" s="460">
        <f t="shared" si="32"/>
        <v>0.28888030888030886</v>
      </c>
      <c r="AA88" s="460">
        <f t="shared" si="32"/>
        <v>0.30813899613899615</v>
      </c>
      <c r="AB88" s="460">
        <f t="shared" si="32"/>
        <v>0.3273976833976834</v>
      </c>
      <c r="AC88" s="460">
        <f t="shared" si="32"/>
        <v>0.3466563706563706</v>
      </c>
      <c r="AD88" s="460">
        <f t="shared" si="32"/>
        <v>0.3659150579150579</v>
      </c>
      <c r="AE88" s="460">
        <f t="shared" si="32"/>
        <v>0.38517374517374514</v>
      </c>
      <c r="AF88" s="460">
        <f t="shared" si="32"/>
        <v>0.40443243243243243</v>
      </c>
      <c r="AG88" s="460">
        <f t="shared" si="32"/>
        <v>0.42369111969111967</v>
      </c>
      <c r="AH88" s="460">
        <f t="shared" si="32"/>
        <v>0.4429498069498069</v>
      </c>
      <c r="AI88" s="270"/>
    </row>
    <row r="89" spans="2:35" ht="12.75" customHeight="1">
      <c r="B89" s="459">
        <v>0</v>
      </c>
      <c r="C89" s="458"/>
      <c r="D89" s="323"/>
      <c r="E89" s="454" t="s">
        <v>195</v>
      </c>
      <c r="F89" s="323"/>
      <c r="G89" s="451"/>
      <c r="H89" s="460">
        <f t="shared" si="28"/>
        <v>0</v>
      </c>
      <c r="I89" s="460">
        <f t="shared" si="28"/>
        <v>0</v>
      </c>
      <c r="J89" s="460">
        <f t="shared" si="28"/>
        <v>0</v>
      </c>
      <c r="K89" s="460">
        <f t="shared" si="28"/>
        <v>0</v>
      </c>
      <c r="L89" s="460">
        <f>L85*$B89*10^-6</f>
        <v>0</v>
      </c>
      <c r="M89" s="460">
        <f aca="true" t="shared" si="33" ref="M89:AH89">M85*$B89*10^-6</f>
        <v>0</v>
      </c>
      <c r="N89" s="460">
        <f t="shared" si="33"/>
        <v>0</v>
      </c>
      <c r="O89" s="460">
        <f t="shared" si="33"/>
        <v>0</v>
      </c>
      <c r="P89" s="460">
        <f t="shared" si="33"/>
        <v>0</v>
      </c>
      <c r="Q89" s="460">
        <f t="shared" si="33"/>
        <v>0</v>
      </c>
      <c r="R89" s="460">
        <f t="shared" si="33"/>
        <v>0</v>
      </c>
      <c r="S89" s="460">
        <f t="shared" si="33"/>
        <v>0</v>
      </c>
      <c r="T89" s="460">
        <f t="shared" si="33"/>
        <v>0</v>
      </c>
      <c r="U89" s="460">
        <f t="shared" si="33"/>
        <v>0</v>
      </c>
      <c r="V89" s="460">
        <f t="shared" si="33"/>
        <v>0</v>
      </c>
      <c r="W89" s="460">
        <f t="shared" si="33"/>
        <v>0</v>
      </c>
      <c r="X89" s="460">
        <f t="shared" si="33"/>
        <v>0</v>
      </c>
      <c r="Y89" s="460">
        <f t="shared" si="33"/>
        <v>0</v>
      </c>
      <c r="Z89" s="460">
        <f t="shared" si="33"/>
        <v>0</v>
      </c>
      <c r="AA89" s="460">
        <f t="shared" si="33"/>
        <v>0</v>
      </c>
      <c r="AB89" s="460">
        <f t="shared" si="33"/>
        <v>0</v>
      </c>
      <c r="AC89" s="460">
        <f t="shared" si="33"/>
        <v>0</v>
      </c>
      <c r="AD89" s="460">
        <f t="shared" si="33"/>
        <v>0</v>
      </c>
      <c r="AE89" s="460">
        <f t="shared" si="33"/>
        <v>0</v>
      </c>
      <c r="AF89" s="460">
        <f t="shared" si="33"/>
        <v>0</v>
      </c>
      <c r="AG89" s="460">
        <f t="shared" si="33"/>
        <v>0</v>
      </c>
      <c r="AH89" s="460">
        <f t="shared" si="33"/>
        <v>0</v>
      </c>
      <c r="AI89" s="270"/>
    </row>
    <row r="90" spans="2:35" ht="12.75" customHeight="1">
      <c r="B90" s="459">
        <v>5</v>
      </c>
      <c r="C90" s="458"/>
      <c r="D90" s="323"/>
      <c r="E90" s="454" t="s">
        <v>196</v>
      </c>
      <c r="F90" s="323"/>
      <c r="G90" s="451"/>
      <c r="H90" s="460">
        <f t="shared" si="28"/>
        <v>0</v>
      </c>
      <c r="I90" s="460">
        <f t="shared" si="28"/>
        <v>0</v>
      </c>
      <c r="J90" s="460">
        <f t="shared" si="28"/>
        <v>0</v>
      </c>
      <c r="K90" s="460">
        <f t="shared" si="28"/>
        <v>0</v>
      </c>
      <c r="L90" s="460">
        <f>L85*$B90*10^-6</f>
        <v>0.0215</v>
      </c>
      <c r="M90" s="460">
        <f aca="true" t="shared" si="34" ref="M90:AH90">M85*$B90*10^-6</f>
        <v>0.043</v>
      </c>
      <c r="N90" s="460">
        <f t="shared" si="34"/>
        <v>0.0645</v>
      </c>
      <c r="O90" s="460">
        <f t="shared" si="34"/>
        <v>0.086</v>
      </c>
      <c r="P90" s="460">
        <f t="shared" si="34"/>
        <v>0.1075</v>
      </c>
      <c r="Q90" s="460">
        <f t="shared" si="34"/>
        <v>0.129</v>
      </c>
      <c r="R90" s="460">
        <f t="shared" si="34"/>
        <v>0.1505</v>
      </c>
      <c r="S90" s="460">
        <f t="shared" si="34"/>
        <v>0.172</v>
      </c>
      <c r="T90" s="460">
        <f t="shared" si="34"/>
        <v>0.19349999999999998</v>
      </c>
      <c r="U90" s="460">
        <f t="shared" si="34"/>
        <v>0.215</v>
      </c>
      <c r="V90" s="460">
        <f t="shared" si="34"/>
        <v>0.2365</v>
      </c>
      <c r="W90" s="460">
        <f t="shared" si="34"/>
        <v>0.258</v>
      </c>
      <c r="X90" s="460">
        <f t="shared" si="34"/>
        <v>0.27949999999999997</v>
      </c>
      <c r="Y90" s="460">
        <f t="shared" si="34"/>
        <v>0.301</v>
      </c>
      <c r="Z90" s="460">
        <f t="shared" si="34"/>
        <v>0.3225</v>
      </c>
      <c r="AA90" s="460">
        <f t="shared" si="34"/>
        <v>0.344</v>
      </c>
      <c r="AB90" s="460">
        <f t="shared" si="34"/>
        <v>0.3655</v>
      </c>
      <c r="AC90" s="460">
        <f t="shared" si="34"/>
        <v>0.38699999999999996</v>
      </c>
      <c r="AD90" s="460">
        <f t="shared" si="34"/>
        <v>0.4085</v>
      </c>
      <c r="AE90" s="460">
        <f t="shared" si="34"/>
        <v>0.43</v>
      </c>
      <c r="AF90" s="460">
        <f t="shared" si="34"/>
        <v>0.45149999999999996</v>
      </c>
      <c r="AG90" s="460">
        <f t="shared" si="34"/>
        <v>0.473</v>
      </c>
      <c r="AH90" s="460">
        <f t="shared" si="34"/>
        <v>0.4945</v>
      </c>
      <c r="AI90" s="270"/>
    </row>
    <row r="91" spans="2:35" ht="12.75" customHeight="1">
      <c r="B91" s="449">
        <f>SUM(B86:B90)</f>
        <v>99.94980694980694</v>
      </c>
      <c r="C91" s="458"/>
      <c r="D91" s="323"/>
      <c r="E91" s="454" t="s">
        <v>30</v>
      </c>
      <c r="F91" s="323"/>
      <c r="G91" s="451"/>
      <c r="H91" s="460">
        <f t="shared" si="28"/>
        <v>0</v>
      </c>
      <c r="I91" s="460">
        <f t="shared" si="28"/>
        <v>0</v>
      </c>
      <c r="J91" s="460">
        <f t="shared" si="28"/>
        <v>0</v>
      </c>
      <c r="K91" s="460">
        <f t="shared" si="28"/>
        <v>0</v>
      </c>
      <c r="L91" s="460">
        <f>SUM(L86:L90)</f>
        <v>0.42978416988416984</v>
      </c>
      <c r="M91" s="460">
        <f aca="true" t="shared" si="35" ref="M91:AH91">SUM(M86:M90)</f>
        <v>0.8595683397683397</v>
      </c>
      <c r="N91" s="460">
        <f t="shared" si="35"/>
        <v>1.2893525096525098</v>
      </c>
      <c r="O91" s="460">
        <f t="shared" si="35"/>
        <v>1.7191366795366794</v>
      </c>
      <c r="P91" s="460">
        <f t="shared" si="35"/>
        <v>2.148920849420849</v>
      </c>
      <c r="Q91" s="460">
        <f t="shared" si="35"/>
        <v>2.5787050193050196</v>
      </c>
      <c r="R91" s="460">
        <f t="shared" si="35"/>
        <v>3.008489189189189</v>
      </c>
      <c r="S91" s="460">
        <f t="shared" si="35"/>
        <v>3.4382733590733587</v>
      </c>
      <c r="T91" s="460">
        <f t="shared" si="35"/>
        <v>3.8680575289575287</v>
      </c>
      <c r="U91" s="460">
        <f t="shared" si="35"/>
        <v>4.297841698841698</v>
      </c>
      <c r="V91" s="460">
        <f t="shared" si="35"/>
        <v>4.727625868725869</v>
      </c>
      <c r="W91" s="460">
        <f t="shared" si="35"/>
        <v>5.157410038610039</v>
      </c>
      <c r="X91" s="460">
        <f t="shared" si="35"/>
        <v>5.587194208494209</v>
      </c>
      <c r="Y91" s="460">
        <f t="shared" si="35"/>
        <v>6.016978378378378</v>
      </c>
      <c r="Z91" s="460">
        <f t="shared" si="35"/>
        <v>6.446762548262548</v>
      </c>
      <c r="AA91" s="460">
        <f t="shared" si="35"/>
        <v>6.8765467181467175</v>
      </c>
      <c r="AB91" s="460">
        <f t="shared" si="35"/>
        <v>7.306330888030889</v>
      </c>
      <c r="AC91" s="460">
        <f t="shared" si="35"/>
        <v>7.7361150579150575</v>
      </c>
      <c r="AD91" s="460">
        <f t="shared" si="35"/>
        <v>8.165899227799226</v>
      </c>
      <c r="AE91" s="460">
        <f t="shared" si="35"/>
        <v>8.595683397683397</v>
      </c>
      <c r="AF91" s="460">
        <f t="shared" si="35"/>
        <v>9.025467567567567</v>
      </c>
      <c r="AG91" s="460">
        <f t="shared" si="35"/>
        <v>9.455251737451738</v>
      </c>
      <c r="AH91" s="460">
        <f t="shared" si="35"/>
        <v>9.885035907335908</v>
      </c>
      <c r="AI91" s="270"/>
    </row>
    <row r="92" spans="3:35" ht="12.75" customHeight="1">
      <c r="C92" s="322"/>
      <c r="D92" s="323"/>
      <c r="E92" s="451"/>
      <c r="F92" s="384"/>
      <c r="G92" s="384"/>
      <c r="H92" s="384"/>
      <c r="I92" s="384"/>
      <c r="J92" s="384"/>
      <c r="K92" s="384"/>
      <c r="L92" s="384"/>
      <c r="M92" s="384"/>
      <c r="N92" s="384"/>
      <c r="O92" s="384"/>
      <c r="P92" s="384"/>
      <c r="Q92" s="384"/>
      <c r="R92" s="384"/>
      <c r="S92" s="384"/>
      <c r="T92" s="384"/>
      <c r="U92" s="384"/>
      <c r="V92" s="384"/>
      <c r="W92" s="384"/>
      <c r="X92" s="384"/>
      <c r="Y92" s="384"/>
      <c r="Z92" s="384"/>
      <c r="AA92" s="384"/>
      <c r="AB92" s="384"/>
      <c r="AC92" s="384"/>
      <c r="AD92" s="384"/>
      <c r="AE92" s="384"/>
      <c r="AF92" s="384"/>
      <c r="AG92" s="384"/>
      <c r="AH92" s="384"/>
      <c r="AI92" s="270"/>
    </row>
    <row r="93" spans="3:35" ht="12.75" customHeight="1">
      <c r="C93" s="322"/>
      <c r="D93" s="323"/>
      <c r="E93" s="383"/>
      <c r="F93" s="380"/>
      <c r="G93" s="380"/>
      <c r="H93" s="380"/>
      <c r="I93" s="380"/>
      <c r="J93" s="380"/>
      <c r="K93" s="380"/>
      <c r="L93" s="380"/>
      <c r="M93" s="380"/>
      <c r="N93" s="380"/>
      <c r="O93" s="380"/>
      <c r="P93" s="380"/>
      <c r="Q93" s="380"/>
      <c r="R93" s="380"/>
      <c r="S93" s="380"/>
      <c r="T93" s="380"/>
      <c r="U93" s="380"/>
      <c r="V93" s="380"/>
      <c r="W93" s="380"/>
      <c r="X93" s="380"/>
      <c r="Y93" s="380"/>
      <c r="Z93" s="380"/>
      <c r="AA93" s="380"/>
      <c r="AB93" s="380"/>
      <c r="AC93" s="380"/>
      <c r="AD93" s="380"/>
      <c r="AE93" s="380"/>
      <c r="AF93" s="380"/>
      <c r="AG93" s="380"/>
      <c r="AH93" s="380"/>
      <c r="AI93" s="270"/>
    </row>
    <row r="94" spans="3:35" ht="12.75" customHeight="1">
      <c r="C94" s="322"/>
      <c r="D94" s="323"/>
      <c r="E94" s="383" t="s">
        <v>184</v>
      </c>
      <c r="F94" s="380"/>
      <c r="G94" s="380"/>
      <c r="H94" s="380"/>
      <c r="I94" s="380"/>
      <c r="J94" s="380"/>
      <c r="K94" s="380"/>
      <c r="L94" s="384">
        <f>Assumptions!$H18*((1+Assumptions!$H19)^(L24-3))*((Assumptions!$H22*200000*Assumptions!$H20)/1000000+Assumptions!$H21)</f>
        <v>5.1000000000000005</v>
      </c>
      <c r="M94" s="384">
        <f>Assumptions!$H18*((1+Assumptions!$H19)^(M24-3))*((Assumptions!$H22*200000*Assumptions!$H20)/1000000+Assumptions!$H21)</f>
        <v>5.457000000000001</v>
      </c>
      <c r="N94" s="384">
        <f>Assumptions!$H18*((1+Assumptions!$H19)^(N24-3))*((Assumptions!$H22*200000*Assumptions!$H20)/1000000+Assumptions!$H21)</f>
        <v>5.838990000000001</v>
      </c>
      <c r="O94" s="384">
        <f>Assumptions!$H18*((1+Assumptions!$H19)^(O24-3))*((Assumptions!$H22*200000*Assumptions!$H20)/1000000+Assumptions!$H21)</f>
        <v>6.247719300000001</v>
      </c>
      <c r="P94" s="384">
        <f>Assumptions!$H18*((1+Assumptions!$H19)^(P24-3))*((Assumptions!$H22*200000*Assumptions!$H20)/1000000+Assumptions!$H21)</f>
        <v>6.685059651000001</v>
      </c>
      <c r="Q94" s="384">
        <f>Assumptions!$H18*((1+Assumptions!$H19)^(Q24-3))*((Assumptions!$H22*200000*Assumptions!$H20)/1000000+Assumptions!$H21)</f>
        <v>7.1530138265700005</v>
      </c>
      <c r="R94" s="384">
        <f>Assumptions!$H18*((1+Assumptions!$H19)^(R24-3))*((Assumptions!$H22*200000*Assumptions!$H20)/1000000+Assumptions!$H21)</f>
        <v>7.6537247944299</v>
      </c>
      <c r="S94" s="384">
        <f>Assumptions!$H18*((1+Assumptions!$H19)^(S24-3))*((Assumptions!$H22*200000*Assumptions!$H20)/1000000+Assumptions!$H21)</f>
        <v>8.189485530039995</v>
      </c>
      <c r="T94" s="384">
        <f>Assumptions!$H18*((1+Assumptions!$H19)^(T24-3))*((Assumptions!$H22*200000*Assumptions!$H20)/1000000+Assumptions!$H21)</f>
        <v>8.762749517142794</v>
      </c>
      <c r="U94" s="384">
        <f>Assumptions!$H18*((1+Assumptions!$H19)^(U24-3))*((Assumptions!$H22*200000*Assumptions!$H20)/1000000+Assumptions!$H21)</f>
        <v>9.376141983342789</v>
      </c>
      <c r="V94" s="384">
        <f>Assumptions!$H18*((1+Assumptions!$H19)^(V24-3))*((Assumptions!$H22*200000*Assumptions!$H20)/1000000+Assumptions!$H21)</f>
        <v>10.032471922176786</v>
      </c>
      <c r="W94" s="384">
        <f>Assumptions!$H18*((1+Assumptions!$H19)^(W24-3))*((Assumptions!$H22*200000*Assumptions!$H20)/1000000+Assumptions!$H21)</f>
        <v>10.73474495672916</v>
      </c>
      <c r="X94" s="384">
        <f>Assumptions!$H18*((1+Assumptions!$H19)^(X24-3))*((Assumptions!$H22*200000*Assumptions!$H20)/1000000+Assumptions!$H21)</f>
        <v>11.4861771037002</v>
      </c>
      <c r="Y94" s="384">
        <f>Assumptions!$H18*((1+Assumptions!$H19)^(Y24-3))*((Assumptions!$H22*200000*Assumptions!$H20)/1000000+Assumptions!$H21)</f>
        <v>12.290209500959214</v>
      </c>
      <c r="Z94" s="384">
        <f>Assumptions!$H18*((1+Assumptions!$H19)^(Z24-3))*((Assumptions!$H22*200000*Assumptions!$H20)/1000000+Assumptions!$H21)</f>
        <v>13.15052416602636</v>
      </c>
      <c r="AA94" s="384">
        <f>Assumptions!$H18*((1+Assumptions!$H19)^(AA24-3))*((Assumptions!$H22*200000*Assumptions!$H20)/1000000+Assumptions!$H21)</f>
        <v>14.071060857648208</v>
      </c>
      <c r="AB94" s="384">
        <f>Assumptions!$H18*((1+Assumptions!$H19)^(AB24-3))*((Assumptions!$H22*200000*Assumptions!$H20)/1000000+Assumptions!$H21)</f>
        <v>15.05603511768358</v>
      </c>
      <c r="AC94" s="384">
        <f>Assumptions!$H18*((1+Assumptions!$H19)^(AC24-3))*((Assumptions!$H22*200000*Assumptions!$H20)/1000000+Assumptions!$H21)</f>
        <v>16.10995757592143</v>
      </c>
      <c r="AD94" s="384">
        <f>Assumptions!$H18*((1+Assumptions!$H19)^(AD24-3))*((Assumptions!$H22*200000*Assumptions!$H20)/1000000+Assumptions!$H21)</f>
        <v>17.23765460623593</v>
      </c>
      <c r="AE94" s="384">
        <f>Assumptions!$H18*((1+Assumptions!$H19)^(AE24-3))*((Assumptions!$H22*200000*Assumptions!$H20)/1000000+Assumptions!$H21)</f>
        <v>18.44429042867245</v>
      </c>
      <c r="AF94" s="384">
        <f>Assumptions!$H18*((1+Assumptions!$H19)^(AF24-3))*((Assumptions!$H22*200000*Assumptions!$H20)/1000000+Assumptions!$H21)</f>
        <v>19.735390758679518</v>
      </c>
      <c r="AG94" s="384">
        <f>Assumptions!$H18*((1+Assumptions!$H19)^(AG24-3))*((Assumptions!$H22*200000*Assumptions!$H20)/1000000+Assumptions!$H21)</f>
        <v>21.116868111787085</v>
      </c>
      <c r="AH94" s="384">
        <f>Assumptions!$H18*((1+Assumptions!$H19)^(AH24-3))*((Assumptions!$H22*200000*Assumptions!$H20)/1000000+Assumptions!$H21)</f>
        <v>22.59504887961218</v>
      </c>
      <c r="AI94" s="270"/>
    </row>
    <row r="95" spans="3:35" ht="12.75" customHeight="1">
      <c r="C95" s="322"/>
      <c r="D95" s="323"/>
      <c r="E95" s="383"/>
      <c r="F95" s="380"/>
      <c r="G95" s="380"/>
      <c r="H95" s="380"/>
      <c r="I95" s="380"/>
      <c r="J95" s="380"/>
      <c r="K95" s="380"/>
      <c r="L95" s="465">
        <f>L94/L97</f>
        <v>0.8823731842194251</v>
      </c>
      <c r="M95" s="465">
        <f aca="true" t="shared" si="36" ref="M95:AH95">M94/M97</f>
        <v>0.7379506106435367</v>
      </c>
      <c r="N95" s="465">
        <f t="shared" si="36"/>
        <v>0.603541760309071</v>
      </c>
      <c r="O95" s="465">
        <f t="shared" si="36"/>
        <v>0.4970769413440472</v>
      </c>
      <c r="P95" s="465">
        <f t="shared" si="36"/>
        <v>0.413922747645214</v>
      </c>
      <c r="Q95" s="465">
        <f t="shared" si="36"/>
        <v>0.34920874009712055</v>
      </c>
      <c r="R95" s="465">
        <f t="shared" si="36"/>
        <v>0.2986032863340468</v>
      </c>
      <c r="S95" s="465">
        <f t="shared" si="36"/>
        <v>0.2586941495689698</v>
      </c>
      <c r="T95" s="465">
        <f t="shared" si="36"/>
        <v>0.22691649321533902</v>
      </c>
      <c r="U95" s="465">
        <f t="shared" si="36"/>
        <v>0.20137491685592396</v>
      </c>
      <c r="V95" s="465">
        <f t="shared" si="36"/>
        <v>0.1806733941313429</v>
      </c>
      <c r="W95" s="465">
        <f t="shared" si="36"/>
        <v>0.16378072254417508</v>
      </c>
      <c r="X95" s="465">
        <f t="shared" si="36"/>
        <v>0.1499312816750207</v>
      </c>
      <c r="Y95" s="465">
        <f t="shared" si="36"/>
        <v>0.13867526599651414</v>
      </c>
      <c r="Z95" s="465">
        <f t="shared" si="36"/>
        <v>0.12935377841575607</v>
      </c>
      <c r="AA95" s="465">
        <f t="shared" si="36"/>
        <v>0.12163573856972397</v>
      </c>
      <c r="AB95" s="465">
        <f t="shared" si="36"/>
        <v>0.1152757193956331</v>
      </c>
      <c r="AC95" s="465">
        <f t="shared" si="36"/>
        <v>0.11009313053107878</v>
      </c>
      <c r="AD95" s="465">
        <f t="shared" si="36"/>
        <v>0.10595857966020329</v>
      </c>
      <c r="AE95" s="465">
        <f t="shared" si="36"/>
        <v>0.10278537623208092</v>
      </c>
      <c r="AF95" s="465">
        <f t="shared" si="36"/>
        <v>0.10052508968007186</v>
      </c>
      <c r="AG95" s="465">
        <f t="shared" si="36"/>
        <v>0.09916678879753561</v>
      </c>
      <c r="AH95" s="465">
        <f t="shared" si="36"/>
        <v>0.09874027793660636</v>
      </c>
      <c r="AI95" s="270"/>
    </row>
    <row r="96" spans="3:35" ht="12.75" customHeight="1">
      <c r="C96" s="322"/>
      <c r="D96" s="323"/>
      <c r="E96" s="324"/>
      <c r="F96" s="266"/>
      <c r="G96" s="240"/>
      <c r="H96" s="325"/>
      <c r="I96" s="325"/>
      <c r="J96" s="243"/>
      <c r="K96" s="243"/>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2"/>
    </row>
    <row r="97" spans="3:35" ht="12.75" customHeight="1">
      <c r="C97" s="322"/>
      <c r="D97" s="323"/>
      <c r="E97" s="324" t="s">
        <v>181</v>
      </c>
      <c r="F97" s="266" t="s">
        <v>61</v>
      </c>
      <c r="G97" s="240"/>
      <c r="H97" s="325"/>
      <c r="I97" s="239">
        <f>I79</f>
        <v>0</v>
      </c>
      <c r="J97" s="239">
        <f>J79</f>
        <v>0</v>
      </c>
      <c r="K97" s="239">
        <f>K79</f>
        <v>0</v>
      </c>
      <c r="L97" s="239">
        <f aca="true" t="shared" si="37" ref="L97:AH97">L79+L94+L91</f>
        <v>5.779867397615465</v>
      </c>
      <c r="M97" s="239">
        <f t="shared" si="37"/>
        <v>7.394803827374264</v>
      </c>
      <c r="N97" s="239">
        <f t="shared" si="37"/>
        <v>9.674541819624677</v>
      </c>
      <c r="O97" s="239">
        <f t="shared" si="37"/>
        <v>12.568917968930085</v>
      </c>
      <c r="P97" s="239">
        <f t="shared" si="37"/>
        <v>16.150500761388386</v>
      </c>
      <c r="Q97" s="239">
        <f t="shared" si="37"/>
        <v>20.483490260239858</v>
      </c>
      <c r="R97" s="239">
        <f t="shared" si="37"/>
        <v>25.631750033278923</v>
      </c>
      <c r="S97" s="239">
        <f t="shared" si="37"/>
        <v>31.65701869827797</v>
      </c>
      <c r="T97" s="239">
        <f t="shared" si="37"/>
        <v>38.616626728966445</v>
      </c>
      <c r="U97" s="239">
        <f t="shared" si="37"/>
        <v>46.560624976203265</v>
      </c>
      <c r="V97" s="239">
        <f t="shared" si="37"/>
        <v>55.52821969394978</v>
      </c>
      <c r="W97" s="239">
        <f t="shared" si="37"/>
        <v>65.54339723244154</v>
      </c>
      <c r="X97" s="239">
        <f t="shared" si="37"/>
        <v>76.60961058544632</v>
      </c>
      <c r="Y97" s="239">
        <f t="shared" si="37"/>
        <v>88.6258224395124</v>
      </c>
      <c r="Z97" s="239">
        <f t="shared" si="37"/>
        <v>101.66323958283809</v>
      </c>
      <c r="AA97" s="239">
        <f t="shared" si="37"/>
        <v>115.68196175815878</v>
      </c>
      <c r="AB97" s="239">
        <f t="shared" si="37"/>
        <v>130.6089018278895</v>
      </c>
      <c r="AC97" s="239">
        <f t="shared" si="37"/>
        <v>146.3302705464776</v>
      </c>
      <c r="AD97" s="239">
        <f t="shared" si="37"/>
        <v>162.6829527303505</v>
      </c>
      <c r="AE97" s="239">
        <f t="shared" si="37"/>
        <v>179.44469441865698</v>
      </c>
      <c r="AF97" s="239">
        <f t="shared" si="37"/>
        <v>196.32303558732235</v>
      </c>
      <c r="AG97" s="239">
        <f t="shared" si="37"/>
        <v>212.94294559542962</v>
      </c>
      <c r="AH97" s="239">
        <f t="shared" si="37"/>
        <v>228.83315048109085</v>
      </c>
      <c r="AI97" s="22"/>
    </row>
    <row r="98" spans="3:35" ht="12.75">
      <c r="C98" s="322"/>
      <c r="D98" s="323"/>
      <c r="E98" s="324" t="s">
        <v>182</v>
      </c>
      <c r="F98" s="240" t="s">
        <v>61</v>
      </c>
      <c r="G98" s="240"/>
      <c r="H98" s="243"/>
      <c r="I98" s="239">
        <f aca="true" t="shared" si="38" ref="I98:AH98">I97-I53</f>
        <v>-8.6</v>
      </c>
      <c r="J98" s="239">
        <f t="shared" si="38"/>
        <v>-21.8</v>
      </c>
      <c r="K98" s="239">
        <f t="shared" si="38"/>
        <v>-20.6</v>
      </c>
      <c r="L98" s="239">
        <f t="shared" si="38"/>
        <v>-7.432493711758564</v>
      </c>
      <c r="M98" s="239">
        <f t="shared" si="38"/>
        <v>-0.3085999176943286</v>
      </c>
      <c r="N98" s="239">
        <f t="shared" si="38"/>
        <v>2.7079715949225207</v>
      </c>
      <c r="O98" s="239">
        <f t="shared" si="38"/>
        <v>4.1219916508992185</v>
      </c>
      <c r="P98" s="239">
        <f t="shared" si="38"/>
        <v>6.007237411102196</v>
      </c>
      <c r="Q98" s="239">
        <f t="shared" si="38"/>
        <v>8.512836806396987</v>
      </c>
      <c r="R98" s="239">
        <f t="shared" si="38"/>
        <v>11.693011887185772</v>
      </c>
      <c r="S98" s="239">
        <f t="shared" si="38"/>
        <v>15.59915107457278</v>
      </c>
      <c r="T98" s="239">
        <f t="shared" si="38"/>
        <v>20.277473378173664</v>
      </c>
      <c r="U98" s="239">
        <f t="shared" si="38"/>
        <v>25.76610038592375</v>
      </c>
      <c r="V98" s="239">
        <f t="shared" si="38"/>
        <v>32.09143051715659</v>
      </c>
      <c r="W98" s="239">
        <f t="shared" si="38"/>
        <v>39.2636983802812</v>
      </c>
      <c r="X98" s="239">
        <f t="shared" si="38"/>
        <v>47.27159107639763</v>
      </c>
      <c r="Y98" s="239">
        <f t="shared" si="38"/>
        <v>56.70935830486664</v>
      </c>
      <c r="Z98" s="239">
        <f t="shared" si="38"/>
        <v>66.78360731175358</v>
      </c>
      <c r="AA98" s="239">
        <f t="shared" si="38"/>
        <v>77.64685103901863</v>
      </c>
      <c r="AB98" s="239">
        <f t="shared" si="38"/>
        <v>89.21375388782347</v>
      </c>
      <c r="AC98" s="239">
        <f t="shared" si="38"/>
        <v>101.35749240278827</v>
      </c>
      <c r="AD98" s="239">
        <f t="shared" si="38"/>
        <v>113.9010803979314</v>
      </c>
      <c r="AE98" s="239">
        <f t="shared" si="38"/>
        <v>126.60750171712311</v>
      </c>
      <c r="AF98" s="239">
        <f t="shared" si="38"/>
        <v>139.16858496860766</v>
      </c>
      <c r="AG98" s="239">
        <f t="shared" si="38"/>
        <v>151.1925771746995</v>
      </c>
      <c r="AH98" s="239">
        <f t="shared" si="38"/>
        <v>162.19040519996616</v>
      </c>
      <c r="AI98" s="22"/>
    </row>
    <row r="99" spans="3:35" ht="12.75">
      <c r="C99" s="37"/>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2"/>
    </row>
    <row r="100" spans="3:35" ht="12.75">
      <c r="C100" s="38"/>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39"/>
    </row>
    <row r="101" ht="13.5" thickBot="1"/>
    <row r="102" spans="3:35" ht="12.75">
      <c r="C102" s="328"/>
      <c r="D102" s="326" t="s">
        <v>154</v>
      </c>
      <c r="E102" s="329"/>
      <c r="F102" s="329"/>
      <c r="G102" s="329"/>
      <c r="H102" s="329"/>
      <c r="I102" s="330"/>
      <c r="J102" s="329"/>
      <c r="K102" s="329"/>
      <c r="L102" s="329"/>
      <c r="M102" s="329"/>
      <c r="N102" s="329"/>
      <c r="O102" s="329"/>
      <c r="P102" s="329"/>
      <c r="Q102" s="329"/>
      <c r="R102" s="331"/>
      <c r="S102" s="329"/>
      <c r="T102" s="329"/>
      <c r="U102" s="329"/>
      <c r="V102" s="329"/>
      <c r="W102" s="329"/>
      <c r="X102" s="329"/>
      <c r="Y102" s="329"/>
      <c r="Z102" s="329"/>
      <c r="AA102" s="329"/>
      <c r="AB102" s="329"/>
      <c r="AC102" s="329"/>
      <c r="AD102" s="329"/>
      <c r="AE102" s="329"/>
      <c r="AF102" s="329"/>
      <c r="AG102" s="329"/>
      <c r="AH102" s="329"/>
      <c r="AI102" s="332"/>
    </row>
    <row r="103" spans="3:35" ht="12.75">
      <c r="C103" s="333"/>
      <c r="D103" s="30"/>
      <c r="E103" s="30"/>
      <c r="F103" s="30"/>
      <c r="G103" s="30"/>
      <c r="H103" s="30"/>
      <c r="I103" s="334"/>
      <c r="J103" s="30"/>
      <c r="K103" s="30"/>
      <c r="L103" s="30"/>
      <c r="M103" s="30"/>
      <c r="N103" s="30"/>
      <c r="O103" s="30"/>
      <c r="P103" s="30"/>
      <c r="Q103" s="30"/>
      <c r="R103" s="335"/>
      <c r="S103" s="30"/>
      <c r="T103" s="30"/>
      <c r="U103" s="30"/>
      <c r="V103" s="30"/>
      <c r="W103" s="30"/>
      <c r="X103" s="30"/>
      <c r="Y103" s="30"/>
      <c r="Z103" s="30"/>
      <c r="AA103" s="30"/>
      <c r="AB103" s="30"/>
      <c r="AC103" s="30"/>
      <c r="AD103" s="30"/>
      <c r="AE103" s="30"/>
      <c r="AF103" s="30"/>
      <c r="AG103" s="30"/>
      <c r="AH103" s="30"/>
      <c r="AI103" s="336"/>
    </row>
    <row r="104" spans="3:35" ht="12.75">
      <c r="C104" s="333"/>
      <c r="D104" s="30"/>
      <c r="E104" s="49" t="s">
        <v>155</v>
      </c>
      <c r="F104" s="30" t="s">
        <v>61</v>
      </c>
      <c r="G104" s="30"/>
      <c r="H104" s="30"/>
      <c r="I104" s="337">
        <f>I97*0.9</f>
        <v>0</v>
      </c>
      <c r="J104" s="337">
        <f aca="true" t="shared" si="39" ref="J104:AB104">J97*0.9</f>
        <v>0</v>
      </c>
      <c r="K104" s="337">
        <f t="shared" si="39"/>
        <v>0</v>
      </c>
      <c r="L104" s="337">
        <f t="shared" si="39"/>
        <v>5.201880657853919</v>
      </c>
      <c r="M104" s="337">
        <f t="shared" si="39"/>
        <v>6.655323444636838</v>
      </c>
      <c r="N104" s="337">
        <f t="shared" si="39"/>
        <v>8.707087637662209</v>
      </c>
      <c r="O104" s="337">
        <f t="shared" si="39"/>
        <v>11.312026172037077</v>
      </c>
      <c r="P104" s="337">
        <f t="shared" si="39"/>
        <v>14.535450685249549</v>
      </c>
      <c r="Q104" s="337">
        <f t="shared" si="39"/>
        <v>18.435141234215873</v>
      </c>
      <c r="R104" s="337">
        <f t="shared" si="39"/>
        <v>23.06857502995103</v>
      </c>
      <c r="S104" s="337">
        <f t="shared" si="39"/>
        <v>28.491316828450174</v>
      </c>
      <c r="T104" s="337">
        <f t="shared" si="39"/>
        <v>34.7549640560698</v>
      </c>
      <c r="U104" s="337">
        <f t="shared" si="39"/>
        <v>41.90456247858294</v>
      </c>
      <c r="V104" s="337">
        <f t="shared" si="39"/>
        <v>49.9753977245548</v>
      </c>
      <c r="W104" s="337">
        <f t="shared" si="39"/>
        <v>58.98905750919738</v>
      </c>
      <c r="X104" s="337">
        <f t="shared" si="39"/>
        <v>68.94864952690169</v>
      </c>
      <c r="Y104" s="337">
        <f t="shared" si="39"/>
        <v>79.76324019556117</v>
      </c>
      <c r="Z104" s="337">
        <f t="shared" si="39"/>
        <v>91.49691562455428</v>
      </c>
      <c r="AA104" s="337">
        <f t="shared" si="39"/>
        <v>104.11376558234291</v>
      </c>
      <c r="AB104" s="337">
        <f t="shared" si="39"/>
        <v>117.54801164510054</v>
      </c>
      <c r="AC104" s="337">
        <f aca="true" t="shared" si="40" ref="AC104:AH104">AC97*0.9</f>
        <v>131.69724349182985</v>
      </c>
      <c r="AD104" s="337">
        <f t="shared" si="40"/>
        <v>146.41465745731546</v>
      </c>
      <c r="AE104" s="337">
        <f t="shared" si="40"/>
        <v>161.5002249767913</v>
      </c>
      <c r="AF104" s="337">
        <f t="shared" si="40"/>
        <v>176.69073202859013</v>
      </c>
      <c r="AG104" s="337">
        <f t="shared" si="40"/>
        <v>191.64865103588667</v>
      </c>
      <c r="AH104" s="337">
        <f t="shared" si="40"/>
        <v>205.94983543298179</v>
      </c>
      <c r="AI104" s="336"/>
    </row>
    <row r="105" spans="3:35" ht="12.75">
      <c r="C105" s="333"/>
      <c r="D105" s="30"/>
      <c r="E105" s="49" t="s">
        <v>156</v>
      </c>
      <c r="F105" s="30" t="s">
        <v>61</v>
      </c>
      <c r="G105" s="30"/>
      <c r="H105" s="30"/>
      <c r="I105" s="338">
        <f aca="true" t="shared" si="41" ref="I105:AH105">I104-I53</f>
        <v>-8.6</v>
      </c>
      <c r="J105" s="338">
        <f t="shared" si="41"/>
        <v>-21.8</v>
      </c>
      <c r="K105" s="338">
        <f t="shared" si="41"/>
        <v>-20.6</v>
      </c>
      <c r="L105" s="338">
        <f t="shared" si="41"/>
        <v>-8.01048045152011</v>
      </c>
      <c r="M105" s="338">
        <f t="shared" si="41"/>
        <v>-1.0480803004317547</v>
      </c>
      <c r="N105" s="338">
        <f t="shared" si="41"/>
        <v>1.7405174129600525</v>
      </c>
      <c r="O105" s="338">
        <f t="shared" si="41"/>
        <v>2.8650998540062105</v>
      </c>
      <c r="P105" s="338">
        <f t="shared" si="41"/>
        <v>4.392187334963358</v>
      </c>
      <c r="Q105" s="338">
        <f t="shared" si="41"/>
        <v>6.464487780373002</v>
      </c>
      <c r="R105" s="338">
        <f t="shared" si="41"/>
        <v>9.12983688385788</v>
      </c>
      <c r="S105" s="338">
        <f t="shared" si="41"/>
        <v>12.433449204744985</v>
      </c>
      <c r="T105" s="338">
        <f t="shared" si="41"/>
        <v>16.41581070527702</v>
      </c>
      <c r="U105" s="338">
        <f t="shared" si="41"/>
        <v>21.110037888303424</v>
      </c>
      <c r="V105" s="338">
        <f t="shared" si="41"/>
        <v>26.538608547761612</v>
      </c>
      <c r="W105" s="338">
        <f t="shared" si="41"/>
        <v>32.70935865703704</v>
      </c>
      <c r="X105" s="338">
        <f t="shared" si="41"/>
        <v>39.610630017853</v>
      </c>
      <c r="Y105" s="338">
        <f t="shared" si="41"/>
        <v>47.8467760609154</v>
      </c>
      <c r="Z105" s="338">
        <f t="shared" si="41"/>
        <v>56.61728335346977</v>
      </c>
      <c r="AA105" s="338">
        <f t="shared" si="41"/>
        <v>66.07865486320276</v>
      </c>
      <c r="AB105" s="338">
        <f t="shared" si="41"/>
        <v>76.15286370503452</v>
      </c>
      <c r="AC105" s="338">
        <f t="shared" si="41"/>
        <v>86.72446534814051</v>
      </c>
      <c r="AD105" s="338">
        <f t="shared" si="41"/>
        <v>97.63278512489634</v>
      </c>
      <c r="AE105" s="338">
        <f t="shared" si="41"/>
        <v>108.66303227525742</v>
      </c>
      <c r="AF105" s="338">
        <f t="shared" si="41"/>
        <v>119.53628140987543</v>
      </c>
      <c r="AG105" s="338">
        <f t="shared" si="41"/>
        <v>129.89828261515655</v>
      </c>
      <c r="AH105" s="338">
        <f t="shared" si="41"/>
        <v>139.3070901518571</v>
      </c>
      <c r="AI105" s="336"/>
    </row>
    <row r="106" spans="3:35" ht="13.5" thickBot="1">
      <c r="C106" s="340"/>
      <c r="D106" s="341"/>
      <c r="E106" s="341"/>
      <c r="F106" s="341"/>
      <c r="G106" s="341"/>
      <c r="H106" s="341"/>
      <c r="I106" s="341"/>
      <c r="J106" s="341"/>
      <c r="K106" s="341"/>
      <c r="L106" s="341"/>
      <c r="M106" s="341"/>
      <c r="N106" s="341"/>
      <c r="O106" s="341"/>
      <c r="P106" s="341"/>
      <c r="Q106" s="341"/>
      <c r="R106" s="342"/>
      <c r="S106" s="341"/>
      <c r="T106" s="341"/>
      <c r="U106" s="341"/>
      <c r="V106" s="341"/>
      <c r="W106" s="341"/>
      <c r="X106" s="341"/>
      <c r="Y106" s="341"/>
      <c r="Z106" s="341"/>
      <c r="AA106" s="341"/>
      <c r="AB106" s="341"/>
      <c r="AC106" s="341"/>
      <c r="AD106" s="341"/>
      <c r="AE106" s="341"/>
      <c r="AF106" s="341"/>
      <c r="AG106" s="341"/>
      <c r="AH106" s="341"/>
      <c r="AI106" s="343"/>
    </row>
    <row r="107" spans="6:34" ht="13.5" thickBot="1">
      <c r="F107" s="5"/>
      <c r="G107" s="5"/>
      <c r="H107" s="5"/>
      <c r="I107" s="5"/>
      <c r="J107" s="5"/>
      <c r="K107" s="5"/>
      <c r="L107" s="5"/>
      <c r="M107" s="5"/>
      <c r="N107" s="5"/>
      <c r="O107" s="5"/>
      <c r="P107" s="5"/>
      <c r="Q107" s="5"/>
      <c r="R107" s="96"/>
      <c r="S107" s="5"/>
      <c r="T107" s="5"/>
      <c r="U107" s="5"/>
      <c r="V107" s="5"/>
      <c r="W107" s="5"/>
      <c r="X107" s="5"/>
      <c r="Y107" s="5"/>
      <c r="Z107" s="5"/>
      <c r="AA107" s="5"/>
      <c r="AB107" s="5"/>
      <c r="AC107" s="5"/>
      <c r="AD107" s="5"/>
      <c r="AE107" s="5"/>
      <c r="AF107" s="5"/>
      <c r="AG107" s="5"/>
      <c r="AH107" s="5"/>
    </row>
    <row r="108" spans="3:35" ht="12.75">
      <c r="C108" s="328"/>
      <c r="D108" s="326" t="s">
        <v>157</v>
      </c>
      <c r="E108" s="329"/>
      <c r="F108" s="329"/>
      <c r="G108" s="329"/>
      <c r="H108" s="329"/>
      <c r="I108" s="329"/>
      <c r="J108" s="329"/>
      <c r="K108" s="329"/>
      <c r="L108" s="329"/>
      <c r="M108" s="329"/>
      <c r="N108" s="329"/>
      <c r="O108" s="329"/>
      <c r="P108" s="329"/>
      <c r="Q108" s="329"/>
      <c r="R108" s="331"/>
      <c r="S108" s="329"/>
      <c r="T108" s="329"/>
      <c r="U108" s="329"/>
      <c r="V108" s="329"/>
      <c r="W108" s="329"/>
      <c r="X108" s="329"/>
      <c r="Y108" s="329"/>
      <c r="Z108" s="329"/>
      <c r="AA108" s="329"/>
      <c r="AB108" s="329"/>
      <c r="AC108" s="329"/>
      <c r="AD108" s="329"/>
      <c r="AE108" s="329"/>
      <c r="AF108" s="329"/>
      <c r="AG108" s="329"/>
      <c r="AH108" s="329"/>
      <c r="AI108" s="332"/>
    </row>
    <row r="109" spans="3:35" ht="12.75">
      <c r="C109" s="333"/>
      <c r="D109" s="30"/>
      <c r="E109" s="30"/>
      <c r="F109" s="30"/>
      <c r="G109" s="30"/>
      <c r="H109" s="30"/>
      <c r="I109" s="30"/>
      <c r="J109" s="30"/>
      <c r="K109" s="30"/>
      <c r="L109" s="30"/>
      <c r="M109" s="30"/>
      <c r="N109" s="30"/>
      <c r="O109" s="30"/>
      <c r="P109" s="30"/>
      <c r="Q109" s="30"/>
      <c r="R109" s="335"/>
      <c r="S109" s="30"/>
      <c r="T109" s="30"/>
      <c r="U109" s="30"/>
      <c r="V109" s="30"/>
      <c r="W109" s="30"/>
      <c r="X109" s="30"/>
      <c r="Y109" s="30"/>
      <c r="Z109" s="30"/>
      <c r="AA109" s="30"/>
      <c r="AB109" s="30"/>
      <c r="AC109" s="30"/>
      <c r="AD109" s="30"/>
      <c r="AE109" s="30"/>
      <c r="AF109" s="30"/>
      <c r="AG109" s="30"/>
      <c r="AH109" s="30"/>
      <c r="AI109" s="336"/>
    </row>
    <row r="110" spans="3:35" ht="12.75">
      <c r="C110" s="333"/>
      <c r="D110" s="30"/>
      <c r="E110" s="49" t="s">
        <v>158</v>
      </c>
      <c r="F110" s="30" t="s">
        <v>61</v>
      </c>
      <c r="G110" s="30"/>
      <c r="H110" s="30"/>
      <c r="I110" s="338">
        <f>I53*1.2</f>
        <v>10.319999999999999</v>
      </c>
      <c r="J110" s="338">
        <f aca="true" t="shared" si="42" ref="J110:AB110">J53*1.2</f>
        <v>26.16</v>
      </c>
      <c r="K110" s="338">
        <f t="shared" si="42"/>
        <v>24.720000000000002</v>
      </c>
      <c r="L110" s="338">
        <f t="shared" si="42"/>
        <v>15.854833331248834</v>
      </c>
      <c r="M110" s="338">
        <f t="shared" si="42"/>
        <v>9.24408449408231</v>
      </c>
      <c r="N110" s="338">
        <f t="shared" si="42"/>
        <v>8.359884269642587</v>
      </c>
      <c r="O110" s="338">
        <f t="shared" si="42"/>
        <v>10.13631158163704</v>
      </c>
      <c r="P110" s="338">
        <f t="shared" si="42"/>
        <v>12.171916020343428</v>
      </c>
      <c r="Q110" s="338">
        <f t="shared" si="42"/>
        <v>14.364784144611445</v>
      </c>
      <c r="R110" s="338">
        <f t="shared" si="42"/>
        <v>16.72648577531178</v>
      </c>
      <c r="S110" s="338">
        <f t="shared" si="42"/>
        <v>19.269441148446226</v>
      </c>
      <c r="T110" s="338">
        <f t="shared" si="42"/>
        <v>22.006984020951336</v>
      </c>
      <c r="U110" s="338">
        <f t="shared" si="42"/>
        <v>24.953429508335418</v>
      </c>
      <c r="V110" s="338">
        <f t="shared" si="42"/>
        <v>28.124147012151827</v>
      </c>
      <c r="W110" s="338">
        <f t="shared" si="42"/>
        <v>31.5356386225924</v>
      </c>
      <c r="X110" s="338">
        <f t="shared" si="42"/>
        <v>35.20562341085843</v>
      </c>
      <c r="Y110" s="338">
        <f t="shared" si="42"/>
        <v>38.299756961574914</v>
      </c>
      <c r="Z110" s="338">
        <f t="shared" si="42"/>
        <v>41.8555587253014</v>
      </c>
      <c r="AA110" s="338">
        <f t="shared" si="42"/>
        <v>45.642132862968175</v>
      </c>
      <c r="AB110" s="338">
        <f t="shared" si="42"/>
        <v>49.67417752807923</v>
      </c>
      <c r="AC110" s="338">
        <f aca="true" t="shared" si="43" ref="AC110:AH110">AC53*1.2</f>
        <v>53.9673337724272</v>
      </c>
      <c r="AD110" s="338">
        <f t="shared" si="43"/>
        <v>58.53824679890294</v>
      </c>
      <c r="AE110" s="338">
        <f t="shared" si="43"/>
        <v>63.40463124184063</v>
      </c>
      <c r="AF110" s="338">
        <f t="shared" si="43"/>
        <v>68.58534074245765</v>
      </c>
      <c r="AG110" s="338">
        <f t="shared" si="43"/>
        <v>74.10044210487615</v>
      </c>
      <c r="AH110" s="338">
        <f t="shared" si="43"/>
        <v>79.97129433734962</v>
      </c>
      <c r="AI110" s="336"/>
    </row>
    <row r="111" spans="3:35" ht="12.75">
      <c r="C111" s="333"/>
      <c r="D111" s="30"/>
      <c r="E111" s="49" t="s">
        <v>155</v>
      </c>
      <c r="F111" s="30" t="s">
        <v>61</v>
      </c>
      <c r="G111" s="30"/>
      <c r="H111" s="30"/>
      <c r="I111" s="338">
        <f>I97</f>
        <v>0</v>
      </c>
      <c r="J111" s="338">
        <f aca="true" t="shared" si="44" ref="J111:AB111">J97</f>
        <v>0</v>
      </c>
      <c r="K111" s="338">
        <f t="shared" si="44"/>
        <v>0</v>
      </c>
      <c r="L111" s="338">
        <f t="shared" si="44"/>
        <v>5.779867397615465</v>
      </c>
      <c r="M111" s="338">
        <f t="shared" si="44"/>
        <v>7.394803827374264</v>
      </c>
      <c r="N111" s="338">
        <f t="shared" si="44"/>
        <v>9.674541819624677</v>
      </c>
      <c r="O111" s="338">
        <f t="shared" si="44"/>
        <v>12.568917968930085</v>
      </c>
      <c r="P111" s="338">
        <f t="shared" si="44"/>
        <v>16.150500761388386</v>
      </c>
      <c r="Q111" s="338">
        <f t="shared" si="44"/>
        <v>20.483490260239858</v>
      </c>
      <c r="R111" s="338">
        <f t="shared" si="44"/>
        <v>25.631750033278923</v>
      </c>
      <c r="S111" s="338">
        <f t="shared" si="44"/>
        <v>31.65701869827797</v>
      </c>
      <c r="T111" s="338">
        <f t="shared" si="44"/>
        <v>38.616626728966445</v>
      </c>
      <c r="U111" s="338">
        <f t="shared" si="44"/>
        <v>46.560624976203265</v>
      </c>
      <c r="V111" s="338">
        <f t="shared" si="44"/>
        <v>55.52821969394978</v>
      </c>
      <c r="W111" s="338">
        <f t="shared" si="44"/>
        <v>65.54339723244154</v>
      </c>
      <c r="X111" s="338">
        <f t="shared" si="44"/>
        <v>76.60961058544632</v>
      </c>
      <c r="Y111" s="338">
        <f t="shared" si="44"/>
        <v>88.6258224395124</v>
      </c>
      <c r="Z111" s="338">
        <f t="shared" si="44"/>
        <v>101.66323958283809</v>
      </c>
      <c r="AA111" s="338">
        <f t="shared" si="44"/>
        <v>115.68196175815878</v>
      </c>
      <c r="AB111" s="338">
        <f t="shared" si="44"/>
        <v>130.6089018278895</v>
      </c>
      <c r="AC111" s="338">
        <f aca="true" t="shared" si="45" ref="AC111:AH111">AC97</f>
        <v>146.3302705464776</v>
      </c>
      <c r="AD111" s="338">
        <f t="shared" si="45"/>
        <v>162.6829527303505</v>
      </c>
      <c r="AE111" s="338">
        <f t="shared" si="45"/>
        <v>179.44469441865698</v>
      </c>
      <c r="AF111" s="338">
        <f t="shared" si="45"/>
        <v>196.32303558732235</v>
      </c>
      <c r="AG111" s="338">
        <f t="shared" si="45"/>
        <v>212.94294559542962</v>
      </c>
      <c r="AH111" s="338">
        <f t="shared" si="45"/>
        <v>228.83315048109085</v>
      </c>
      <c r="AI111" s="336"/>
    </row>
    <row r="112" spans="3:35" ht="12.75">
      <c r="C112" s="333"/>
      <c r="D112" s="30"/>
      <c r="E112" s="49" t="s">
        <v>156</v>
      </c>
      <c r="F112" s="30" t="s">
        <v>61</v>
      </c>
      <c r="G112" s="30"/>
      <c r="H112" s="30"/>
      <c r="I112" s="338">
        <f>I111-I110</f>
        <v>-10.319999999999999</v>
      </c>
      <c r="J112" s="338">
        <f aca="true" t="shared" si="46" ref="J112:AB112">J111-J110</f>
        <v>-26.16</v>
      </c>
      <c r="K112" s="338">
        <f t="shared" si="46"/>
        <v>-24.720000000000002</v>
      </c>
      <c r="L112" s="338">
        <f t="shared" si="46"/>
        <v>-10.074965933633369</v>
      </c>
      <c r="M112" s="338">
        <f t="shared" si="46"/>
        <v>-1.8492806667080464</v>
      </c>
      <c r="N112" s="338">
        <f t="shared" si="46"/>
        <v>1.3146575499820905</v>
      </c>
      <c r="O112" s="338">
        <f t="shared" si="46"/>
        <v>2.4326063872930455</v>
      </c>
      <c r="P112" s="338">
        <f t="shared" si="46"/>
        <v>3.9785847410449584</v>
      </c>
      <c r="Q112" s="338">
        <f t="shared" si="46"/>
        <v>6.118706115628413</v>
      </c>
      <c r="R112" s="339">
        <f t="shared" si="46"/>
        <v>8.905264257967143</v>
      </c>
      <c r="S112" s="338">
        <f t="shared" si="46"/>
        <v>12.387577549831743</v>
      </c>
      <c r="T112" s="338">
        <f t="shared" si="46"/>
        <v>16.60964270801511</v>
      </c>
      <c r="U112" s="338">
        <f t="shared" si="46"/>
        <v>21.607195467867847</v>
      </c>
      <c r="V112" s="338">
        <f t="shared" si="46"/>
        <v>27.404072681797953</v>
      </c>
      <c r="W112" s="338">
        <f t="shared" si="46"/>
        <v>34.007758609849134</v>
      </c>
      <c r="X112" s="338">
        <f t="shared" si="46"/>
        <v>41.40398717458789</v>
      </c>
      <c r="Y112" s="338">
        <f t="shared" si="46"/>
        <v>50.32606547793749</v>
      </c>
      <c r="Z112" s="338">
        <f t="shared" si="46"/>
        <v>59.80768085753669</v>
      </c>
      <c r="AA112" s="338">
        <f t="shared" si="46"/>
        <v>70.0398288951906</v>
      </c>
      <c r="AB112" s="338">
        <f t="shared" si="46"/>
        <v>80.93472429981027</v>
      </c>
      <c r="AC112" s="338">
        <f aca="true" t="shared" si="47" ref="AC112:AH112">AC111-AC110</f>
        <v>92.36293677405041</v>
      </c>
      <c r="AD112" s="338">
        <f t="shared" si="47"/>
        <v>104.14470593144756</v>
      </c>
      <c r="AE112" s="338">
        <f t="shared" si="47"/>
        <v>116.04006317681635</v>
      </c>
      <c r="AF112" s="338">
        <f t="shared" si="47"/>
        <v>127.7376948448647</v>
      </c>
      <c r="AG112" s="338">
        <f t="shared" si="47"/>
        <v>138.84250349055347</v>
      </c>
      <c r="AH112" s="338">
        <f t="shared" si="47"/>
        <v>148.86185614374125</v>
      </c>
      <c r="AI112" s="336"/>
    </row>
    <row r="113" spans="3:35" ht="13.5" thickBot="1">
      <c r="C113" s="340"/>
      <c r="D113" s="341"/>
      <c r="E113" s="341"/>
      <c r="F113" s="341"/>
      <c r="G113" s="341"/>
      <c r="H113" s="341"/>
      <c r="I113" s="341"/>
      <c r="J113" s="341"/>
      <c r="K113" s="341"/>
      <c r="L113" s="341"/>
      <c r="M113" s="341"/>
      <c r="N113" s="341"/>
      <c r="O113" s="341"/>
      <c r="P113" s="341"/>
      <c r="Q113" s="341"/>
      <c r="R113" s="342"/>
      <c r="S113" s="341"/>
      <c r="T113" s="341"/>
      <c r="U113" s="341"/>
      <c r="V113" s="341"/>
      <c r="W113" s="341"/>
      <c r="X113" s="341"/>
      <c r="Y113" s="341"/>
      <c r="Z113" s="341"/>
      <c r="AA113" s="341"/>
      <c r="AB113" s="341"/>
      <c r="AC113" s="341"/>
      <c r="AD113" s="341"/>
      <c r="AE113" s="341"/>
      <c r="AF113" s="341"/>
      <c r="AG113" s="341"/>
      <c r="AH113" s="341"/>
      <c r="AI113" s="343"/>
    </row>
    <row r="114" spans="3:34" ht="13.5" thickBot="1">
      <c r="C114" s="5"/>
      <c r="D114" s="5"/>
      <c r="E114" s="5"/>
      <c r="I114" s="5"/>
      <c r="J114" s="5"/>
      <c r="K114" s="5"/>
      <c r="L114" s="5"/>
      <c r="M114" s="5"/>
      <c r="N114" s="5"/>
      <c r="O114" s="5"/>
      <c r="P114" s="5"/>
      <c r="Q114" s="5"/>
      <c r="R114" s="96"/>
      <c r="S114" s="5"/>
      <c r="T114" s="5"/>
      <c r="U114" s="5"/>
      <c r="V114" s="5"/>
      <c r="W114" s="5"/>
      <c r="X114" s="5"/>
      <c r="Y114" s="5"/>
      <c r="Z114" s="5"/>
      <c r="AA114" s="5"/>
      <c r="AB114" s="5"/>
      <c r="AC114" s="5"/>
      <c r="AD114" s="5"/>
      <c r="AE114" s="5"/>
      <c r="AF114" s="5"/>
      <c r="AG114" s="5"/>
      <c r="AH114" s="5"/>
    </row>
    <row r="115" spans="3:35" ht="12.75">
      <c r="C115" s="328"/>
      <c r="D115" s="326" t="s">
        <v>159</v>
      </c>
      <c r="E115" s="329"/>
      <c r="F115" s="329"/>
      <c r="G115" s="329"/>
      <c r="H115" s="329"/>
      <c r="I115" s="329"/>
      <c r="J115" s="329"/>
      <c r="K115" s="329"/>
      <c r="L115" s="329"/>
      <c r="M115" s="329"/>
      <c r="N115" s="329"/>
      <c r="O115" s="329"/>
      <c r="P115" s="329"/>
      <c r="Q115" s="329"/>
      <c r="R115" s="331"/>
      <c r="S115" s="329"/>
      <c r="T115" s="329"/>
      <c r="U115" s="329"/>
      <c r="V115" s="329"/>
      <c r="W115" s="329"/>
      <c r="X115" s="329"/>
      <c r="Y115" s="329"/>
      <c r="Z115" s="329"/>
      <c r="AA115" s="329"/>
      <c r="AB115" s="329"/>
      <c r="AC115" s="329"/>
      <c r="AD115" s="329"/>
      <c r="AE115" s="329"/>
      <c r="AF115" s="329"/>
      <c r="AG115" s="329"/>
      <c r="AH115" s="329"/>
      <c r="AI115" s="332"/>
    </row>
    <row r="116" spans="3:35" ht="12.75">
      <c r="C116" s="333"/>
      <c r="D116" s="30"/>
      <c r="E116" s="30"/>
      <c r="F116" s="30"/>
      <c r="G116" s="30"/>
      <c r="H116" s="30"/>
      <c r="I116" s="30"/>
      <c r="J116" s="30"/>
      <c r="K116" s="30"/>
      <c r="L116" s="30"/>
      <c r="M116" s="30"/>
      <c r="N116" s="30"/>
      <c r="O116" s="30"/>
      <c r="P116" s="30"/>
      <c r="Q116" s="30"/>
      <c r="R116" s="335"/>
      <c r="S116" s="30"/>
      <c r="T116" s="30"/>
      <c r="U116" s="30"/>
      <c r="V116" s="30"/>
      <c r="W116" s="30"/>
      <c r="X116" s="30"/>
      <c r="Y116" s="30"/>
      <c r="Z116" s="30"/>
      <c r="AA116" s="30"/>
      <c r="AB116" s="30"/>
      <c r="AC116" s="30"/>
      <c r="AD116" s="30"/>
      <c r="AE116" s="30"/>
      <c r="AF116" s="30"/>
      <c r="AG116" s="30"/>
      <c r="AH116" s="30"/>
      <c r="AI116" s="336"/>
    </row>
    <row r="117" spans="3:35" ht="12.75">
      <c r="C117" s="333"/>
      <c r="D117" s="30"/>
      <c r="E117" s="49" t="s">
        <v>155</v>
      </c>
      <c r="F117" s="30" t="s">
        <v>61</v>
      </c>
      <c r="G117" s="30"/>
      <c r="H117" s="30"/>
      <c r="I117" s="338">
        <f>I97</f>
        <v>0</v>
      </c>
      <c r="J117" s="338">
        <f>I97</f>
        <v>0</v>
      </c>
      <c r="K117" s="338">
        <f aca="true" t="shared" si="48" ref="K117:AB117">J97</f>
        <v>0</v>
      </c>
      <c r="L117" s="338">
        <f t="shared" si="48"/>
        <v>0</v>
      </c>
      <c r="M117" s="338">
        <f t="shared" si="48"/>
        <v>5.779867397615465</v>
      </c>
      <c r="N117" s="338">
        <f t="shared" si="48"/>
        <v>7.394803827374264</v>
      </c>
      <c r="O117" s="338">
        <f t="shared" si="48"/>
        <v>9.674541819624677</v>
      </c>
      <c r="P117" s="338">
        <f t="shared" si="48"/>
        <v>12.568917968930085</v>
      </c>
      <c r="Q117" s="338">
        <f t="shared" si="48"/>
        <v>16.150500761388386</v>
      </c>
      <c r="R117" s="338">
        <f t="shared" si="48"/>
        <v>20.483490260239858</v>
      </c>
      <c r="S117" s="338">
        <f t="shared" si="48"/>
        <v>25.631750033278923</v>
      </c>
      <c r="T117" s="338">
        <f t="shared" si="48"/>
        <v>31.65701869827797</v>
      </c>
      <c r="U117" s="338">
        <f t="shared" si="48"/>
        <v>38.616626728966445</v>
      </c>
      <c r="V117" s="338">
        <f t="shared" si="48"/>
        <v>46.560624976203265</v>
      </c>
      <c r="W117" s="338">
        <f t="shared" si="48"/>
        <v>55.52821969394978</v>
      </c>
      <c r="X117" s="338">
        <f t="shared" si="48"/>
        <v>65.54339723244154</v>
      </c>
      <c r="Y117" s="338">
        <f t="shared" si="48"/>
        <v>76.60961058544632</v>
      </c>
      <c r="Z117" s="338">
        <f t="shared" si="48"/>
        <v>88.6258224395124</v>
      </c>
      <c r="AA117" s="338">
        <f t="shared" si="48"/>
        <v>101.66323958283809</v>
      </c>
      <c r="AB117" s="338">
        <f t="shared" si="48"/>
        <v>115.68196175815878</v>
      </c>
      <c r="AC117" s="338">
        <f aca="true" t="shared" si="49" ref="AC117:AH117">AB97</f>
        <v>130.6089018278895</v>
      </c>
      <c r="AD117" s="338">
        <f t="shared" si="49"/>
        <v>146.3302705464776</v>
      </c>
      <c r="AE117" s="338">
        <f t="shared" si="49"/>
        <v>162.6829527303505</v>
      </c>
      <c r="AF117" s="338">
        <f t="shared" si="49"/>
        <v>179.44469441865698</v>
      </c>
      <c r="AG117" s="338">
        <f t="shared" si="49"/>
        <v>196.32303558732235</v>
      </c>
      <c r="AH117" s="338">
        <f t="shared" si="49"/>
        <v>212.94294559542962</v>
      </c>
      <c r="AI117" s="336"/>
    </row>
    <row r="118" spans="3:35" ht="12.75">
      <c r="C118" s="333"/>
      <c r="D118" s="30"/>
      <c r="E118" s="49" t="s">
        <v>156</v>
      </c>
      <c r="F118" s="30" t="s">
        <v>61</v>
      </c>
      <c r="G118" s="30"/>
      <c r="H118" s="30"/>
      <c r="I118" s="338">
        <f aca="true" t="shared" si="50" ref="I118:AH118">I117-I53</f>
        <v>-8.6</v>
      </c>
      <c r="J118" s="338">
        <f t="shared" si="50"/>
        <v>-21.8</v>
      </c>
      <c r="K118" s="338">
        <f t="shared" si="50"/>
        <v>-20.6</v>
      </c>
      <c r="L118" s="338">
        <f t="shared" si="50"/>
        <v>-13.21236110937403</v>
      </c>
      <c r="M118" s="338">
        <f t="shared" si="50"/>
        <v>-1.923536347453127</v>
      </c>
      <c r="N118" s="338">
        <f t="shared" si="50"/>
        <v>0.4282336026721074</v>
      </c>
      <c r="O118" s="338">
        <f t="shared" si="50"/>
        <v>1.2276155015938102</v>
      </c>
      <c r="P118" s="338">
        <f t="shared" si="50"/>
        <v>2.425654618643895</v>
      </c>
      <c r="Q118" s="338">
        <f t="shared" si="50"/>
        <v>4.179847307545515</v>
      </c>
      <c r="R118" s="338">
        <f t="shared" si="50"/>
        <v>6.544752114146707</v>
      </c>
      <c r="S118" s="338">
        <f t="shared" si="50"/>
        <v>9.573882409573734</v>
      </c>
      <c r="T118" s="338">
        <f t="shared" si="50"/>
        <v>13.317865347485188</v>
      </c>
      <c r="U118" s="338">
        <f t="shared" si="50"/>
        <v>17.82210213868693</v>
      </c>
      <c r="V118" s="338">
        <f t="shared" si="50"/>
        <v>23.123835799410074</v>
      </c>
      <c r="W118" s="338">
        <f t="shared" si="50"/>
        <v>29.248520841789443</v>
      </c>
      <c r="X118" s="338">
        <f t="shared" si="50"/>
        <v>36.20537772339284</v>
      </c>
      <c r="Y118" s="338">
        <f t="shared" si="50"/>
        <v>44.693146450800555</v>
      </c>
      <c r="Z118" s="338">
        <f t="shared" si="50"/>
        <v>53.7461901684279</v>
      </c>
      <c r="AA118" s="338">
        <f t="shared" si="50"/>
        <v>63.62812886369794</v>
      </c>
      <c r="AB118" s="338">
        <f t="shared" si="50"/>
        <v>74.28681381809275</v>
      </c>
      <c r="AC118" s="338">
        <f t="shared" si="50"/>
        <v>85.63612368420016</v>
      </c>
      <c r="AD118" s="338">
        <f t="shared" si="50"/>
        <v>97.5483982140585</v>
      </c>
      <c r="AE118" s="338">
        <f t="shared" si="50"/>
        <v>109.84576002881664</v>
      </c>
      <c r="AF118" s="338">
        <f t="shared" si="50"/>
        <v>122.29024379994227</v>
      </c>
      <c r="AG118" s="338">
        <f t="shared" si="50"/>
        <v>134.57266716659223</v>
      </c>
      <c r="AH118" s="338">
        <f t="shared" si="50"/>
        <v>146.30020031430493</v>
      </c>
      <c r="AI118" s="336"/>
    </row>
    <row r="119" spans="3:35" ht="13.5" thickBot="1">
      <c r="C119" s="340"/>
      <c r="D119" s="341"/>
      <c r="E119" s="341"/>
      <c r="F119" s="341"/>
      <c r="G119" s="341"/>
      <c r="H119" s="341"/>
      <c r="I119" s="341"/>
      <c r="J119" s="341"/>
      <c r="K119" s="341"/>
      <c r="L119" s="341"/>
      <c r="M119" s="341"/>
      <c r="N119" s="341"/>
      <c r="O119" s="341"/>
      <c r="P119" s="341"/>
      <c r="Q119" s="341"/>
      <c r="R119" s="342"/>
      <c r="S119" s="341"/>
      <c r="T119" s="341"/>
      <c r="U119" s="341"/>
      <c r="V119" s="341"/>
      <c r="W119" s="341"/>
      <c r="X119" s="341"/>
      <c r="Y119" s="341"/>
      <c r="Z119" s="341"/>
      <c r="AA119" s="341"/>
      <c r="AB119" s="341"/>
      <c r="AC119" s="341"/>
      <c r="AD119" s="341"/>
      <c r="AE119" s="341"/>
      <c r="AF119" s="341"/>
      <c r="AG119" s="341"/>
      <c r="AH119" s="341"/>
      <c r="AI119" s="343"/>
    </row>
    <row r="120" spans="3:34" ht="13.5" thickBot="1">
      <c r="C120" s="5"/>
      <c r="D120" s="5"/>
      <c r="E120" s="5"/>
      <c r="I120" s="5"/>
      <c r="J120" s="5"/>
      <c r="K120" s="5"/>
      <c r="L120" s="5"/>
      <c r="M120" s="5"/>
      <c r="N120" s="5"/>
      <c r="O120" s="5"/>
      <c r="P120" s="5"/>
      <c r="Q120" s="5"/>
      <c r="R120" s="96"/>
      <c r="S120" s="5"/>
      <c r="T120" s="5"/>
      <c r="U120" s="5"/>
      <c r="V120" s="5"/>
      <c r="W120" s="5"/>
      <c r="X120" s="5"/>
      <c r="Y120" s="5"/>
      <c r="Z120" s="5"/>
      <c r="AA120" s="5"/>
      <c r="AB120" s="5"/>
      <c r="AC120" s="5"/>
      <c r="AD120" s="5"/>
      <c r="AE120" s="5"/>
      <c r="AF120" s="5"/>
      <c r="AG120" s="5"/>
      <c r="AH120" s="5"/>
    </row>
    <row r="121" spans="3:35" ht="12.75">
      <c r="C121" s="344"/>
      <c r="D121" s="327" t="s">
        <v>160</v>
      </c>
      <c r="E121" s="345"/>
      <c r="F121" s="345"/>
      <c r="G121" s="345"/>
      <c r="H121" s="345"/>
      <c r="I121" s="345"/>
      <c r="J121" s="345"/>
      <c r="K121" s="345"/>
      <c r="L121" s="345"/>
      <c r="M121" s="345"/>
      <c r="N121" s="345"/>
      <c r="O121" s="345"/>
      <c r="P121" s="345"/>
      <c r="Q121" s="345"/>
      <c r="R121" s="346"/>
      <c r="S121" s="345"/>
      <c r="T121" s="345"/>
      <c r="U121" s="345"/>
      <c r="V121" s="345"/>
      <c r="W121" s="345"/>
      <c r="X121" s="345"/>
      <c r="Y121" s="345"/>
      <c r="Z121" s="345"/>
      <c r="AA121" s="345"/>
      <c r="AB121" s="345"/>
      <c r="AC121" s="345"/>
      <c r="AD121" s="345"/>
      <c r="AE121" s="345"/>
      <c r="AF121" s="345"/>
      <c r="AG121" s="345"/>
      <c r="AH121" s="345"/>
      <c r="AI121" s="347"/>
    </row>
    <row r="122" spans="3:35" ht="12.75">
      <c r="C122" s="348"/>
      <c r="D122" s="79"/>
      <c r="E122" s="79"/>
      <c r="F122" s="79"/>
      <c r="G122" s="79"/>
      <c r="H122" s="79"/>
      <c r="I122" s="79"/>
      <c r="J122" s="79"/>
      <c r="K122" s="79"/>
      <c r="L122" s="79"/>
      <c r="M122" s="79"/>
      <c r="N122" s="79"/>
      <c r="O122" s="79"/>
      <c r="P122" s="79"/>
      <c r="Q122" s="79"/>
      <c r="R122" s="349"/>
      <c r="S122" s="79"/>
      <c r="T122" s="79"/>
      <c r="U122" s="79"/>
      <c r="V122" s="79"/>
      <c r="W122" s="79"/>
      <c r="X122" s="79"/>
      <c r="Y122" s="79"/>
      <c r="Z122" s="79"/>
      <c r="AA122" s="79"/>
      <c r="AB122" s="79"/>
      <c r="AC122" s="79"/>
      <c r="AD122" s="79"/>
      <c r="AE122" s="79"/>
      <c r="AF122" s="79"/>
      <c r="AG122" s="79"/>
      <c r="AH122" s="79"/>
      <c r="AI122" s="350"/>
    </row>
    <row r="123" spans="3:35" ht="12.75">
      <c r="C123" s="348"/>
      <c r="D123" s="79"/>
      <c r="E123" s="78" t="s">
        <v>155</v>
      </c>
      <c r="F123" s="79" t="s">
        <v>61</v>
      </c>
      <c r="G123" s="79"/>
      <c r="H123" s="79"/>
      <c r="I123" s="351">
        <f>I97*1.1</f>
        <v>0</v>
      </c>
      <c r="J123" s="351">
        <f>J97*1.1</f>
        <v>0</v>
      </c>
      <c r="K123" s="351">
        <f aca="true" t="shared" si="51" ref="K123:AB123">K97*1.1</f>
        <v>0</v>
      </c>
      <c r="L123" s="351">
        <f t="shared" si="51"/>
        <v>6.3578541373770125</v>
      </c>
      <c r="M123" s="351">
        <f t="shared" si="51"/>
        <v>8.13428421011169</v>
      </c>
      <c r="N123" s="351">
        <f t="shared" si="51"/>
        <v>10.641996001587145</v>
      </c>
      <c r="O123" s="351">
        <f t="shared" si="51"/>
        <v>13.825809765823095</v>
      </c>
      <c r="P123" s="351">
        <f t="shared" si="51"/>
        <v>17.765550837527226</v>
      </c>
      <c r="Q123" s="351">
        <f t="shared" si="51"/>
        <v>22.531839286263846</v>
      </c>
      <c r="R123" s="351">
        <f t="shared" si="51"/>
        <v>28.19492503660682</v>
      </c>
      <c r="S123" s="351">
        <f t="shared" si="51"/>
        <v>34.82272056810577</v>
      </c>
      <c r="T123" s="351">
        <f t="shared" si="51"/>
        <v>42.478289401863094</v>
      </c>
      <c r="U123" s="351">
        <f t="shared" si="51"/>
        <v>51.2166874738236</v>
      </c>
      <c r="V123" s="351">
        <f t="shared" si="51"/>
        <v>61.08104166334476</v>
      </c>
      <c r="W123" s="351">
        <f t="shared" si="51"/>
        <v>72.09773695568569</v>
      </c>
      <c r="X123" s="351">
        <f t="shared" si="51"/>
        <v>84.27057164399096</v>
      </c>
      <c r="Y123" s="351">
        <f t="shared" si="51"/>
        <v>97.48840468346366</v>
      </c>
      <c r="Z123" s="351">
        <f t="shared" si="51"/>
        <v>111.8295635411219</v>
      </c>
      <c r="AA123" s="351">
        <f t="shared" si="51"/>
        <v>127.25015793397466</v>
      </c>
      <c r="AB123" s="351">
        <f t="shared" si="51"/>
        <v>143.66979201067846</v>
      </c>
      <c r="AC123" s="351">
        <f aca="true" t="shared" si="52" ref="AC123:AH123">AC97*1.1</f>
        <v>160.9632976011254</v>
      </c>
      <c r="AD123" s="351">
        <f t="shared" si="52"/>
        <v>178.9512480033856</v>
      </c>
      <c r="AE123" s="351">
        <f t="shared" si="52"/>
        <v>197.3891638605227</v>
      </c>
      <c r="AF123" s="351">
        <f t="shared" si="52"/>
        <v>215.9553391460546</v>
      </c>
      <c r="AG123" s="351">
        <f t="shared" si="52"/>
        <v>234.2372401549726</v>
      </c>
      <c r="AH123" s="351">
        <f t="shared" si="52"/>
        <v>251.71646552919995</v>
      </c>
      <c r="AI123" s="350"/>
    </row>
    <row r="124" spans="3:35" ht="12.75">
      <c r="C124" s="348"/>
      <c r="D124" s="79"/>
      <c r="E124" s="78" t="s">
        <v>156</v>
      </c>
      <c r="F124" s="79" t="s">
        <v>61</v>
      </c>
      <c r="G124" s="79"/>
      <c r="H124" s="79"/>
      <c r="I124" s="351">
        <f aca="true" t="shared" si="53" ref="I124:AH124">I123-I53</f>
        <v>-8.6</v>
      </c>
      <c r="J124" s="351">
        <f t="shared" si="53"/>
        <v>-21.8</v>
      </c>
      <c r="K124" s="351">
        <f t="shared" si="53"/>
        <v>-20.6</v>
      </c>
      <c r="L124" s="351">
        <f t="shared" si="53"/>
        <v>-6.854506971997017</v>
      </c>
      <c r="M124" s="351">
        <f t="shared" si="53"/>
        <v>0.4308804650430984</v>
      </c>
      <c r="N124" s="351">
        <f t="shared" si="53"/>
        <v>3.675425776884989</v>
      </c>
      <c r="O124" s="351">
        <f t="shared" si="53"/>
        <v>5.378883447792228</v>
      </c>
      <c r="P124" s="351">
        <f t="shared" si="53"/>
        <v>7.622287487241035</v>
      </c>
      <c r="Q124" s="351">
        <f t="shared" si="53"/>
        <v>10.561185832420975</v>
      </c>
      <c r="R124" s="351">
        <f t="shared" si="53"/>
        <v>14.256186890513668</v>
      </c>
      <c r="S124" s="351">
        <f t="shared" si="53"/>
        <v>18.764852944400584</v>
      </c>
      <c r="T124" s="351">
        <f t="shared" si="53"/>
        <v>24.139136051070313</v>
      </c>
      <c r="U124" s="351">
        <f t="shared" si="53"/>
        <v>30.422162883544082</v>
      </c>
      <c r="V124" s="351">
        <f t="shared" si="53"/>
        <v>37.64425248655157</v>
      </c>
      <c r="W124" s="351">
        <f t="shared" si="53"/>
        <v>45.81803810352535</v>
      </c>
      <c r="X124" s="351">
        <f t="shared" si="53"/>
        <v>54.93255213494227</v>
      </c>
      <c r="Y124" s="351">
        <f t="shared" si="53"/>
        <v>65.57194054881789</v>
      </c>
      <c r="Z124" s="351">
        <f t="shared" si="53"/>
        <v>76.9499312700374</v>
      </c>
      <c r="AA124" s="351">
        <f t="shared" si="53"/>
        <v>89.21504721483451</v>
      </c>
      <c r="AB124" s="351">
        <f t="shared" si="53"/>
        <v>102.27464407061244</v>
      </c>
      <c r="AC124" s="351">
        <f t="shared" si="53"/>
        <v>115.99051945743605</v>
      </c>
      <c r="AD124" s="351">
        <f t="shared" si="53"/>
        <v>130.16937567096647</v>
      </c>
      <c r="AE124" s="351">
        <f t="shared" si="53"/>
        <v>144.55197115898883</v>
      </c>
      <c r="AF124" s="351">
        <f t="shared" si="53"/>
        <v>158.8008885273399</v>
      </c>
      <c r="AG124" s="351">
        <f t="shared" si="53"/>
        <v>172.48687173424247</v>
      </c>
      <c r="AH124" s="351">
        <f t="shared" si="53"/>
        <v>185.07372024807526</v>
      </c>
      <c r="AI124" s="350"/>
    </row>
    <row r="125" spans="3:35" ht="13.5" thickBot="1">
      <c r="C125" s="353"/>
      <c r="D125" s="354"/>
      <c r="E125" s="354"/>
      <c r="F125" s="354"/>
      <c r="G125" s="354"/>
      <c r="H125" s="354"/>
      <c r="I125" s="354"/>
      <c r="J125" s="354"/>
      <c r="K125" s="354"/>
      <c r="L125" s="354"/>
      <c r="M125" s="354"/>
      <c r="N125" s="354"/>
      <c r="O125" s="354"/>
      <c r="P125" s="354"/>
      <c r="Q125" s="354"/>
      <c r="R125" s="355"/>
      <c r="S125" s="354"/>
      <c r="T125" s="354"/>
      <c r="U125" s="354"/>
      <c r="V125" s="354"/>
      <c r="W125" s="354"/>
      <c r="X125" s="354"/>
      <c r="Y125" s="354"/>
      <c r="Z125" s="354"/>
      <c r="AA125" s="354"/>
      <c r="AB125" s="354"/>
      <c r="AC125" s="354"/>
      <c r="AD125" s="354"/>
      <c r="AE125" s="354"/>
      <c r="AF125" s="354"/>
      <c r="AG125" s="354"/>
      <c r="AH125" s="354"/>
      <c r="AI125" s="356"/>
    </row>
    <row r="126" spans="3:34" ht="13.5" thickBot="1">
      <c r="C126" s="5"/>
      <c r="D126" s="5"/>
      <c r="E126" s="5"/>
      <c r="I126" s="5"/>
      <c r="J126" s="5"/>
      <c r="K126" s="5"/>
      <c r="L126" s="5"/>
      <c r="M126" s="5"/>
      <c r="N126" s="5"/>
      <c r="O126" s="5"/>
      <c r="P126" s="5"/>
      <c r="Q126" s="5"/>
      <c r="R126" s="96"/>
      <c r="S126" s="5"/>
      <c r="T126" s="5"/>
      <c r="U126" s="5"/>
      <c r="V126" s="5"/>
      <c r="W126" s="5"/>
      <c r="X126" s="5"/>
      <c r="Y126" s="5"/>
      <c r="Z126" s="5"/>
      <c r="AA126" s="5"/>
      <c r="AB126" s="5"/>
      <c r="AC126" s="5"/>
      <c r="AD126" s="5"/>
      <c r="AE126" s="5"/>
      <c r="AF126" s="5"/>
      <c r="AG126" s="5"/>
      <c r="AH126" s="5"/>
    </row>
    <row r="127" spans="3:35" ht="12.75">
      <c r="C127" s="344"/>
      <c r="D127" s="327" t="s">
        <v>161</v>
      </c>
      <c r="E127" s="345"/>
      <c r="F127" s="345"/>
      <c r="G127" s="345"/>
      <c r="H127" s="345"/>
      <c r="I127" s="345"/>
      <c r="J127" s="345"/>
      <c r="K127" s="345"/>
      <c r="L127" s="345"/>
      <c r="M127" s="345"/>
      <c r="N127" s="345"/>
      <c r="O127" s="345"/>
      <c r="P127" s="345"/>
      <c r="Q127" s="345"/>
      <c r="R127" s="346"/>
      <c r="S127" s="345"/>
      <c r="T127" s="345"/>
      <c r="U127" s="345"/>
      <c r="V127" s="345"/>
      <c r="W127" s="345"/>
      <c r="X127" s="345"/>
      <c r="Y127" s="345"/>
      <c r="Z127" s="345"/>
      <c r="AA127" s="345"/>
      <c r="AB127" s="345"/>
      <c r="AC127" s="345"/>
      <c r="AD127" s="345"/>
      <c r="AE127" s="345"/>
      <c r="AF127" s="345"/>
      <c r="AG127" s="345"/>
      <c r="AH127" s="345"/>
      <c r="AI127" s="347"/>
    </row>
    <row r="128" spans="3:35" ht="12.75">
      <c r="C128" s="348"/>
      <c r="D128" s="79"/>
      <c r="E128" s="79"/>
      <c r="F128" s="79"/>
      <c r="G128" s="79"/>
      <c r="H128" s="79"/>
      <c r="I128" s="79"/>
      <c r="J128" s="79"/>
      <c r="K128" s="79"/>
      <c r="L128" s="79"/>
      <c r="M128" s="79"/>
      <c r="N128" s="79"/>
      <c r="O128" s="79"/>
      <c r="P128" s="79"/>
      <c r="Q128" s="79"/>
      <c r="R128" s="349"/>
      <c r="S128" s="79"/>
      <c r="T128" s="79"/>
      <c r="U128" s="79"/>
      <c r="V128" s="79"/>
      <c r="W128" s="79"/>
      <c r="X128" s="79"/>
      <c r="Y128" s="79"/>
      <c r="Z128" s="79"/>
      <c r="AA128" s="79"/>
      <c r="AB128" s="79"/>
      <c r="AC128" s="79"/>
      <c r="AD128" s="79"/>
      <c r="AE128" s="79"/>
      <c r="AF128" s="79"/>
      <c r="AG128" s="79"/>
      <c r="AH128" s="79"/>
      <c r="AI128" s="350"/>
    </row>
    <row r="129" spans="3:35" ht="12.75">
      <c r="C129" s="348"/>
      <c r="D129" s="79"/>
      <c r="E129" s="78" t="s">
        <v>158</v>
      </c>
      <c r="F129" s="79" t="s">
        <v>61</v>
      </c>
      <c r="G129" s="79"/>
      <c r="H129" s="79"/>
      <c r="I129" s="351">
        <f>I53*0.8</f>
        <v>6.88</v>
      </c>
      <c r="J129" s="351">
        <f aca="true" t="shared" si="54" ref="J129:AB129">J53*0.8</f>
        <v>17.44</v>
      </c>
      <c r="K129" s="351">
        <f t="shared" si="54"/>
        <v>16.48</v>
      </c>
      <c r="L129" s="351">
        <f t="shared" si="54"/>
        <v>10.569888887499225</v>
      </c>
      <c r="M129" s="351">
        <f t="shared" si="54"/>
        <v>6.162722996054875</v>
      </c>
      <c r="N129" s="351">
        <f t="shared" si="54"/>
        <v>5.573256179761725</v>
      </c>
      <c r="O129" s="351">
        <f t="shared" si="54"/>
        <v>6.757541054424694</v>
      </c>
      <c r="P129" s="351">
        <f t="shared" si="54"/>
        <v>8.114610680228953</v>
      </c>
      <c r="Q129" s="351">
        <f t="shared" si="54"/>
        <v>9.576522763074298</v>
      </c>
      <c r="R129" s="351">
        <f t="shared" si="54"/>
        <v>11.150990516874522</v>
      </c>
      <c r="S129" s="351">
        <f t="shared" si="54"/>
        <v>12.846294098964151</v>
      </c>
      <c r="T129" s="351">
        <f t="shared" si="54"/>
        <v>14.671322680634226</v>
      </c>
      <c r="U129" s="351">
        <f t="shared" si="54"/>
        <v>16.635619672223612</v>
      </c>
      <c r="V129" s="351">
        <f t="shared" si="54"/>
        <v>18.749431341434555</v>
      </c>
      <c r="W129" s="351">
        <f t="shared" si="54"/>
        <v>21.023759081728272</v>
      </c>
      <c r="X129" s="351">
        <f t="shared" si="54"/>
        <v>23.470415607238955</v>
      </c>
      <c r="Y129" s="351">
        <f t="shared" si="54"/>
        <v>25.53317130771661</v>
      </c>
      <c r="Z129" s="351">
        <f t="shared" si="54"/>
        <v>27.903705816867603</v>
      </c>
      <c r="AA129" s="351">
        <f t="shared" si="54"/>
        <v>30.42808857531212</v>
      </c>
      <c r="AB129" s="351">
        <f t="shared" si="54"/>
        <v>33.11611835205282</v>
      </c>
      <c r="AC129" s="351">
        <f aca="true" t="shared" si="55" ref="AC129:AH129">AC53*0.8</f>
        <v>35.978222514951476</v>
      </c>
      <c r="AD129" s="351">
        <f t="shared" si="55"/>
        <v>39.0254978659353</v>
      </c>
      <c r="AE129" s="351">
        <f t="shared" si="55"/>
        <v>42.2697541612271</v>
      </c>
      <c r="AF129" s="351">
        <f t="shared" si="55"/>
        <v>45.723560494971764</v>
      </c>
      <c r="AG129" s="351">
        <f t="shared" si="55"/>
        <v>49.4002947365841</v>
      </c>
      <c r="AH129" s="351">
        <f t="shared" si="55"/>
        <v>53.31419622489975</v>
      </c>
      <c r="AI129" s="350"/>
    </row>
    <row r="130" spans="3:35" ht="12.75">
      <c r="C130" s="348"/>
      <c r="D130" s="79"/>
      <c r="E130" s="78" t="s">
        <v>155</v>
      </c>
      <c r="F130" s="79" t="s">
        <v>61</v>
      </c>
      <c r="G130" s="79"/>
      <c r="H130" s="79"/>
      <c r="I130" s="351">
        <f>I97</f>
        <v>0</v>
      </c>
      <c r="J130" s="351">
        <f aca="true" t="shared" si="56" ref="J130:AB130">J97</f>
        <v>0</v>
      </c>
      <c r="K130" s="351">
        <f t="shared" si="56"/>
        <v>0</v>
      </c>
      <c r="L130" s="351">
        <f t="shared" si="56"/>
        <v>5.779867397615465</v>
      </c>
      <c r="M130" s="351">
        <f t="shared" si="56"/>
        <v>7.394803827374264</v>
      </c>
      <c r="N130" s="351">
        <f t="shared" si="56"/>
        <v>9.674541819624677</v>
      </c>
      <c r="O130" s="351">
        <f t="shared" si="56"/>
        <v>12.568917968930085</v>
      </c>
      <c r="P130" s="351">
        <f t="shared" si="56"/>
        <v>16.150500761388386</v>
      </c>
      <c r="Q130" s="351">
        <f t="shared" si="56"/>
        <v>20.483490260239858</v>
      </c>
      <c r="R130" s="351">
        <f t="shared" si="56"/>
        <v>25.631750033278923</v>
      </c>
      <c r="S130" s="351">
        <f t="shared" si="56"/>
        <v>31.65701869827797</v>
      </c>
      <c r="T130" s="351">
        <f t="shared" si="56"/>
        <v>38.616626728966445</v>
      </c>
      <c r="U130" s="351">
        <f t="shared" si="56"/>
        <v>46.560624976203265</v>
      </c>
      <c r="V130" s="351">
        <f t="shared" si="56"/>
        <v>55.52821969394978</v>
      </c>
      <c r="W130" s="351">
        <f t="shared" si="56"/>
        <v>65.54339723244154</v>
      </c>
      <c r="X130" s="351">
        <f t="shared" si="56"/>
        <v>76.60961058544632</v>
      </c>
      <c r="Y130" s="351">
        <f t="shared" si="56"/>
        <v>88.6258224395124</v>
      </c>
      <c r="Z130" s="351">
        <f t="shared" si="56"/>
        <v>101.66323958283809</v>
      </c>
      <c r="AA130" s="351">
        <f t="shared" si="56"/>
        <v>115.68196175815878</v>
      </c>
      <c r="AB130" s="351">
        <f t="shared" si="56"/>
        <v>130.6089018278895</v>
      </c>
      <c r="AC130" s="351">
        <f aca="true" t="shared" si="57" ref="AC130:AH130">AC97</f>
        <v>146.3302705464776</v>
      </c>
      <c r="AD130" s="351">
        <f t="shared" si="57"/>
        <v>162.6829527303505</v>
      </c>
      <c r="AE130" s="351">
        <f t="shared" si="57"/>
        <v>179.44469441865698</v>
      </c>
      <c r="AF130" s="351">
        <f t="shared" si="57"/>
        <v>196.32303558732235</v>
      </c>
      <c r="AG130" s="351">
        <f t="shared" si="57"/>
        <v>212.94294559542962</v>
      </c>
      <c r="AH130" s="351">
        <f t="shared" si="57"/>
        <v>228.83315048109085</v>
      </c>
      <c r="AI130" s="350"/>
    </row>
    <row r="131" spans="3:35" ht="12.75">
      <c r="C131" s="348"/>
      <c r="D131" s="79"/>
      <c r="E131" s="78" t="s">
        <v>156</v>
      </c>
      <c r="F131" s="79" t="s">
        <v>61</v>
      </c>
      <c r="G131" s="79"/>
      <c r="H131" s="79"/>
      <c r="I131" s="351">
        <f>I130-I129</f>
        <v>-6.88</v>
      </c>
      <c r="J131" s="351">
        <f aca="true" t="shared" si="58" ref="J131:AB131">J130-J129</f>
        <v>-17.44</v>
      </c>
      <c r="K131" s="351">
        <f t="shared" si="58"/>
        <v>-16.48</v>
      </c>
      <c r="L131" s="351">
        <f t="shared" si="58"/>
        <v>-4.79002148988376</v>
      </c>
      <c r="M131" s="351">
        <f t="shared" si="58"/>
        <v>1.2320808313193892</v>
      </c>
      <c r="N131" s="351">
        <f t="shared" si="58"/>
        <v>4.101285639862952</v>
      </c>
      <c r="O131" s="351">
        <f t="shared" si="58"/>
        <v>5.8113769145053915</v>
      </c>
      <c r="P131" s="351">
        <f t="shared" si="58"/>
        <v>8.035890081159433</v>
      </c>
      <c r="Q131" s="351">
        <f t="shared" si="58"/>
        <v>10.90696749716556</v>
      </c>
      <c r="R131" s="352">
        <f t="shared" si="58"/>
        <v>14.480759516404401</v>
      </c>
      <c r="S131" s="351">
        <f t="shared" si="58"/>
        <v>18.81072459931382</v>
      </c>
      <c r="T131" s="351">
        <f t="shared" si="58"/>
        <v>23.94530404833222</v>
      </c>
      <c r="U131" s="351">
        <f t="shared" si="58"/>
        <v>29.925005303979653</v>
      </c>
      <c r="V131" s="351">
        <f t="shared" si="58"/>
        <v>36.77878835251522</v>
      </c>
      <c r="W131" s="351">
        <f t="shared" si="58"/>
        <v>44.51963815071326</v>
      </c>
      <c r="X131" s="351">
        <f t="shared" si="58"/>
        <v>53.139194978207364</v>
      </c>
      <c r="Y131" s="351">
        <f t="shared" si="58"/>
        <v>63.09265113179579</v>
      </c>
      <c r="Z131" s="351">
        <f t="shared" si="58"/>
        <v>73.75953376597049</v>
      </c>
      <c r="AA131" s="351">
        <f t="shared" si="58"/>
        <v>85.25387318284666</v>
      </c>
      <c r="AB131" s="351">
        <f t="shared" si="58"/>
        <v>97.49278347583667</v>
      </c>
      <c r="AC131" s="351">
        <f aca="true" t="shared" si="59" ref="AC131:AH131">AC130-AC129</f>
        <v>110.35204803152612</v>
      </c>
      <c r="AD131" s="351">
        <f t="shared" si="59"/>
        <v>123.6574548644152</v>
      </c>
      <c r="AE131" s="351">
        <f t="shared" si="59"/>
        <v>137.17494025742988</v>
      </c>
      <c r="AF131" s="351">
        <f t="shared" si="59"/>
        <v>150.5994750923506</v>
      </c>
      <c r="AG131" s="351">
        <f t="shared" si="59"/>
        <v>163.54265085884552</v>
      </c>
      <c r="AH131" s="351">
        <f t="shared" si="59"/>
        <v>175.5189542561911</v>
      </c>
      <c r="AI131" s="350"/>
    </row>
    <row r="132" spans="3:35" ht="13.5" thickBot="1">
      <c r="C132" s="353"/>
      <c r="D132" s="354"/>
      <c r="E132" s="354"/>
      <c r="F132" s="354"/>
      <c r="G132" s="354"/>
      <c r="H132" s="354"/>
      <c r="I132" s="354"/>
      <c r="J132" s="354"/>
      <c r="K132" s="354"/>
      <c r="L132" s="354"/>
      <c r="M132" s="354"/>
      <c r="N132" s="354"/>
      <c r="O132" s="354"/>
      <c r="P132" s="354"/>
      <c r="Q132" s="354"/>
      <c r="R132" s="355"/>
      <c r="S132" s="354"/>
      <c r="T132" s="354"/>
      <c r="U132" s="354"/>
      <c r="V132" s="354"/>
      <c r="W132" s="354"/>
      <c r="X132" s="354"/>
      <c r="Y132" s="354"/>
      <c r="Z132" s="354"/>
      <c r="AA132" s="354"/>
      <c r="AB132" s="354"/>
      <c r="AC132" s="354"/>
      <c r="AD132" s="354"/>
      <c r="AE132" s="354"/>
      <c r="AF132" s="354"/>
      <c r="AG132" s="354"/>
      <c r="AH132" s="354"/>
      <c r="AI132" s="356"/>
    </row>
    <row r="133" spans="3:34" ht="13.5" thickBot="1">
      <c r="C133" s="5"/>
      <c r="D133" s="5"/>
      <c r="E133" s="5"/>
      <c r="I133" s="5"/>
      <c r="J133" s="5"/>
      <c r="K133" s="5"/>
      <c r="L133" s="5"/>
      <c r="M133" s="5"/>
      <c r="N133" s="5"/>
      <c r="O133" s="5"/>
      <c r="P133" s="5"/>
      <c r="Q133" s="5"/>
      <c r="R133" s="96"/>
      <c r="S133" s="5"/>
      <c r="T133" s="5"/>
      <c r="U133" s="5"/>
      <c r="V133" s="5"/>
      <c r="W133" s="5"/>
      <c r="X133" s="5"/>
      <c r="Y133" s="5"/>
      <c r="Z133" s="5"/>
      <c r="AA133" s="5"/>
      <c r="AB133" s="5"/>
      <c r="AC133" s="5"/>
      <c r="AD133" s="5"/>
      <c r="AE133" s="5"/>
      <c r="AF133" s="5"/>
      <c r="AG133" s="5"/>
      <c r="AH133" s="5"/>
    </row>
    <row r="134" spans="3:35" ht="12.75">
      <c r="C134" s="344"/>
      <c r="D134" s="327" t="s">
        <v>162</v>
      </c>
      <c r="E134" s="345"/>
      <c r="F134" s="345"/>
      <c r="G134" s="345"/>
      <c r="H134" s="345"/>
      <c r="I134" s="345"/>
      <c r="J134" s="345"/>
      <c r="K134" s="345"/>
      <c r="L134" s="345"/>
      <c r="M134" s="345"/>
      <c r="N134" s="345"/>
      <c r="O134" s="345"/>
      <c r="P134" s="345"/>
      <c r="Q134" s="345"/>
      <c r="R134" s="346"/>
      <c r="S134" s="345"/>
      <c r="T134" s="345"/>
      <c r="U134" s="345"/>
      <c r="V134" s="345"/>
      <c r="W134" s="345"/>
      <c r="X134" s="345"/>
      <c r="Y134" s="345"/>
      <c r="Z134" s="345"/>
      <c r="AA134" s="345"/>
      <c r="AB134" s="345"/>
      <c r="AC134" s="345"/>
      <c r="AD134" s="345"/>
      <c r="AE134" s="345"/>
      <c r="AF134" s="345"/>
      <c r="AG134" s="345"/>
      <c r="AH134" s="345"/>
      <c r="AI134" s="347"/>
    </row>
    <row r="135" spans="3:35" ht="12.75">
      <c r="C135" s="348"/>
      <c r="D135" s="79"/>
      <c r="E135" s="79"/>
      <c r="F135" s="79"/>
      <c r="G135" s="79"/>
      <c r="H135" s="79"/>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0"/>
    </row>
    <row r="136" spans="3:35" ht="12.75">
      <c r="C136" s="348"/>
      <c r="D136" s="79"/>
      <c r="E136" s="78" t="s">
        <v>158</v>
      </c>
      <c r="F136" s="79" t="s">
        <v>61</v>
      </c>
      <c r="G136" s="79"/>
      <c r="H136" s="79"/>
      <c r="I136" s="351">
        <f>I129</f>
        <v>6.88</v>
      </c>
      <c r="J136" s="351">
        <f aca="true" t="shared" si="60" ref="J136:AB136">J129</f>
        <v>17.44</v>
      </c>
      <c r="K136" s="351">
        <f t="shared" si="60"/>
        <v>16.48</v>
      </c>
      <c r="L136" s="351">
        <f t="shared" si="60"/>
        <v>10.569888887499225</v>
      </c>
      <c r="M136" s="351">
        <f t="shared" si="60"/>
        <v>6.162722996054875</v>
      </c>
      <c r="N136" s="351">
        <f t="shared" si="60"/>
        <v>5.573256179761725</v>
      </c>
      <c r="O136" s="351">
        <f t="shared" si="60"/>
        <v>6.757541054424694</v>
      </c>
      <c r="P136" s="351">
        <f t="shared" si="60"/>
        <v>8.114610680228953</v>
      </c>
      <c r="Q136" s="351">
        <f t="shared" si="60"/>
        <v>9.576522763074298</v>
      </c>
      <c r="R136" s="352">
        <f t="shared" si="60"/>
        <v>11.150990516874522</v>
      </c>
      <c r="S136" s="351">
        <f t="shared" si="60"/>
        <v>12.846294098964151</v>
      </c>
      <c r="T136" s="351">
        <f t="shared" si="60"/>
        <v>14.671322680634226</v>
      </c>
      <c r="U136" s="351">
        <f t="shared" si="60"/>
        <v>16.635619672223612</v>
      </c>
      <c r="V136" s="351">
        <f t="shared" si="60"/>
        <v>18.749431341434555</v>
      </c>
      <c r="W136" s="351">
        <f t="shared" si="60"/>
        <v>21.023759081728272</v>
      </c>
      <c r="X136" s="351">
        <f t="shared" si="60"/>
        <v>23.470415607238955</v>
      </c>
      <c r="Y136" s="351">
        <f t="shared" si="60"/>
        <v>25.53317130771661</v>
      </c>
      <c r="Z136" s="351">
        <f t="shared" si="60"/>
        <v>27.903705816867603</v>
      </c>
      <c r="AA136" s="351">
        <f t="shared" si="60"/>
        <v>30.42808857531212</v>
      </c>
      <c r="AB136" s="351">
        <f t="shared" si="60"/>
        <v>33.11611835205282</v>
      </c>
      <c r="AC136" s="351">
        <f aca="true" t="shared" si="61" ref="AC136:AH136">AC129</f>
        <v>35.978222514951476</v>
      </c>
      <c r="AD136" s="351">
        <f t="shared" si="61"/>
        <v>39.0254978659353</v>
      </c>
      <c r="AE136" s="351">
        <f t="shared" si="61"/>
        <v>42.2697541612271</v>
      </c>
      <c r="AF136" s="351">
        <f t="shared" si="61"/>
        <v>45.723560494971764</v>
      </c>
      <c r="AG136" s="351">
        <f t="shared" si="61"/>
        <v>49.4002947365841</v>
      </c>
      <c r="AH136" s="351">
        <f t="shared" si="61"/>
        <v>53.31419622489975</v>
      </c>
      <c r="AI136" s="350"/>
    </row>
    <row r="137" spans="3:35" ht="12.75">
      <c r="C137" s="348"/>
      <c r="D137" s="79"/>
      <c r="E137" s="78" t="s">
        <v>155</v>
      </c>
      <c r="F137" s="79" t="s">
        <v>61</v>
      </c>
      <c r="G137" s="79"/>
      <c r="H137" s="79"/>
      <c r="I137" s="351">
        <f>I123</f>
        <v>0</v>
      </c>
      <c r="J137" s="351">
        <f aca="true" t="shared" si="62" ref="J137:AB137">J123</f>
        <v>0</v>
      </c>
      <c r="K137" s="351">
        <f t="shared" si="62"/>
        <v>0</v>
      </c>
      <c r="L137" s="351">
        <f t="shared" si="62"/>
        <v>6.3578541373770125</v>
      </c>
      <c r="M137" s="351">
        <f t="shared" si="62"/>
        <v>8.13428421011169</v>
      </c>
      <c r="N137" s="351">
        <f t="shared" si="62"/>
        <v>10.641996001587145</v>
      </c>
      <c r="O137" s="351">
        <f t="shared" si="62"/>
        <v>13.825809765823095</v>
      </c>
      <c r="P137" s="351">
        <f t="shared" si="62"/>
        <v>17.765550837527226</v>
      </c>
      <c r="Q137" s="351">
        <f t="shared" si="62"/>
        <v>22.531839286263846</v>
      </c>
      <c r="R137" s="352">
        <f t="shared" si="62"/>
        <v>28.19492503660682</v>
      </c>
      <c r="S137" s="351">
        <f t="shared" si="62"/>
        <v>34.82272056810577</v>
      </c>
      <c r="T137" s="351">
        <f t="shared" si="62"/>
        <v>42.478289401863094</v>
      </c>
      <c r="U137" s="351">
        <f t="shared" si="62"/>
        <v>51.2166874738236</v>
      </c>
      <c r="V137" s="351">
        <f t="shared" si="62"/>
        <v>61.08104166334476</v>
      </c>
      <c r="W137" s="351">
        <f t="shared" si="62"/>
        <v>72.09773695568569</v>
      </c>
      <c r="X137" s="351">
        <f t="shared" si="62"/>
        <v>84.27057164399096</v>
      </c>
      <c r="Y137" s="351">
        <f t="shared" si="62"/>
        <v>97.48840468346366</v>
      </c>
      <c r="Z137" s="351">
        <f t="shared" si="62"/>
        <v>111.8295635411219</v>
      </c>
      <c r="AA137" s="351">
        <f t="shared" si="62"/>
        <v>127.25015793397466</v>
      </c>
      <c r="AB137" s="351">
        <f t="shared" si="62"/>
        <v>143.66979201067846</v>
      </c>
      <c r="AC137" s="351">
        <f aca="true" t="shared" si="63" ref="AC137:AH137">AC123</f>
        <v>160.9632976011254</v>
      </c>
      <c r="AD137" s="351">
        <f t="shared" si="63"/>
        <v>178.9512480033856</v>
      </c>
      <c r="AE137" s="351">
        <f t="shared" si="63"/>
        <v>197.3891638605227</v>
      </c>
      <c r="AF137" s="351">
        <f t="shared" si="63"/>
        <v>215.9553391460546</v>
      </c>
      <c r="AG137" s="351">
        <f t="shared" si="63"/>
        <v>234.2372401549726</v>
      </c>
      <c r="AH137" s="351">
        <f t="shared" si="63"/>
        <v>251.71646552919995</v>
      </c>
      <c r="AI137" s="350"/>
    </row>
    <row r="138" spans="3:35" ht="12.75">
      <c r="C138" s="348"/>
      <c r="D138" s="79"/>
      <c r="E138" s="78" t="s">
        <v>156</v>
      </c>
      <c r="F138" s="79" t="s">
        <v>61</v>
      </c>
      <c r="G138" s="79"/>
      <c r="H138" s="79"/>
      <c r="I138" s="351">
        <f>I137-I136</f>
        <v>-6.88</v>
      </c>
      <c r="J138" s="351">
        <f aca="true" t="shared" si="64" ref="J138:AB138">J137-J136</f>
        <v>-17.44</v>
      </c>
      <c r="K138" s="351">
        <f t="shared" si="64"/>
        <v>-16.48</v>
      </c>
      <c r="L138" s="351">
        <f t="shared" si="64"/>
        <v>-4.212034750122212</v>
      </c>
      <c r="M138" s="351">
        <f t="shared" si="64"/>
        <v>1.9715612140568162</v>
      </c>
      <c r="N138" s="351">
        <f t="shared" si="64"/>
        <v>5.06873982182542</v>
      </c>
      <c r="O138" s="351">
        <f t="shared" si="64"/>
        <v>7.068268711398401</v>
      </c>
      <c r="P138" s="351">
        <f t="shared" si="64"/>
        <v>9.650940157298272</v>
      </c>
      <c r="Q138" s="351">
        <f t="shared" si="64"/>
        <v>12.955316523189548</v>
      </c>
      <c r="R138" s="352">
        <f t="shared" si="64"/>
        <v>17.043934519732296</v>
      </c>
      <c r="S138" s="351">
        <f t="shared" si="64"/>
        <v>21.97642646914162</v>
      </c>
      <c r="T138" s="351">
        <f t="shared" si="64"/>
        <v>27.806966721228868</v>
      </c>
      <c r="U138" s="351">
        <f t="shared" si="64"/>
        <v>34.581067801599986</v>
      </c>
      <c r="V138" s="351">
        <f t="shared" si="64"/>
        <v>42.331610321910205</v>
      </c>
      <c r="W138" s="351">
        <f t="shared" si="64"/>
        <v>51.07397787395742</v>
      </c>
      <c r="X138" s="351">
        <f t="shared" si="64"/>
        <v>60.80015603675201</v>
      </c>
      <c r="Y138" s="351">
        <f t="shared" si="64"/>
        <v>71.95523337574704</v>
      </c>
      <c r="Z138" s="351">
        <f t="shared" si="64"/>
        <v>83.9258577242543</v>
      </c>
      <c r="AA138" s="351">
        <f t="shared" si="64"/>
        <v>96.82206935866255</v>
      </c>
      <c r="AB138" s="351">
        <f t="shared" si="64"/>
        <v>110.55367365862564</v>
      </c>
      <c r="AC138" s="351">
        <f aca="true" t="shared" si="65" ref="AC138:AH138">AC137-AC136</f>
        <v>124.98507508617391</v>
      </c>
      <c r="AD138" s="351">
        <f t="shared" si="65"/>
        <v>139.92575013745028</v>
      </c>
      <c r="AE138" s="351">
        <f t="shared" si="65"/>
        <v>155.1194096992956</v>
      </c>
      <c r="AF138" s="351">
        <f t="shared" si="65"/>
        <v>170.23177865108283</v>
      </c>
      <c r="AG138" s="351">
        <f t="shared" si="65"/>
        <v>184.8369454183885</v>
      </c>
      <c r="AH138" s="351">
        <f t="shared" si="65"/>
        <v>198.4022693043002</v>
      </c>
      <c r="AI138" s="350"/>
    </row>
    <row r="139" spans="3:35" ht="13.5" thickBot="1">
      <c r="C139" s="353"/>
      <c r="D139" s="354"/>
      <c r="E139" s="354"/>
      <c r="F139" s="354"/>
      <c r="G139" s="354"/>
      <c r="H139" s="354"/>
      <c r="I139" s="354"/>
      <c r="J139" s="354"/>
      <c r="K139" s="354"/>
      <c r="L139" s="354"/>
      <c r="M139" s="354"/>
      <c r="N139" s="354"/>
      <c r="O139" s="354"/>
      <c r="P139" s="354"/>
      <c r="Q139" s="354"/>
      <c r="R139" s="355"/>
      <c r="S139" s="354"/>
      <c r="T139" s="354"/>
      <c r="U139" s="354"/>
      <c r="V139" s="354"/>
      <c r="W139" s="354"/>
      <c r="X139" s="354"/>
      <c r="Y139" s="354"/>
      <c r="Z139" s="354"/>
      <c r="AA139" s="354"/>
      <c r="AB139" s="354"/>
      <c r="AC139" s="354"/>
      <c r="AD139" s="354"/>
      <c r="AE139" s="354"/>
      <c r="AF139" s="354"/>
      <c r="AG139" s="354"/>
      <c r="AH139" s="354"/>
      <c r="AI139" s="356"/>
    </row>
    <row r="140" spans="3:34" ht="13.5" thickBot="1">
      <c r="C140" s="5"/>
      <c r="D140" s="5"/>
      <c r="E140" s="5"/>
      <c r="I140" s="5"/>
      <c r="J140" s="5"/>
      <c r="K140" s="5"/>
      <c r="L140" s="5"/>
      <c r="M140" s="5"/>
      <c r="N140" s="5"/>
      <c r="O140" s="5"/>
      <c r="P140" s="5"/>
      <c r="Q140" s="5"/>
      <c r="R140" s="96"/>
      <c r="S140" s="5"/>
      <c r="T140" s="5"/>
      <c r="U140" s="5"/>
      <c r="V140" s="5"/>
      <c r="W140" s="5"/>
      <c r="X140" s="5"/>
      <c r="Y140" s="5"/>
      <c r="Z140" s="5"/>
      <c r="AA140" s="5"/>
      <c r="AB140" s="5"/>
      <c r="AC140" s="5"/>
      <c r="AD140" s="5"/>
      <c r="AE140" s="5"/>
      <c r="AF140" s="5"/>
      <c r="AG140" s="5"/>
      <c r="AH140" s="5"/>
    </row>
    <row r="141" spans="3:35" ht="12.75">
      <c r="C141" s="602"/>
      <c r="D141" s="603" t="s">
        <v>163</v>
      </c>
      <c r="E141" s="604"/>
      <c r="F141" s="604"/>
      <c r="G141" s="604"/>
      <c r="H141" s="604"/>
      <c r="I141" s="604"/>
      <c r="J141" s="604"/>
      <c r="K141" s="604"/>
      <c r="L141" s="604"/>
      <c r="M141" s="604"/>
      <c r="N141" s="604"/>
      <c r="O141" s="604"/>
      <c r="P141" s="604"/>
      <c r="Q141" s="604"/>
      <c r="R141" s="605"/>
      <c r="S141" s="604"/>
      <c r="T141" s="604"/>
      <c r="U141" s="604"/>
      <c r="V141" s="604"/>
      <c r="W141" s="604"/>
      <c r="X141" s="604"/>
      <c r="Y141" s="604"/>
      <c r="Z141" s="604"/>
      <c r="AA141" s="604"/>
      <c r="AB141" s="604"/>
      <c r="AC141" s="604"/>
      <c r="AD141" s="604"/>
      <c r="AE141" s="604"/>
      <c r="AF141" s="604"/>
      <c r="AG141" s="604"/>
      <c r="AH141" s="604"/>
      <c r="AI141" s="606"/>
    </row>
    <row r="142" spans="3:35" ht="12.75">
      <c r="C142" s="607"/>
      <c r="D142" s="608"/>
      <c r="E142" s="608"/>
      <c r="F142" s="608"/>
      <c r="G142" s="608"/>
      <c r="H142" s="608"/>
      <c r="I142" s="608"/>
      <c r="J142" s="608"/>
      <c r="K142" s="608"/>
      <c r="L142" s="608"/>
      <c r="M142" s="608"/>
      <c r="N142" s="608"/>
      <c r="O142" s="608"/>
      <c r="P142" s="608"/>
      <c r="Q142" s="608"/>
      <c r="R142" s="99"/>
      <c r="S142" s="608"/>
      <c r="T142" s="608"/>
      <c r="U142" s="608"/>
      <c r="V142" s="608"/>
      <c r="W142" s="608"/>
      <c r="X142" s="608"/>
      <c r="Y142" s="608"/>
      <c r="Z142" s="608"/>
      <c r="AA142" s="608"/>
      <c r="AB142" s="608"/>
      <c r="AC142" s="608"/>
      <c r="AD142" s="608"/>
      <c r="AE142" s="608"/>
      <c r="AF142" s="608"/>
      <c r="AG142" s="608"/>
      <c r="AH142" s="608"/>
      <c r="AI142" s="609"/>
    </row>
    <row r="143" spans="3:35" ht="12.75">
      <c r="C143" s="607"/>
      <c r="D143" s="608"/>
      <c r="E143" s="610" t="s">
        <v>158</v>
      </c>
      <c r="F143" s="608" t="s">
        <v>61</v>
      </c>
      <c r="G143" s="608"/>
      <c r="H143" s="608"/>
      <c r="I143" s="611">
        <f>I110</f>
        <v>10.319999999999999</v>
      </c>
      <c r="J143" s="611">
        <f aca="true" t="shared" si="66" ref="J143:AB143">J110</f>
        <v>26.16</v>
      </c>
      <c r="K143" s="611">
        <f t="shared" si="66"/>
        <v>24.720000000000002</v>
      </c>
      <c r="L143" s="611">
        <f t="shared" si="66"/>
        <v>15.854833331248834</v>
      </c>
      <c r="M143" s="611">
        <f t="shared" si="66"/>
        <v>9.24408449408231</v>
      </c>
      <c r="N143" s="611">
        <f t="shared" si="66"/>
        <v>8.359884269642587</v>
      </c>
      <c r="O143" s="611">
        <f t="shared" si="66"/>
        <v>10.13631158163704</v>
      </c>
      <c r="P143" s="611">
        <f t="shared" si="66"/>
        <v>12.171916020343428</v>
      </c>
      <c r="Q143" s="611">
        <f t="shared" si="66"/>
        <v>14.364784144611445</v>
      </c>
      <c r="R143" s="611">
        <f t="shared" si="66"/>
        <v>16.72648577531178</v>
      </c>
      <c r="S143" s="611">
        <f t="shared" si="66"/>
        <v>19.269441148446226</v>
      </c>
      <c r="T143" s="611">
        <f t="shared" si="66"/>
        <v>22.006984020951336</v>
      </c>
      <c r="U143" s="611">
        <f t="shared" si="66"/>
        <v>24.953429508335418</v>
      </c>
      <c r="V143" s="611">
        <f t="shared" si="66"/>
        <v>28.124147012151827</v>
      </c>
      <c r="W143" s="611">
        <f t="shared" si="66"/>
        <v>31.5356386225924</v>
      </c>
      <c r="X143" s="611">
        <f t="shared" si="66"/>
        <v>35.20562341085843</v>
      </c>
      <c r="Y143" s="611">
        <f t="shared" si="66"/>
        <v>38.299756961574914</v>
      </c>
      <c r="Z143" s="611">
        <f t="shared" si="66"/>
        <v>41.8555587253014</v>
      </c>
      <c r="AA143" s="611">
        <f t="shared" si="66"/>
        <v>45.642132862968175</v>
      </c>
      <c r="AB143" s="611">
        <f t="shared" si="66"/>
        <v>49.67417752807923</v>
      </c>
      <c r="AC143" s="611">
        <f aca="true" t="shared" si="67" ref="AC143:AH143">AC110</f>
        <v>53.9673337724272</v>
      </c>
      <c r="AD143" s="611">
        <f t="shared" si="67"/>
        <v>58.53824679890294</v>
      </c>
      <c r="AE143" s="611">
        <f t="shared" si="67"/>
        <v>63.40463124184063</v>
      </c>
      <c r="AF143" s="611">
        <f t="shared" si="67"/>
        <v>68.58534074245765</v>
      </c>
      <c r="AG143" s="611">
        <f t="shared" si="67"/>
        <v>74.10044210487615</v>
      </c>
      <c r="AH143" s="611">
        <f t="shared" si="67"/>
        <v>79.97129433734962</v>
      </c>
      <c r="AI143" s="609"/>
    </row>
    <row r="144" spans="3:35" ht="12.75">
      <c r="C144" s="607"/>
      <c r="D144" s="608"/>
      <c r="E144" s="610" t="s">
        <v>155</v>
      </c>
      <c r="F144" s="608" t="s">
        <v>61</v>
      </c>
      <c r="G144" s="608"/>
      <c r="H144" s="608"/>
      <c r="I144" s="611">
        <f>I104</f>
        <v>0</v>
      </c>
      <c r="J144" s="611">
        <f aca="true" t="shared" si="68" ref="J144:AB144">J104</f>
        <v>0</v>
      </c>
      <c r="K144" s="611">
        <f t="shared" si="68"/>
        <v>0</v>
      </c>
      <c r="L144" s="611">
        <f t="shared" si="68"/>
        <v>5.201880657853919</v>
      </c>
      <c r="M144" s="611">
        <f t="shared" si="68"/>
        <v>6.655323444636838</v>
      </c>
      <c r="N144" s="611">
        <f t="shared" si="68"/>
        <v>8.707087637662209</v>
      </c>
      <c r="O144" s="611">
        <f t="shared" si="68"/>
        <v>11.312026172037077</v>
      </c>
      <c r="P144" s="611">
        <f t="shared" si="68"/>
        <v>14.535450685249549</v>
      </c>
      <c r="Q144" s="611">
        <f t="shared" si="68"/>
        <v>18.435141234215873</v>
      </c>
      <c r="R144" s="611">
        <f t="shared" si="68"/>
        <v>23.06857502995103</v>
      </c>
      <c r="S144" s="611">
        <f t="shared" si="68"/>
        <v>28.491316828450174</v>
      </c>
      <c r="T144" s="611">
        <f t="shared" si="68"/>
        <v>34.7549640560698</v>
      </c>
      <c r="U144" s="611">
        <f t="shared" si="68"/>
        <v>41.90456247858294</v>
      </c>
      <c r="V144" s="611">
        <f t="shared" si="68"/>
        <v>49.9753977245548</v>
      </c>
      <c r="W144" s="611">
        <f t="shared" si="68"/>
        <v>58.98905750919738</v>
      </c>
      <c r="X144" s="611">
        <f t="shared" si="68"/>
        <v>68.94864952690169</v>
      </c>
      <c r="Y144" s="611">
        <f t="shared" si="68"/>
        <v>79.76324019556117</v>
      </c>
      <c r="Z144" s="611">
        <f t="shared" si="68"/>
        <v>91.49691562455428</v>
      </c>
      <c r="AA144" s="611">
        <f t="shared" si="68"/>
        <v>104.11376558234291</v>
      </c>
      <c r="AB144" s="611">
        <f t="shared" si="68"/>
        <v>117.54801164510054</v>
      </c>
      <c r="AC144" s="611">
        <f aca="true" t="shared" si="69" ref="AC144:AH144">AC104</f>
        <v>131.69724349182985</v>
      </c>
      <c r="AD144" s="611">
        <f t="shared" si="69"/>
        <v>146.41465745731546</v>
      </c>
      <c r="AE144" s="611">
        <f t="shared" si="69"/>
        <v>161.5002249767913</v>
      </c>
      <c r="AF144" s="611">
        <f t="shared" si="69"/>
        <v>176.69073202859013</v>
      </c>
      <c r="AG144" s="611">
        <f t="shared" si="69"/>
        <v>191.64865103588667</v>
      </c>
      <c r="AH144" s="611">
        <f t="shared" si="69"/>
        <v>205.94983543298179</v>
      </c>
      <c r="AI144" s="609"/>
    </row>
    <row r="145" spans="3:35" ht="12.75">
      <c r="C145" s="607"/>
      <c r="D145" s="608"/>
      <c r="E145" s="610" t="s">
        <v>156</v>
      </c>
      <c r="F145" s="608" t="s">
        <v>61</v>
      </c>
      <c r="G145" s="608"/>
      <c r="H145" s="608"/>
      <c r="I145" s="611">
        <f>I144-I143</f>
        <v>-10.319999999999999</v>
      </c>
      <c r="J145" s="611">
        <f aca="true" t="shared" si="70" ref="J145:AB145">J144-J143</f>
        <v>-26.16</v>
      </c>
      <c r="K145" s="611">
        <f t="shared" si="70"/>
        <v>-24.720000000000002</v>
      </c>
      <c r="L145" s="611">
        <f t="shared" si="70"/>
        <v>-10.652952673394914</v>
      </c>
      <c r="M145" s="611">
        <f t="shared" si="70"/>
        <v>-2.5887610494454725</v>
      </c>
      <c r="N145" s="611">
        <f t="shared" si="70"/>
        <v>0.34720336801962226</v>
      </c>
      <c r="O145" s="611">
        <f t="shared" si="70"/>
        <v>1.1757145904000375</v>
      </c>
      <c r="P145" s="611">
        <f t="shared" si="70"/>
        <v>2.363534664906121</v>
      </c>
      <c r="Q145" s="611">
        <f t="shared" si="70"/>
        <v>4.070357089604428</v>
      </c>
      <c r="R145" s="612">
        <f t="shared" si="70"/>
        <v>6.3420892546392515</v>
      </c>
      <c r="S145" s="611">
        <f t="shared" si="70"/>
        <v>9.221875680003947</v>
      </c>
      <c r="T145" s="611">
        <f t="shared" si="70"/>
        <v>12.747980035118466</v>
      </c>
      <c r="U145" s="611">
        <f t="shared" si="70"/>
        <v>16.95113297024752</v>
      </c>
      <c r="V145" s="611">
        <f t="shared" si="70"/>
        <v>21.851250712402976</v>
      </c>
      <c r="W145" s="611">
        <f t="shared" si="70"/>
        <v>27.45341888660498</v>
      </c>
      <c r="X145" s="611">
        <f t="shared" si="70"/>
        <v>33.74302611604326</v>
      </c>
      <c r="Y145" s="611">
        <f t="shared" si="70"/>
        <v>41.46348323398625</v>
      </c>
      <c r="Z145" s="611">
        <f t="shared" si="70"/>
        <v>49.64135689925288</v>
      </c>
      <c r="AA145" s="611">
        <f t="shared" si="70"/>
        <v>58.47163271937473</v>
      </c>
      <c r="AB145" s="611">
        <f t="shared" si="70"/>
        <v>67.87383411702132</v>
      </c>
      <c r="AC145" s="611">
        <f aca="true" t="shared" si="71" ref="AC145:AH145">AC144-AC143</f>
        <v>77.72990971940266</v>
      </c>
      <c r="AD145" s="611">
        <f t="shared" si="71"/>
        <v>87.87641065841251</v>
      </c>
      <c r="AE145" s="611">
        <f t="shared" si="71"/>
        <v>98.09559373495065</v>
      </c>
      <c r="AF145" s="611">
        <f t="shared" si="71"/>
        <v>108.10539128613249</v>
      </c>
      <c r="AG145" s="611">
        <f t="shared" si="71"/>
        <v>117.54820893101052</v>
      </c>
      <c r="AH145" s="611">
        <f t="shared" si="71"/>
        <v>125.97854109563217</v>
      </c>
      <c r="AI145" s="609"/>
    </row>
    <row r="146" spans="3:35" ht="13.5" thickBot="1">
      <c r="C146" s="613"/>
      <c r="D146" s="614"/>
      <c r="E146" s="614"/>
      <c r="F146" s="614"/>
      <c r="G146" s="614"/>
      <c r="H146" s="614"/>
      <c r="I146" s="614"/>
      <c r="J146" s="614"/>
      <c r="K146" s="614"/>
      <c r="L146" s="614"/>
      <c r="M146" s="614"/>
      <c r="N146" s="614"/>
      <c r="O146" s="614"/>
      <c r="P146" s="614"/>
      <c r="Q146" s="614"/>
      <c r="R146" s="615"/>
      <c r="S146" s="614"/>
      <c r="T146" s="614"/>
      <c r="U146" s="614"/>
      <c r="V146" s="614"/>
      <c r="W146" s="614"/>
      <c r="X146" s="614"/>
      <c r="Y146" s="614"/>
      <c r="Z146" s="614"/>
      <c r="AA146" s="614"/>
      <c r="AB146" s="614"/>
      <c r="AC146" s="614"/>
      <c r="AD146" s="614"/>
      <c r="AE146" s="614"/>
      <c r="AF146" s="614"/>
      <c r="AG146" s="614"/>
      <c r="AH146" s="614"/>
      <c r="AI146" s="616"/>
    </row>
    <row r="147" spans="6:30" ht="12.75">
      <c r="F147" s="5"/>
      <c r="G147" s="5"/>
      <c r="H147" s="5"/>
      <c r="I147" s="5"/>
      <c r="J147" s="5"/>
      <c r="K147" s="5"/>
      <c r="L147" s="5"/>
      <c r="M147" s="5"/>
      <c r="N147" s="5"/>
      <c r="O147" s="5"/>
      <c r="P147" s="5"/>
      <c r="Q147" s="5"/>
      <c r="R147" s="96"/>
      <c r="S147" s="5"/>
      <c r="T147" s="5"/>
      <c r="U147" s="5"/>
      <c r="V147" s="5"/>
      <c r="W147" s="5"/>
      <c r="X147" s="5"/>
      <c r="Y147" s="5"/>
      <c r="Z147" s="5"/>
      <c r="AA147" s="5"/>
      <c r="AB147" s="5"/>
      <c r="AC147" s="5"/>
      <c r="AD147" s="5"/>
    </row>
    <row r="148" spans="6:30" ht="12.75">
      <c r="F148" s="5"/>
      <c r="G148" s="5"/>
      <c r="H148" s="5"/>
      <c r="I148" s="5"/>
      <c r="J148" s="5"/>
      <c r="K148" s="5"/>
      <c r="L148" s="5"/>
      <c r="M148" s="5"/>
      <c r="N148" s="5"/>
      <c r="O148" s="5"/>
      <c r="P148" s="5"/>
      <c r="Q148" s="5"/>
      <c r="R148" s="96"/>
      <c r="S148" s="5"/>
      <c r="T148" s="5"/>
      <c r="U148" s="5"/>
      <c r="V148" s="5"/>
      <c r="W148" s="5"/>
      <c r="X148" s="5"/>
      <c r="Y148" s="5"/>
      <c r="Z148" s="5"/>
      <c r="AA148" s="5"/>
      <c r="AB148" s="5"/>
      <c r="AC148" s="5"/>
      <c r="AD148" s="5"/>
    </row>
    <row r="149" spans="6:30" ht="12.75">
      <c r="F149" s="5"/>
      <c r="G149" s="5"/>
      <c r="H149" s="5"/>
      <c r="I149" s="5"/>
      <c r="J149" s="5"/>
      <c r="K149" s="5"/>
      <c r="L149" s="5"/>
      <c r="M149" s="5"/>
      <c r="N149" s="5"/>
      <c r="O149" s="5"/>
      <c r="P149" s="5"/>
      <c r="Q149" s="5"/>
      <c r="R149" s="96"/>
      <c r="S149" s="5"/>
      <c r="T149" s="5"/>
      <c r="U149" s="5"/>
      <c r="V149" s="5"/>
      <c r="W149" s="5"/>
      <c r="X149" s="5"/>
      <c r="Y149" s="5"/>
      <c r="Z149" s="5"/>
      <c r="AA149" s="5"/>
      <c r="AB149" s="5"/>
      <c r="AC149" s="5"/>
      <c r="AD149" s="5"/>
    </row>
    <row r="150" spans="6:30" ht="12.75">
      <c r="F150" s="5"/>
      <c r="G150" s="5"/>
      <c r="H150" s="5"/>
      <c r="I150" s="5"/>
      <c r="J150" s="5"/>
      <c r="K150" s="5"/>
      <c r="L150" s="5"/>
      <c r="M150" s="5"/>
      <c r="N150" s="5"/>
      <c r="O150" s="5"/>
      <c r="P150" s="5"/>
      <c r="Q150" s="5"/>
      <c r="R150" s="96"/>
      <c r="S150" s="5"/>
      <c r="T150" s="5"/>
      <c r="U150" s="5"/>
      <c r="V150" s="5"/>
      <c r="W150" s="5"/>
      <c r="X150" s="5"/>
      <c r="Y150" s="5"/>
      <c r="Z150" s="5"/>
      <c r="AA150" s="5"/>
      <c r="AB150" s="5"/>
      <c r="AC150" s="5"/>
      <c r="AD150" s="5"/>
    </row>
    <row r="151" spans="6:30" ht="12.75">
      <c r="F151" s="5"/>
      <c r="G151" s="5"/>
      <c r="H151" s="5"/>
      <c r="I151" s="5"/>
      <c r="J151" s="5"/>
      <c r="K151" s="5"/>
      <c r="L151" s="5"/>
      <c r="M151" s="5"/>
      <c r="N151" s="5"/>
      <c r="O151" s="5"/>
      <c r="P151" s="5"/>
      <c r="Q151" s="5"/>
      <c r="R151" s="96"/>
      <c r="S151" s="5"/>
      <c r="T151" s="5"/>
      <c r="U151" s="5"/>
      <c r="V151" s="5"/>
      <c r="W151" s="5"/>
      <c r="X151" s="5"/>
      <c r="Y151" s="5"/>
      <c r="Z151" s="5"/>
      <c r="AA151" s="5"/>
      <c r="AB151" s="5"/>
      <c r="AC151" s="5"/>
      <c r="AD151" s="5"/>
    </row>
    <row r="152" spans="6:30" ht="12.75">
      <c r="F152" s="5"/>
      <c r="G152" s="5"/>
      <c r="H152" s="5"/>
      <c r="I152" s="5"/>
      <c r="J152" s="5"/>
      <c r="K152" s="5"/>
      <c r="L152" s="5"/>
      <c r="M152" s="5"/>
      <c r="N152" s="5"/>
      <c r="O152" s="5"/>
      <c r="P152" s="5"/>
      <c r="Q152" s="5"/>
      <c r="R152" s="96"/>
      <c r="S152" s="5"/>
      <c r="T152" s="5"/>
      <c r="U152" s="5"/>
      <c r="V152" s="5"/>
      <c r="W152" s="5"/>
      <c r="X152" s="5"/>
      <c r="Y152" s="5"/>
      <c r="Z152" s="5"/>
      <c r="AA152" s="5"/>
      <c r="AB152" s="5"/>
      <c r="AC152" s="5"/>
      <c r="AD152" s="5"/>
    </row>
    <row r="153" spans="6:30" ht="12.75">
      <c r="F153" s="5"/>
      <c r="G153" s="5"/>
      <c r="H153" s="5"/>
      <c r="I153" s="5"/>
      <c r="J153" s="5"/>
      <c r="K153" s="5"/>
      <c r="L153" s="5"/>
      <c r="M153" s="5"/>
      <c r="N153" s="5"/>
      <c r="O153" s="5"/>
      <c r="P153" s="5"/>
      <c r="Q153" s="5"/>
      <c r="R153" s="96"/>
      <c r="S153" s="5"/>
      <c r="T153" s="5"/>
      <c r="U153" s="5"/>
      <c r="V153" s="5"/>
      <c r="W153" s="5"/>
      <c r="X153" s="5"/>
      <c r="Y153" s="5"/>
      <c r="Z153" s="5"/>
      <c r="AA153" s="5"/>
      <c r="AB153" s="5"/>
      <c r="AC153" s="5"/>
      <c r="AD153" s="5"/>
    </row>
    <row r="154" spans="6:30" ht="12.75">
      <c r="F154" s="5"/>
      <c r="G154" s="5"/>
      <c r="H154" s="5"/>
      <c r="I154" s="5"/>
      <c r="J154" s="5"/>
      <c r="K154" s="5"/>
      <c r="L154" s="5"/>
      <c r="M154" s="5"/>
      <c r="N154" s="5"/>
      <c r="O154" s="5"/>
      <c r="P154" s="5"/>
      <c r="Q154" s="5"/>
      <c r="R154" s="96"/>
      <c r="S154" s="5"/>
      <c r="T154" s="5"/>
      <c r="U154" s="5"/>
      <c r="V154" s="5"/>
      <c r="W154" s="5"/>
      <c r="X154" s="5"/>
      <c r="Y154" s="5"/>
      <c r="Z154" s="5"/>
      <c r="AA154" s="5"/>
      <c r="AB154" s="5"/>
      <c r="AC154" s="5"/>
      <c r="AD154" s="5"/>
    </row>
  </sheetData>
  <mergeCells count="16">
    <mergeCell ref="E74:G74"/>
    <mergeCell ref="E75:G75"/>
    <mergeCell ref="E76:G76"/>
    <mergeCell ref="E65:G65"/>
    <mergeCell ref="E66:G66"/>
    <mergeCell ref="E67:G67"/>
    <mergeCell ref="C4:D4"/>
    <mergeCell ref="I4:L4"/>
    <mergeCell ref="C5:D5"/>
    <mergeCell ref="I11:L11"/>
    <mergeCell ref="D46:E46"/>
    <mergeCell ref="C35:D35"/>
    <mergeCell ref="D37:E37"/>
    <mergeCell ref="C31:D32"/>
    <mergeCell ref="D34:E34"/>
    <mergeCell ref="E42:G42"/>
  </mergeCells>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6"/>
  <dimension ref="A1:BW134"/>
  <sheetViews>
    <sheetView workbookViewId="0" topLeftCell="A1">
      <selection activeCell="A1" sqref="A1"/>
    </sheetView>
  </sheetViews>
  <sheetFormatPr defaultColWidth="9.33203125" defaultRowHeight="12.75"/>
  <cols>
    <col min="1" max="1" width="12.83203125" style="5" customWidth="1"/>
    <col min="2" max="2" width="18.16015625" style="5" customWidth="1"/>
    <col min="3" max="4" width="12.83203125" style="5" customWidth="1"/>
    <col min="5" max="5" width="15.33203125" style="5" customWidth="1"/>
    <col min="6" max="53" width="12.83203125" style="5" customWidth="1"/>
    <col min="54" max="57" width="8.33203125" style="5" customWidth="1"/>
    <col min="58" max="58" width="2.83203125" style="5" customWidth="1"/>
    <col min="59" max="59" width="8.33203125" style="5" customWidth="1"/>
    <col min="60" max="60" width="9.33203125" style="5" customWidth="1"/>
    <col min="61" max="66" width="12.83203125" style="5" customWidth="1"/>
    <col min="67" max="70" width="9.33203125" style="5" customWidth="1"/>
    <col min="71" max="71" width="10.83203125" style="5" customWidth="1"/>
    <col min="72" max="72" width="15.16015625" style="5" customWidth="1"/>
    <col min="73" max="73" width="13.5" style="5" customWidth="1"/>
    <col min="74" max="16384" width="9.33203125" style="5" customWidth="1"/>
  </cols>
  <sheetData>
    <row r="1" spans="43:45" ht="12.75">
      <c r="AQ1" s="13"/>
      <c r="AR1" s="13"/>
      <c r="AS1" s="13"/>
    </row>
    <row r="2" spans="2:45" ht="12.75">
      <c r="B2" s="3" t="s">
        <v>168</v>
      </c>
      <c r="AQ2" s="13"/>
      <c r="AR2" s="13"/>
      <c r="AS2" s="13"/>
    </row>
    <row r="3" spans="4:45" ht="12.75">
      <c r="D3" s="16"/>
      <c r="E3" s="16"/>
      <c r="AQ3" s="13"/>
      <c r="AR3" s="13"/>
      <c r="AS3" s="13"/>
    </row>
    <row r="4" spans="1:45" ht="12.75">
      <c r="A4" s="5" t="s">
        <v>92</v>
      </c>
      <c r="B4" s="51">
        <f aca="true" t="shared" si="0" ref="B4:B10">ROW()-ROW(Phasing2)+1</f>
        <v>1</v>
      </c>
      <c r="C4" s="18"/>
      <c r="D4" s="21"/>
      <c r="E4" s="58" t="s">
        <v>111</v>
      </c>
      <c r="F4" s="18" t="str">
        <f aca="true" t="shared" si="1" ref="F4:R4">F7&amp;F8</f>
        <v>1980cable1</v>
      </c>
      <c r="G4" s="18" t="str">
        <f t="shared" si="1"/>
        <v>2014cable2</v>
      </c>
      <c r="H4" s="18" t="str">
        <f t="shared" si="1"/>
        <v>2020cable3</v>
      </c>
      <c r="I4" s="18" t="str">
        <f t="shared" si="1"/>
        <v>2009diesel</v>
      </c>
      <c r="J4" s="18" t="str">
        <f t="shared" si="1"/>
        <v>2011diesel</v>
      </c>
      <c r="K4" s="18" t="str">
        <f t="shared" si="1"/>
        <v>2016diesel</v>
      </c>
      <c r="L4" s="18" t="str">
        <f t="shared" si="1"/>
        <v>2028diesel</v>
      </c>
      <c r="M4" s="18" t="str">
        <f t="shared" si="1"/>
        <v>2029diesel</v>
      </c>
      <c r="N4" s="18" t="str">
        <f t="shared" si="1"/>
        <v>2031diesel</v>
      </c>
      <c r="O4" s="18" t="str">
        <f t="shared" si="1"/>
        <v>2029diesel</v>
      </c>
      <c r="P4" s="18" t="str">
        <f t="shared" si="1"/>
        <v>2031diesel</v>
      </c>
      <c r="Q4" s="18" t="str">
        <f t="shared" si="1"/>
        <v>2010wind</v>
      </c>
      <c r="R4" s="19" t="str">
        <f t="shared" si="1"/>
        <v>2030wind</v>
      </c>
      <c r="T4" s="195" t="s">
        <v>106</v>
      </c>
      <c r="U4" s="53"/>
      <c r="V4" s="53"/>
      <c r="W4" s="53"/>
      <c r="X4" s="53"/>
      <c r="Y4" s="53"/>
      <c r="Z4" s="54"/>
      <c r="AQ4" s="13"/>
      <c r="AR4" s="13"/>
      <c r="AS4" s="13"/>
    </row>
    <row r="5" spans="2:75" ht="38.25">
      <c r="B5" s="37">
        <f t="shared" si="0"/>
        <v>2</v>
      </c>
      <c r="C5" s="21"/>
      <c r="D5" s="21"/>
      <c r="E5" s="59"/>
      <c r="F5" s="21"/>
      <c r="G5" s="21"/>
      <c r="H5" s="21"/>
      <c r="I5" s="21"/>
      <c r="J5" s="21"/>
      <c r="K5" s="21"/>
      <c r="L5" s="21"/>
      <c r="M5" s="21"/>
      <c r="N5" s="21"/>
      <c r="O5" s="21"/>
      <c r="P5" s="21"/>
      <c r="Q5" s="60">
        <v>15</v>
      </c>
      <c r="R5" s="61">
        <v>30</v>
      </c>
      <c r="T5" s="55"/>
      <c r="U5" s="56"/>
      <c r="V5" s="203" t="s">
        <v>103</v>
      </c>
      <c r="W5" s="203" t="s">
        <v>89</v>
      </c>
      <c r="X5" s="203" t="s">
        <v>90</v>
      </c>
      <c r="Y5" s="203"/>
      <c r="Z5" s="71"/>
      <c r="AQ5" s="13"/>
      <c r="AR5" s="13"/>
      <c r="AS5" s="13"/>
      <c r="BV5" s="13"/>
      <c r="BW5" s="13"/>
    </row>
    <row r="6" spans="2:75" ht="12.75">
      <c r="B6" s="37">
        <f t="shared" si="0"/>
        <v>3</v>
      </c>
      <c r="C6" s="21"/>
      <c r="D6" s="21"/>
      <c r="E6" s="58" t="s">
        <v>112</v>
      </c>
      <c r="F6" s="62">
        <v>45</v>
      </c>
      <c r="G6" s="62">
        <v>45</v>
      </c>
      <c r="H6" s="62">
        <v>100</v>
      </c>
      <c r="I6" s="62">
        <v>14</v>
      </c>
      <c r="J6" s="62">
        <v>28</v>
      </c>
      <c r="K6" s="62">
        <v>28</v>
      </c>
      <c r="L6" s="62">
        <v>28</v>
      </c>
      <c r="M6" s="62">
        <v>14</v>
      </c>
      <c r="N6" s="62">
        <v>56</v>
      </c>
      <c r="O6" s="62">
        <v>0</v>
      </c>
      <c r="P6" s="62">
        <v>0</v>
      </c>
      <c r="Q6" s="62">
        <v>0</v>
      </c>
      <c r="R6" s="63">
        <v>0</v>
      </c>
      <c r="T6" s="55"/>
      <c r="U6" s="56"/>
      <c r="V6" s="56"/>
      <c r="W6" s="56"/>
      <c r="X6" s="56"/>
      <c r="Y6" s="56"/>
      <c r="Z6" s="71"/>
      <c r="AQ6" s="13"/>
      <c r="AR6" s="13"/>
      <c r="AS6" s="13"/>
      <c r="BV6" s="13"/>
      <c r="BW6" s="13"/>
    </row>
    <row r="7" spans="2:75" ht="12.75">
      <c r="B7" s="37">
        <f t="shared" si="0"/>
        <v>4</v>
      </c>
      <c r="C7" s="21"/>
      <c r="D7" s="21"/>
      <c r="E7" s="58" t="s">
        <v>113</v>
      </c>
      <c r="F7" s="62">
        <v>1980</v>
      </c>
      <c r="G7" s="62">
        <v>2014</v>
      </c>
      <c r="H7" s="62">
        <v>2020</v>
      </c>
      <c r="I7" s="62">
        <v>2009</v>
      </c>
      <c r="J7" s="62">
        <v>2011</v>
      </c>
      <c r="K7" s="62">
        <v>2016</v>
      </c>
      <c r="L7" s="62">
        <v>2028</v>
      </c>
      <c r="M7" s="62">
        <v>2029</v>
      </c>
      <c r="N7" s="62">
        <v>2031</v>
      </c>
      <c r="O7" s="62">
        <v>2029</v>
      </c>
      <c r="P7" s="62">
        <v>2031</v>
      </c>
      <c r="Q7" s="62">
        <v>2010</v>
      </c>
      <c r="R7" s="63">
        <v>2030</v>
      </c>
      <c r="T7" s="55" t="s">
        <v>88</v>
      </c>
      <c r="U7" s="56"/>
      <c r="V7" s="82">
        <v>0.2</v>
      </c>
      <c r="W7" s="82">
        <v>0.6121212121212122</v>
      </c>
      <c r="X7" s="82">
        <v>0.029750000000000002</v>
      </c>
      <c r="Y7" s="56"/>
      <c r="Z7" s="71"/>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V7" s="13"/>
      <c r="BW7" s="13"/>
    </row>
    <row r="8" spans="2:75" ht="12.75">
      <c r="B8" s="37">
        <f t="shared" si="0"/>
        <v>5</v>
      </c>
      <c r="C8" s="21"/>
      <c r="D8" s="21"/>
      <c r="E8" s="58" t="s">
        <v>114</v>
      </c>
      <c r="F8" s="62" t="s">
        <v>26</v>
      </c>
      <c r="G8" s="62" t="s">
        <v>27</v>
      </c>
      <c r="H8" s="62" t="s">
        <v>62</v>
      </c>
      <c r="I8" s="62" t="s">
        <v>18</v>
      </c>
      <c r="J8" s="62" t="s">
        <v>18</v>
      </c>
      <c r="K8" s="62" t="s">
        <v>18</v>
      </c>
      <c r="L8" s="62" t="s">
        <v>18</v>
      </c>
      <c r="M8" s="62" t="s">
        <v>18</v>
      </c>
      <c r="N8" s="62" t="s">
        <v>18</v>
      </c>
      <c r="O8" s="62" t="s">
        <v>18</v>
      </c>
      <c r="P8" s="62" t="s">
        <v>18</v>
      </c>
      <c r="Q8" s="62" t="s">
        <v>19</v>
      </c>
      <c r="R8" s="63" t="s">
        <v>19</v>
      </c>
      <c r="T8" s="55" t="s">
        <v>87</v>
      </c>
      <c r="U8" s="56"/>
      <c r="V8" s="82">
        <v>0</v>
      </c>
      <c r="W8" s="82">
        <v>0.505</v>
      </c>
      <c r="X8" s="82">
        <v>0.0225</v>
      </c>
      <c r="Y8" s="56"/>
      <c r="Z8" s="71"/>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V8" s="13"/>
      <c r="BW8" s="13"/>
    </row>
    <row r="9" spans="2:75" ht="12.75">
      <c r="B9" s="37">
        <f t="shared" si="0"/>
        <v>6</v>
      </c>
      <c r="C9" s="21"/>
      <c r="D9" s="21"/>
      <c r="E9" s="58" t="s">
        <v>115</v>
      </c>
      <c r="F9" s="64">
        <f>HLOOKUP(F$8,Costs2,Assumptions!$V$8,FALSE)*F$6/1000</f>
        <v>22.5</v>
      </c>
      <c r="G9" s="64">
        <f>HLOOKUP(G$8,Costs2,Assumptions!$V$8,FALSE)*G$6/1000</f>
        <v>0</v>
      </c>
      <c r="H9" s="64">
        <f>HLOOKUP(H$8,Costs2,Assumptions!$V$8,FALSE)*H$6/1000</f>
        <v>48.3</v>
      </c>
      <c r="I9" s="64">
        <f>HLOOKUP(I$8,Costs2,Assumptions!$V$8,FALSE)*I$6/1000</f>
        <v>21</v>
      </c>
      <c r="J9" s="64">
        <f>HLOOKUP(J$8,Costs2,Assumptions!$V$8,FALSE)*J$6/1000</f>
        <v>42</v>
      </c>
      <c r="K9" s="64">
        <f>HLOOKUP(K$8,Costs2,Assumptions!$V$8,FALSE)*K$6/1000</f>
        <v>42</v>
      </c>
      <c r="L9" s="64">
        <f>HLOOKUP(L$8,Costs2,Assumptions!$V$8,FALSE)*L$6/1000</f>
        <v>42</v>
      </c>
      <c r="M9" s="64">
        <f>HLOOKUP(M$8,Costs2,Assumptions!$V$8,FALSE)*M$6/1000</f>
        <v>21</v>
      </c>
      <c r="N9" s="64">
        <f>HLOOKUP(N$8,Costs2,Assumptions!$V$8,FALSE)*N$6/1000</f>
        <v>84</v>
      </c>
      <c r="O9" s="64">
        <f>HLOOKUP(O$8,Costs2,Assumptions!$V$8,FALSE)*O$6/1000</f>
        <v>0</v>
      </c>
      <c r="P9" s="64">
        <f>HLOOKUP(P$8,Costs2,Assumptions!$V$8,FALSE)*P$6/1000</f>
        <v>0</v>
      </c>
      <c r="Q9" s="64">
        <f>HLOOKUP(Q$8,Costs2,Assumptions!$V$8,FALSE)*Q$6/1000</f>
        <v>0</v>
      </c>
      <c r="R9" s="65">
        <f>HLOOKUP(R$8,Costs2,Assumptions!$V$8,FALSE)*R$6/1000</f>
        <v>0</v>
      </c>
      <c r="T9" s="197" t="s">
        <v>64</v>
      </c>
      <c r="U9" s="179"/>
      <c r="V9" s="201">
        <v>0.05</v>
      </c>
      <c r="W9" s="201">
        <v>1.0029411764705882</v>
      </c>
      <c r="X9" s="201">
        <v>0.035</v>
      </c>
      <c r="Y9" s="179"/>
      <c r="Z9" s="643"/>
      <c r="AA9" s="644"/>
      <c r="AB9" s="13"/>
      <c r="AC9" s="196"/>
      <c r="AD9" s="13"/>
      <c r="AE9" s="13"/>
      <c r="AF9" s="13"/>
      <c r="AG9" s="13"/>
      <c r="AH9" s="13"/>
      <c r="AI9" s="13"/>
      <c r="AJ9" s="13"/>
      <c r="AK9" s="196"/>
      <c r="AL9" s="13"/>
      <c r="AM9" s="13"/>
      <c r="AN9" s="13"/>
      <c r="AO9" s="13"/>
      <c r="AP9" s="13"/>
      <c r="AQ9" s="13"/>
      <c r="AR9" s="13"/>
      <c r="AS9" s="196"/>
      <c r="AT9" s="13"/>
      <c r="AU9" s="13"/>
      <c r="AV9" s="13"/>
      <c r="AW9" s="13"/>
      <c r="AX9" s="13"/>
      <c r="AY9" s="13"/>
      <c r="AZ9" s="13"/>
      <c r="BA9" s="196"/>
      <c r="BB9" s="13"/>
      <c r="BC9" s="13"/>
      <c r="BD9" s="13"/>
      <c r="BE9" s="13"/>
      <c r="BF9" s="13"/>
      <c r="BG9" s="13"/>
      <c r="BH9" s="13"/>
      <c r="BI9" s="196"/>
      <c r="BJ9" s="13"/>
      <c r="BK9" s="13"/>
      <c r="BL9" s="13"/>
      <c r="BM9" s="13"/>
      <c r="BN9" s="13"/>
      <c r="BO9" s="53"/>
      <c r="BP9" s="81" t="s">
        <v>109</v>
      </c>
      <c r="BQ9" s="53"/>
      <c r="BR9" s="53"/>
      <c r="BS9" s="53"/>
      <c r="BT9" s="53"/>
      <c r="BU9" s="53"/>
      <c r="BV9" s="56"/>
      <c r="BW9" s="13"/>
    </row>
    <row r="10" spans="2:75" ht="42" customHeight="1">
      <c r="B10" s="38">
        <f t="shared" si="0"/>
        <v>7</v>
      </c>
      <c r="C10" s="23"/>
      <c r="D10" s="23"/>
      <c r="E10" s="66" t="s">
        <v>29</v>
      </c>
      <c r="F10" s="67">
        <f>HLOOKUP(F$8,Costs2,Assumptions!$V$12,FALSE)</f>
        <v>34</v>
      </c>
      <c r="G10" s="67">
        <f>HLOOKUP(G8,Costs2,Assumptions!$V$12,FALSE)</f>
        <v>6</v>
      </c>
      <c r="H10" s="67">
        <f>HLOOKUP(H8,Costs2,Assumptions!$V$12,FALSE)</f>
        <v>40</v>
      </c>
      <c r="I10" s="67">
        <f>HLOOKUP(I8,Costs2,Assumptions!$V$12,FALSE)</f>
        <v>20</v>
      </c>
      <c r="J10" s="67">
        <f>HLOOKUP(J8,Costs2,Assumptions!$V$12,FALSE)</f>
        <v>20</v>
      </c>
      <c r="K10" s="67">
        <f>HLOOKUP(K8,Costs2,Assumptions!$V$12,FALSE)</f>
        <v>20</v>
      </c>
      <c r="L10" s="67">
        <f>HLOOKUP(L8,Costs2,Assumptions!$V$12,FALSE)</f>
        <v>20</v>
      </c>
      <c r="M10" s="67">
        <f>HLOOKUP(M8,Costs2,Assumptions!$V$12,FALSE)</f>
        <v>20</v>
      </c>
      <c r="N10" s="67">
        <f>HLOOKUP(N8,Costs2,Assumptions!$V$12,FALSE)</f>
        <v>20</v>
      </c>
      <c r="O10" s="67">
        <f>HLOOKUP(O8,Costs2,Assumptions!$V$12,FALSE)</f>
        <v>20</v>
      </c>
      <c r="P10" s="67">
        <f>HLOOKUP(P8,Costs2,Assumptions!$V$12,FALSE)</f>
        <v>20</v>
      </c>
      <c r="Q10" s="67">
        <f>HLOOKUP(Q8,Costs2,Assumptions!$V$12,FALSE)</f>
        <v>20</v>
      </c>
      <c r="R10" s="68">
        <f>HLOOKUP(R8,Costs2,Assumptions!$V$12,FALSE)</f>
        <v>20</v>
      </c>
      <c r="T10" s="198" t="s">
        <v>86</v>
      </c>
      <c r="U10" s="177"/>
      <c r="V10" s="202">
        <v>0.75</v>
      </c>
      <c r="W10" s="202">
        <v>0.8625</v>
      </c>
      <c r="X10" s="202">
        <v>0.15973684210526315</v>
      </c>
      <c r="Y10" s="179"/>
      <c r="Z10" s="643"/>
      <c r="AA10" s="644"/>
      <c r="AB10" s="13"/>
      <c r="AC10" s="74"/>
      <c r="AD10" s="74"/>
      <c r="AE10" s="74"/>
      <c r="AF10" s="74"/>
      <c r="AG10" s="74"/>
      <c r="AH10" s="17"/>
      <c r="AI10" s="17"/>
      <c r="AJ10" s="13"/>
      <c r="AK10" s="74"/>
      <c r="AL10" s="74"/>
      <c r="AM10" s="74"/>
      <c r="AN10" s="74"/>
      <c r="AO10" s="74"/>
      <c r="AP10" s="17"/>
      <c r="AQ10" s="17"/>
      <c r="AR10" s="17"/>
      <c r="AS10" s="74"/>
      <c r="AT10" s="74"/>
      <c r="AU10" s="74"/>
      <c r="AV10" s="74"/>
      <c r="AW10" s="74"/>
      <c r="AX10" s="17"/>
      <c r="AY10" s="17"/>
      <c r="AZ10" s="17"/>
      <c r="BA10" s="74"/>
      <c r="BB10" s="74"/>
      <c r="BC10" s="74"/>
      <c r="BD10" s="74"/>
      <c r="BE10" s="74"/>
      <c r="BF10" s="17"/>
      <c r="BG10" s="17"/>
      <c r="BH10" s="17"/>
      <c r="BI10" s="76"/>
      <c r="BJ10" s="76"/>
      <c r="BK10" s="76"/>
      <c r="BL10" s="76"/>
      <c r="BM10" s="76"/>
      <c r="BN10" s="76"/>
      <c r="BO10" s="56"/>
      <c r="BP10" s="56"/>
      <c r="BQ10" s="56"/>
      <c r="BR10" s="56"/>
      <c r="BS10" s="56"/>
      <c r="BT10" s="56"/>
      <c r="BU10" s="56"/>
      <c r="BV10" s="56"/>
      <c r="BW10" s="13"/>
    </row>
    <row r="11" spans="2:75" ht="12.75" customHeight="1">
      <c r="B11" s="13"/>
      <c r="C11" s="13"/>
      <c r="D11" s="13"/>
      <c r="E11" s="17"/>
      <c r="F11" s="35"/>
      <c r="G11" s="35"/>
      <c r="H11" s="35"/>
      <c r="I11" s="35"/>
      <c r="J11" s="35"/>
      <c r="K11" s="35"/>
      <c r="L11" s="35"/>
      <c r="M11" s="35"/>
      <c r="N11" s="35"/>
      <c r="O11" s="35"/>
      <c r="P11" s="35"/>
      <c r="Q11" s="35"/>
      <c r="R11" s="35"/>
      <c r="T11" s="198"/>
      <c r="U11" s="177"/>
      <c r="V11" s="202">
        <v>1</v>
      </c>
      <c r="W11" s="202"/>
      <c r="X11" s="202"/>
      <c r="Y11" s="179"/>
      <c r="Z11" s="181"/>
      <c r="AA11" s="88"/>
      <c r="AB11" s="13"/>
      <c r="AC11" s="74"/>
      <c r="AD11" s="74"/>
      <c r="AE11" s="74"/>
      <c r="AF11" s="74"/>
      <c r="AG11" s="74"/>
      <c r="AH11" s="17"/>
      <c r="AI11" s="17"/>
      <c r="AJ11" s="13"/>
      <c r="AK11" s="74"/>
      <c r="AL11" s="74"/>
      <c r="AM11" s="74"/>
      <c r="AN11" s="74"/>
      <c r="AO11" s="74"/>
      <c r="AP11" s="17"/>
      <c r="AQ11" s="17"/>
      <c r="AR11" s="17"/>
      <c r="AS11" s="74"/>
      <c r="AT11" s="74"/>
      <c r="AU11" s="74"/>
      <c r="AV11" s="74"/>
      <c r="AW11" s="74"/>
      <c r="AX11" s="17"/>
      <c r="AY11" s="17"/>
      <c r="AZ11" s="17"/>
      <c r="BA11" s="74"/>
      <c r="BB11" s="74"/>
      <c r="BC11" s="74"/>
      <c r="BD11" s="74"/>
      <c r="BE11" s="74"/>
      <c r="BF11" s="17"/>
      <c r="BG11" s="17"/>
      <c r="BH11" s="17"/>
      <c r="BI11" s="76"/>
      <c r="BJ11" s="76"/>
      <c r="BK11" s="76"/>
      <c r="BL11" s="76"/>
      <c r="BM11" s="76"/>
      <c r="BN11" s="76"/>
      <c r="BO11" s="13"/>
      <c r="BP11" s="13"/>
      <c r="BQ11" s="13"/>
      <c r="BR11" s="13"/>
      <c r="BS11" s="13"/>
      <c r="BT11" s="13"/>
      <c r="BU11" s="13"/>
      <c r="BV11" s="13"/>
      <c r="BW11" s="13"/>
    </row>
    <row r="12" spans="2:75" ht="12.75" customHeight="1">
      <c r="B12" s="13"/>
      <c r="C12" s="13"/>
      <c r="D12" s="13"/>
      <c r="E12" s="17"/>
      <c r="F12" s="35"/>
      <c r="G12" s="35"/>
      <c r="H12" s="35"/>
      <c r="I12" s="35"/>
      <c r="J12" s="35"/>
      <c r="K12" s="35"/>
      <c r="L12" s="35"/>
      <c r="M12" s="35"/>
      <c r="N12" s="35"/>
      <c r="O12" s="35"/>
      <c r="P12" s="35"/>
      <c r="Q12" s="35"/>
      <c r="R12" s="35"/>
      <c r="T12" s="198" t="s">
        <v>85</v>
      </c>
      <c r="U12" s="177"/>
      <c r="V12" s="202"/>
      <c r="W12" s="202">
        <v>0.819446301247772</v>
      </c>
      <c r="X12" s="202">
        <v>0.12750263157894737</v>
      </c>
      <c r="Y12" s="179"/>
      <c r="Z12" s="181"/>
      <c r="AA12" s="88"/>
      <c r="AB12" s="13"/>
      <c r="AC12" s="74"/>
      <c r="AD12" s="74"/>
      <c r="AE12" s="74"/>
      <c r="AF12" s="74"/>
      <c r="AG12" s="74"/>
      <c r="AH12" s="17"/>
      <c r="AI12" s="17"/>
      <c r="AJ12" s="13"/>
      <c r="AK12" s="74"/>
      <c r="AL12" s="74"/>
      <c r="AM12" s="74"/>
      <c r="AN12" s="74"/>
      <c r="AO12" s="74"/>
      <c r="AP12" s="17"/>
      <c r="AQ12" s="17"/>
      <c r="AR12" s="17"/>
      <c r="AS12" s="74"/>
      <c r="AT12" s="74"/>
      <c r="AU12" s="74"/>
      <c r="AV12" s="74"/>
      <c r="AW12" s="74"/>
      <c r="AX12" s="17"/>
      <c r="AY12" s="17"/>
      <c r="AZ12" s="17"/>
      <c r="BA12" s="74"/>
      <c r="BB12" s="74"/>
      <c r="BC12" s="74"/>
      <c r="BD12" s="74"/>
      <c r="BE12" s="74"/>
      <c r="BF12" s="17"/>
      <c r="BG12" s="40"/>
      <c r="BH12" s="57"/>
      <c r="BI12" s="75"/>
      <c r="BJ12" s="76"/>
      <c r="BK12" s="76"/>
      <c r="BL12" s="76"/>
      <c r="BM12" s="76"/>
      <c r="BN12" s="76"/>
      <c r="BO12" s="13"/>
      <c r="BP12" s="13"/>
      <c r="BQ12" s="13"/>
      <c r="BR12" s="13"/>
      <c r="BS12" s="13"/>
      <c r="BT12" s="13"/>
      <c r="BU12" s="13"/>
      <c r="BV12" s="13"/>
      <c r="BW12" s="13"/>
    </row>
    <row r="13" spans="2:75" ht="12.75" customHeight="1">
      <c r="B13" s="13"/>
      <c r="C13" s="13"/>
      <c r="D13" s="13"/>
      <c r="E13" s="17"/>
      <c r="F13" s="35"/>
      <c r="G13" s="35"/>
      <c r="H13" s="35"/>
      <c r="I13" s="35"/>
      <c r="J13" s="35"/>
      <c r="K13" s="35"/>
      <c r="L13" s="35"/>
      <c r="M13" s="35"/>
      <c r="N13" s="35"/>
      <c r="O13" s="35"/>
      <c r="P13" s="35"/>
      <c r="Q13" s="35"/>
      <c r="R13" s="35"/>
      <c r="T13" s="198" t="s">
        <v>104</v>
      </c>
      <c r="U13" s="177"/>
      <c r="V13" s="202"/>
      <c r="W13" s="202">
        <v>15</v>
      </c>
      <c r="X13" s="202"/>
      <c r="Y13" s="179"/>
      <c r="Z13" s="181"/>
      <c r="AA13" s="88"/>
      <c r="AB13" s="13"/>
      <c r="AC13" s="74"/>
      <c r="AD13" s="74"/>
      <c r="AE13" s="74"/>
      <c r="AF13" s="74"/>
      <c r="AG13" s="74"/>
      <c r="AH13" s="17"/>
      <c r="AI13" s="17"/>
      <c r="AJ13" s="13"/>
      <c r="AK13" s="74"/>
      <c r="AL13" s="74"/>
      <c r="AM13" s="74"/>
      <c r="AN13" s="74"/>
      <c r="AO13" s="74"/>
      <c r="AP13" s="17"/>
      <c r="AQ13" s="17"/>
      <c r="AR13" s="17"/>
      <c r="AS13" s="74"/>
      <c r="AT13" s="74"/>
      <c r="AU13" s="74"/>
      <c r="AV13" s="74"/>
      <c r="AW13" s="74"/>
      <c r="AX13" s="17"/>
      <c r="AY13" s="17"/>
      <c r="AZ13" s="17"/>
      <c r="BA13" s="74"/>
      <c r="BB13" s="74"/>
      <c r="BC13" s="74"/>
      <c r="BD13" s="74"/>
      <c r="BE13" s="74"/>
      <c r="BF13" s="17"/>
      <c r="BG13" s="40"/>
      <c r="BH13" s="57"/>
      <c r="BI13" s="75"/>
      <c r="BJ13" s="76"/>
      <c r="BK13" s="76"/>
      <c r="BL13" s="76"/>
      <c r="BM13" s="76"/>
      <c r="BN13" s="76"/>
      <c r="BO13" s="13"/>
      <c r="BP13" s="13"/>
      <c r="BQ13" s="13"/>
      <c r="BR13" s="13"/>
      <c r="BS13" s="13"/>
      <c r="BT13" s="13"/>
      <c r="BU13" s="13"/>
      <c r="BV13" s="13"/>
      <c r="BW13" s="13"/>
    </row>
    <row r="14" spans="2:75" ht="12.75" customHeight="1">
      <c r="B14" s="13"/>
      <c r="C14" s="13"/>
      <c r="D14" s="13"/>
      <c r="E14" s="17"/>
      <c r="F14" s="35"/>
      <c r="G14" s="35"/>
      <c r="H14" s="35"/>
      <c r="I14" s="35"/>
      <c r="J14" s="35"/>
      <c r="K14" s="35"/>
      <c r="L14" s="35"/>
      <c r="M14" s="35"/>
      <c r="N14" s="35"/>
      <c r="O14" s="35"/>
      <c r="P14" s="35"/>
      <c r="Q14" s="35"/>
      <c r="R14" s="35"/>
      <c r="T14" s="198" t="s">
        <v>105</v>
      </c>
      <c r="U14" s="177"/>
      <c r="V14" s="202"/>
      <c r="W14" s="202">
        <v>0.012291694518716579</v>
      </c>
      <c r="X14" s="202"/>
      <c r="Y14" s="179"/>
      <c r="Z14" s="181"/>
      <c r="AA14" s="88"/>
      <c r="AB14" s="13"/>
      <c r="AC14" s="74"/>
      <c r="AD14" s="74"/>
      <c r="AE14" s="74"/>
      <c r="AF14" s="74"/>
      <c r="AG14" s="74"/>
      <c r="AH14" s="17"/>
      <c r="AI14" s="17"/>
      <c r="AJ14" s="13"/>
      <c r="AK14" s="74"/>
      <c r="AL14" s="74"/>
      <c r="AM14" s="74"/>
      <c r="AN14" s="74"/>
      <c r="AO14" s="74"/>
      <c r="AP14" s="17"/>
      <c r="AQ14" s="17"/>
      <c r="AR14" s="17"/>
      <c r="AS14" s="74"/>
      <c r="AT14" s="74"/>
      <c r="AU14" s="74"/>
      <c r="AV14" s="74"/>
      <c r="AW14" s="74"/>
      <c r="AX14" s="17"/>
      <c r="AY14" s="17"/>
      <c r="AZ14" s="17"/>
      <c r="BA14" s="74"/>
      <c r="BB14" s="74"/>
      <c r="BC14" s="74"/>
      <c r="BD14" s="74"/>
      <c r="BE14" s="74"/>
      <c r="BF14" s="17"/>
      <c r="BG14" s="40"/>
      <c r="BH14" s="57"/>
      <c r="BI14" s="75"/>
      <c r="BJ14" s="76"/>
      <c r="BK14" s="76"/>
      <c r="BL14" s="76"/>
      <c r="BM14" s="76"/>
      <c r="BN14" s="76"/>
      <c r="BO14" s="13"/>
      <c r="BP14" s="13"/>
      <c r="BQ14" s="13"/>
      <c r="BR14" s="13"/>
      <c r="BS14" s="13"/>
      <c r="BT14" s="13"/>
      <c r="BU14" s="13"/>
      <c r="BV14" s="13"/>
      <c r="BW14" s="13"/>
    </row>
    <row r="15" spans="2:75" ht="12.75" customHeight="1">
      <c r="B15" s="13"/>
      <c r="C15" s="13"/>
      <c r="D15" s="13"/>
      <c r="E15" s="17"/>
      <c r="F15" s="35"/>
      <c r="G15" s="35"/>
      <c r="H15" s="35"/>
      <c r="I15" s="35"/>
      <c r="J15" s="35"/>
      <c r="K15" s="35"/>
      <c r="L15" s="35"/>
      <c r="M15" s="35"/>
      <c r="N15" s="35"/>
      <c r="O15" s="35"/>
      <c r="P15" s="35"/>
      <c r="Q15" s="35"/>
      <c r="R15" s="35"/>
      <c r="T15" s="199"/>
      <c r="U15" s="200"/>
      <c r="V15" s="200"/>
      <c r="W15" s="200"/>
      <c r="X15" s="200"/>
      <c r="Y15" s="185"/>
      <c r="Z15" s="182"/>
      <c r="AA15" s="88"/>
      <c r="AB15" s="13"/>
      <c r="AC15" s="74"/>
      <c r="AD15" s="74"/>
      <c r="AE15" s="74"/>
      <c r="AF15" s="74"/>
      <c r="AG15" s="74"/>
      <c r="AH15" s="17"/>
      <c r="AI15" s="17"/>
      <c r="AJ15" s="13"/>
      <c r="AK15" s="74"/>
      <c r="AL15" s="74"/>
      <c r="AM15" s="74"/>
      <c r="AN15" s="74"/>
      <c r="AO15" s="74"/>
      <c r="AP15" s="17"/>
      <c r="AQ15" s="17"/>
      <c r="AR15" s="17"/>
      <c r="AS15" s="74"/>
      <c r="AT15" s="74"/>
      <c r="AU15" s="74"/>
      <c r="AV15" s="74"/>
      <c r="AW15" s="74"/>
      <c r="AX15" s="17"/>
      <c r="AY15" s="17"/>
      <c r="AZ15" s="17"/>
      <c r="BA15" s="74"/>
      <c r="BB15" s="74"/>
      <c r="BC15" s="74"/>
      <c r="BD15" s="74"/>
      <c r="BE15" s="74"/>
      <c r="BF15" s="17"/>
      <c r="BG15" s="40"/>
      <c r="BH15" s="57"/>
      <c r="BI15" s="75"/>
      <c r="BJ15" s="76"/>
      <c r="BK15" s="76"/>
      <c r="BL15" s="76"/>
      <c r="BM15" s="76"/>
      <c r="BN15" s="76"/>
      <c r="BO15" s="13"/>
      <c r="BP15" s="13"/>
      <c r="BQ15" s="13"/>
      <c r="BR15" s="13"/>
      <c r="BS15" s="13"/>
      <c r="BT15" s="13"/>
      <c r="BU15" s="13"/>
      <c r="BV15" s="13"/>
      <c r="BW15" s="13"/>
    </row>
    <row r="16" spans="2:75" ht="12.75" customHeight="1">
      <c r="B16" s="13"/>
      <c r="C16" s="13"/>
      <c r="D16" s="13"/>
      <c r="E16" s="17"/>
      <c r="F16" s="35"/>
      <c r="G16" s="35"/>
      <c r="H16" s="35"/>
      <c r="I16" s="35"/>
      <c r="J16" s="35"/>
      <c r="K16" s="35"/>
      <c r="L16" s="35"/>
      <c r="M16" s="35"/>
      <c r="N16" s="35"/>
      <c r="O16" s="35"/>
      <c r="P16" s="35"/>
      <c r="Q16" s="35"/>
      <c r="R16" s="35"/>
      <c r="T16" s="74"/>
      <c r="U16" s="74"/>
      <c r="V16" s="74"/>
      <c r="W16" s="74"/>
      <c r="X16" s="74"/>
      <c r="Y16" s="17"/>
      <c r="Z16" s="88"/>
      <c r="AA16" s="88"/>
      <c r="AB16" s="13"/>
      <c r="AC16" s="74"/>
      <c r="AD16" s="74"/>
      <c r="AE16" s="74"/>
      <c r="AF16" s="74"/>
      <c r="AG16" s="74"/>
      <c r="AH16" s="17"/>
      <c r="AI16" s="17"/>
      <c r="AJ16" s="13"/>
      <c r="AK16" s="74"/>
      <c r="AL16" s="74"/>
      <c r="AM16" s="74"/>
      <c r="AN16" s="74"/>
      <c r="AO16" s="74"/>
      <c r="AP16" s="17"/>
      <c r="AQ16" s="17"/>
      <c r="AR16" s="17"/>
      <c r="AS16" s="74"/>
      <c r="AT16" s="74"/>
      <c r="AU16" s="74"/>
      <c r="AV16" s="74"/>
      <c r="AW16" s="74"/>
      <c r="AX16" s="17"/>
      <c r="AY16" s="17"/>
      <c r="AZ16" s="17"/>
      <c r="BA16" s="74"/>
      <c r="BB16" s="74"/>
      <c r="BC16" s="74"/>
      <c r="BD16" s="74"/>
      <c r="BE16" s="74"/>
      <c r="BF16" s="17"/>
      <c r="BG16" s="40"/>
      <c r="BH16" s="57"/>
      <c r="BI16" s="75"/>
      <c r="BJ16" s="76"/>
      <c r="BK16" s="76"/>
      <c r="BL16" s="76"/>
      <c r="BM16" s="76"/>
      <c r="BN16" s="76"/>
      <c r="BO16" s="13"/>
      <c r="BP16" s="13"/>
      <c r="BQ16" s="13"/>
      <c r="BR16" s="13"/>
      <c r="BS16" s="13"/>
      <c r="BT16" s="13"/>
      <c r="BU16" s="13"/>
      <c r="BV16" s="13"/>
      <c r="BW16" s="13"/>
    </row>
    <row r="17" spans="2:75" ht="12.75" customHeight="1">
      <c r="B17" s="13"/>
      <c r="C17" s="13"/>
      <c r="D17" s="13"/>
      <c r="E17" s="17"/>
      <c r="F17" s="35"/>
      <c r="G17" s="35"/>
      <c r="H17" s="35"/>
      <c r="I17" s="35"/>
      <c r="J17" s="35"/>
      <c r="K17" s="35"/>
      <c r="L17" s="35"/>
      <c r="M17" s="35"/>
      <c r="N17" s="35"/>
      <c r="O17" s="35"/>
      <c r="P17" s="35"/>
      <c r="Q17" s="35"/>
      <c r="R17" s="35"/>
      <c r="T17" s="114"/>
      <c r="U17" s="114"/>
      <c r="V17" s="114"/>
      <c r="W17" s="114"/>
      <c r="X17" s="114"/>
      <c r="Y17" s="115"/>
      <c r="Z17" s="116"/>
      <c r="AA17" s="116"/>
      <c r="AB17" s="16"/>
      <c r="AC17" s="74"/>
      <c r="AD17" s="74"/>
      <c r="AE17" s="74"/>
      <c r="AF17" s="74"/>
      <c r="AG17" s="74"/>
      <c r="AH17" s="17"/>
      <c r="AI17" s="17"/>
      <c r="AJ17" s="13"/>
      <c r="AK17" s="74"/>
      <c r="AL17" s="74"/>
      <c r="AM17" s="74"/>
      <c r="AN17" s="74"/>
      <c r="AO17" s="74"/>
      <c r="AP17" s="17"/>
      <c r="AQ17" s="17"/>
      <c r="AR17" s="17"/>
      <c r="AS17" s="74"/>
      <c r="AT17" s="74"/>
      <c r="AU17" s="74"/>
      <c r="AV17" s="74"/>
      <c r="AW17" s="74"/>
      <c r="AX17" s="17"/>
      <c r="AY17" s="17"/>
      <c r="AZ17" s="17"/>
      <c r="BA17" s="74"/>
      <c r="BB17" s="74"/>
      <c r="BC17" s="74"/>
      <c r="BD17" s="74"/>
      <c r="BE17" s="74"/>
      <c r="BF17" s="17"/>
      <c r="BG17" s="40"/>
      <c r="BH17" s="57"/>
      <c r="BI17" s="75"/>
      <c r="BJ17" s="76"/>
      <c r="BK17" s="76"/>
      <c r="BL17" s="76"/>
      <c r="BM17" s="76"/>
      <c r="BN17" s="76"/>
      <c r="BO17" s="13"/>
      <c r="BP17" s="13"/>
      <c r="BQ17" s="13"/>
      <c r="BR17" s="13"/>
      <c r="BS17" s="13"/>
      <c r="BT17" s="13"/>
      <c r="BU17" s="13"/>
      <c r="BV17" s="13"/>
      <c r="BW17" s="13"/>
    </row>
    <row r="18" spans="2:75" ht="12.75" customHeight="1">
      <c r="B18" s="50" t="s">
        <v>57</v>
      </c>
      <c r="C18" s="53"/>
      <c r="D18" s="53"/>
      <c r="E18" s="229">
        <v>2006</v>
      </c>
      <c r="F18" s="44">
        <f aca="true" t="shared" si="2" ref="F18:AF18">E18+1</f>
        <v>2007</v>
      </c>
      <c r="G18" s="44">
        <f t="shared" si="2"/>
        <v>2008</v>
      </c>
      <c r="H18" s="44">
        <f t="shared" si="2"/>
        <v>2009</v>
      </c>
      <c r="I18" s="44">
        <f t="shared" si="2"/>
        <v>2010</v>
      </c>
      <c r="J18" s="44">
        <f t="shared" si="2"/>
        <v>2011</v>
      </c>
      <c r="K18" s="44">
        <f t="shared" si="2"/>
        <v>2012</v>
      </c>
      <c r="L18" s="44">
        <f t="shared" si="2"/>
        <v>2013</v>
      </c>
      <c r="M18" s="44">
        <f t="shared" si="2"/>
        <v>2014</v>
      </c>
      <c r="N18" s="44">
        <f t="shared" si="2"/>
        <v>2015</v>
      </c>
      <c r="O18" s="44">
        <f t="shared" si="2"/>
        <v>2016</v>
      </c>
      <c r="P18" s="44">
        <f t="shared" si="2"/>
        <v>2017</v>
      </c>
      <c r="Q18" s="44">
        <f t="shared" si="2"/>
        <v>2018</v>
      </c>
      <c r="R18" s="44">
        <f t="shared" si="2"/>
        <v>2019</v>
      </c>
      <c r="S18" s="44">
        <f t="shared" si="2"/>
        <v>2020</v>
      </c>
      <c r="T18" s="25">
        <f t="shared" si="2"/>
        <v>2021</v>
      </c>
      <c r="U18" s="25">
        <f t="shared" si="2"/>
        <v>2022</v>
      </c>
      <c r="V18" s="25">
        <f t="shared" si="2"/>
        <v>2023</v>
      </c>
      <c r="W18" s="25">
        <f t="shared" si="2"/>
        <v>2024</v>
      </c>
      <c r="X18" s="25">
        <f t="shared" si="2"/>
        <v>2025</v>
      </c>
      <c r="Y18" s="25">
        <f t="shared" si="2"/>
        <v>2026</v>
      </c>
      <c r="Z18" s="25">
        <f t="shared" si="2"/>
        <v>2027</v>
      </c>
      <c r="AA18" s="25">
        <f t="shared" si="2"/>
        <v>2028</v>
      </c>
      <c r="AB18" s="25">
        <f t="shared" si="2"/>
        <v>2029</v>
      </c>
      <c r="AC18" s="44">
        <f t="shared" si="2"/>
        <v>2030</v>
      </c>
      <c r="AD18" s="44">
        <f t="shared" si="2"/>
        <v>2031</v>
      </c>
      <c r="AE18" s="44">
        <f t="shared" si="2"/>
        <v>2032</v>
      </c>
      <c r="AF18" s="44">
        <f t="shared" si="2"/>
        <v>2033</v>
      </c>
      <c r="AG18" s="128"/>
      <c r="AH18" s="17"/>
      <c r="AI18" s="17"/>
      <c r="AJ18" s="13"/>
      <c r="AK18" s="74"/>
      <c r="AL18" s="74"/>
      <c r="AM18" s="74"/>
      <c r="AN18" s="74"/>
      <c r="AO18" s="74"/>
      <c r="AP18" s="17"/>
      <c r="AQ18" s="17"/>
      <c r="AR18" s="17"/>
      <c r="AS18" s="74"/>
      <c r="AT18" s="74"/>
      <c r="AU18" s="74"/>
      <c r="AV18" s="74"/>
      <c r="AW18" s="74"/>
      <c r="AX18" s="17"/>
      <c r="AY18" s="17"/>
      <c r="AZ18" s="17"/>
      <c r="BA18" s="74"/>
      <c r="BB18" s="74"/>
      <c r="BC18" s="74"/>
      <c r="BD18" s="74"/>
      <c r="BE18" s="74"/>
      <c r="BF18" s="17"/>
      <c r="BG18" s="40"/>
      <c r="BH18" s="57"/>
      <c r="BI18" s="75"/>
      <c r="BJ18" s="76"/>
      <c r="BK18" s="76"/>
      <c r="BL18" s="76"/>
      <c r="BM18" s="76"/>
      <c r="BN18" s="76"/>
      <c r="BO18" s="13"/>
      <c r="BP18" s="13"/>
      <c r="BQ18" s="13"/>
      <c r="BR18" s="13"/>
      <c r="BS18" s="13"/>
      <c r="BT18" s="13"/>
      <c r="BU18" s="13"/>
      <c r="BV18" s="13"/>
      <c r="BW18" s="13"/>
    </row>
    <row r="19" spans="2:75" ht="12.75" customHeight="1">
      <c r="B19" s="55"/>
      <c r="C19" s="56"/>
      <c r="D19" s="56"/>
      <c r="E19" s="129"/>
      <c r="F19" s="130">
        <f>F22/E22-1</f>
        <v>0.06852227051300686</v>
      </c>
      <c r="G19" s="130">
        <f aca="true" t="shared" si="3" ref="G19:AF19">G22/F22-1</f>
        <v>0.06678573830567602</v>
      </c>
      <c r="H19" s="130">
        <f t="shared" si="3"/>
        <v>0.05729452878522112</v>
      </c>
      <c r="I19" s="130">
        <f t="shared" si="3"/>
        <v>0.05616700498333849</v>
      </c>
      <c r="J19" s="130">
        <f t="shared" si="3"/>
        <v>0.09308715888009367</v>
      </c>
      <c r="K19" s="130">
        <f t="shared" si="3"/>
        <v>0.09138279877167377</v>
      </c>
      <c r="L19" s="130">
        <f t="shared" si="3"/>
        <v>0.08985205793980189</v>
      </c>
      <c r="M19" s="130">
        <f t="shared" si="3"/>
        <v>0.07013936097525031</v>
      </c>
      <c r="N19" s="130">
        <f t="shared" si="3"/>
        <v>0.06923214167973435</v>
      </c>
      <c r="O19" s="130">
        <f t="shared" si="3"/>
        <v>0.06839488305265129</v>
      </c>
      <c r="P19" s="130">
        <f t="shared" si="3"/>
        <v>0.067620940859898</v>
      </c>
      <c r="Q19" s="130">
        <f t="shared" si="3"/>
        <v>0.06690445954636304</v>
      </c>
      <c r="R19" s="130">
        <f t="shared" si="3"/>
        <v>0.06624025856172389</v>
      </c>
      <c r="S19" s="130">
        <f t="shared" si="3"/>
        <v>0.06562373783965092</v>
      </c>
      <c r="T19" s="130">
        <f t="shared" si="3"/>
        <v>0.06505079876672859</v>
      </c>
      <c r="U19" s="130">
        <f t="shared" si="3"/>
        <v>0.06451777775689216</v>
      </c>
      <c r="V19" s="130">
        <f t="shared" si="3"/>
        <v>0.06402139014499397</v>
      </c>
      <c r="W19" s="130">
        <f t="shared" si="3"/>
        <v>0.0528828197817135</v>
      </c>
      <c r="X19" s="130">
        <f t="shared" si="3"/>
        <v>0.05252801214954261</v>
      </c>
      <c r="Y19" s="130">
        <f t="shared" si="3"/>
        <v>0.0521937158858059</v>
      </c>
      <c r="Z19" s="130">
        <f t="shared" si="3"/>
        <v>0.051878565518085784</v>
      </c>
      <c r="AA19" s="130">
        <f t="shared" si="3"/>
        <v>0.051581307645467644</v>
      </c>
      <c r="AB19" s="130">
        <f t="shared" si="3"/>
        <v>0.051300789713037975</v>
      </c>
      <c r="AC19" s="130">
        <f t="shared" si="3"/>
        <v>0.05103595011491313</v>
      </c>
      <c r="AD19" s="130">
        <f t="shared" si="3"/>
        <v>0.05078580944564193</v>
      </c>
      <c r="AE19" s="130">
        <f t="shared" si="3"/>
        <v>0.05054946274724492</v>
      </c>
      <c r="AF19" s="130">
        <f t="shared" si="3"/>
        <v>0.05032607262190769</v>
      </c>
      <c r="AG19" s="131"/>
      <c r="AH19" s="17"/>
      <c r="AI19" s="17"/>
      <c r="AJ19" s="13"/>
      <c r="AK19" s="74"/>
      <c r="AL19" s="74"/>
      <c r="AM19" s="74"/>
      <c r="AN19" s="74"/>
      <c r="AO19" s="74"/>
      <c r="AP19" s="17"/>
      <c r="AQ19" s="17"/>
      <c r="AR19" s="17"/>
      <c r="AS19" s="74"/>
      <c r="AT19" s="74"/>
      <c r="AU19" s="74"/>
      <c r="AV19" s="74"/>
      <c r="AW19" s="74"/>
      <c r="AX19" s="17"/>
      <c r="AY19" s="17"/>
      <c r="AZ19" s="17"/>
      <c r="BA19" s="74"/>
      <c r="BB19" s="74"/>
      <c r="BC19" s="74"/>
      <c r="BD19" s="74"/>
      <c r="BE19" s="74"/>
      <c r="BF19" s="17"/>
      <c r="BG19" s="40"/>
      <c r="BH19" s="57"/>
      <c r="BI19" s="75"/>
      <c r="BJ19" s="76"/>
      <c r="BK19" s="76"/>
      <c r="BL19" s="76"/>
      <c r="BM19" s="76"/>
      <c r="BN19" s="76"/>
      <c r="BO19" s="13"/>
      <c r="BP19" s="13"/>
      <c r="BQ19" s="13"/>
      <c r="BR19" s="13"/>
      <c r="BS19" s="13"/>
      <c r="BT19" s="13"/>
      <c r="BU19" s="13"/>
      <c r="BV19" s="13"/>
      <c r="BW19" s="13"/>
    </row>
    <row r="20" spans="2:75" ht="12.75" customHeight="1">
      <c r="B20" s="55"/>
      <c r="C20" s="56"/>
      <c r="D20" s="56"/>
      <c r="E20" s="24"/>
      <c r="F20" s="132"/>
      <c r="G20" s="132"/>
      <c r="H20" s="132"/>
      <c r="I20" s="132"/>
      <c r="J20" s="132"/>
      <c r="K20" s="132"/>
      <c r="L20" s="132"/>
      <c r="M20" s="132"/>
      <c r="N20" s="132"/>
      <c r="O20" s="132"/>
      <c r="P20" s="132"/>
      <c r="Q20" s="132"/>
      <c r="R20" s="132"/>
      <c r="S20" s="41"/>
      <c r="T20" s="77"/>
      <c r="U20" s="77"/>
      <c r="V20" s="77"/>
      <c r="W20" s="77"/>
      <c r="X20" s="77"/>
      <c r="Y20" s="25"/>
      <c r="Z20" s="90"/>
      <c r="AA20" s="90"/>
      <c r="AB20" s="41"/>
      <c r="AC20" s="77"/>
      <c r="AD20" s="77"/>
      <c r="AE20" s="77"/>
      <c r="AF20" s="77"/>
      <c r="AG20" s="131"/>
      <c r="AH20" s="17"/>
      <c r="AI20" s="17"/>
      <c r="AJ20" s="13"/>
      <c r="AK20" s="74"/>
      <c r="AL20" s="74"/>
      <c r="AM20" s="74"/>
      <c r="AN20" s="74"/>
      <c r="AO20" s="74"/>
      <c r="AP20" s="17"/>
      <c r="AQ20" s="17"/>
      <c r="AR20" s="17"/>
      <c r="AS20" s="74"/>
      <c r="AT20" s="74"/>
      <c r="AU20" s="74"/>
      <c r="AV20" s="74"/>
      <c r="AW20" s="74"/>
      <c r="AX20" s="17"/>
      <c r="AY20" s="17"/>
      <c r="AZ20" s="17"/>
      <c r="BA20" s="74"/>
      <c r="BB20" s="74"/>
      <c r="BC20" s="74"/>
      <c r="BD20" s="74"/>
      <c r="BE20" s="74"/>
      <c r="BF20" s="17"/>
      <c r="BG20" s="40"/>
      <c r="BH20" s="57"/>
      <c r="BI20" s="75"/>
      <c r="BJ20" s="76"/>
      <c r="BK20" s="76"/>
      <c r="BL20" s="76"/>
      <c r="BM20" s="76"/>
      <c r="BN20" s="76"/>
      <c r="BO20" s="13"/>
      <c r="BP20" s="13"/>
      <c r="BQ20" s="13"/>
      <c r="BR20" s="13"/>
      <c r="BS20" s="13"/>
      <c r="BT20" s="13"/>
      <c r="BU20" s="13"/>
      <c r="BV20" s="13"/>
      <c r="BW20" s="13"/>
    </row>
    <row r="21" spans="2:75" ht="12.75" customHeight="1">
      <c r="B21" s="112" t="s">
        <v>116</v>
      </c>
      <c r="C21" s="70"/>
      <c r="D21" s="70"/>
      <c r="E21" s="228">
        <v>42.73085776821767</v>
      </c>
      <c r="F21" s="46">
        <v>45.6588731634643</v>
      </c>
      <c r="G21" s="46">
        <v>48.70823471789148</v>
      </c>
      <c r="H21" s="46">
        <v>50.5793259655485</v>
      </c>
      <c r="I21" s="46">
        <v>53.42021521910936</v>
      </c>
      <c r="J21" s="46">
        <v>58.392951280619386</v>
      </c>
      <c r="K21" s="46">
        <v>63.72906259718037</v>
      </c>
      <c r="L21" s="46">
        <v>69.45525002211149</v>
      </c>
      <c r="M21" s="46">
        <v>71.76380387934766</v>
      </c>
      <c r="N21" s="46">
        <v>76.73216571699932</v>
      </c>
      <c r="O21" s="46">
        <v>81.98025321759016</v>
      </c>
      <c r="P21" s="46">
        <v>87.52383507209628</v>
      </c>
      <c r="Q21" s="46">
        <v>93.37956995501989</v>
      </c>
      <c r="R21" s="46">
        <v>99.565056813223</v>
      </c>
      <c r="S21" s="46">
        <v>106.09888799952388</v>
      </c>
      <c r="T21" s="46">
        <v>113.00070541215456</v>
      </c>
      <c r="U21" s="46">
        <v>120.29125981030799</v>
      </c>
      <c r="V21" s="46">
        <v>127.99247348565657</v>
      </c>
      <c r="W21" s="46">
        <v>130.26904051460045</v>
      </c>
      <c r="X21" s="46">
        <v>137.11181425746065</v>
      </c>
      <c r="Y21" s="46">
        <v>144.26818933540193</v>
      </c>
      <c r="Z21" s="46">
        <v>151.7526160480142</v>
      </c>
      <c r="AA21" s="46">
        <v>159.58021442239132</v>
      </c>
      <c r="AB21" s="46">
        <v>167.76680544483594</v>
      </c>
      <c r="AC21" s="46">
        <v>176.32894375845694</v>
      </c>
      <c r="AD21" s="46">
        <v>185.2839518959252</v>
      </c>
      <c r="AE21" s="46">
        <v>194.64995611995062</v>
      </c>
      <c r="AF21" s="46">
        <v>204.44592394749438</v>
      </c>
      <c r="AG21" s="160"/>
      <c r="AH21" s="17"/>
      <c r="AI21" s="17"/>
      <c r="AJ21" s="13"/>
      <c r="AK21" s="74"/>
      <c r="AL21" s="74"/>
      <c r="AM21" s="74"/>
      <c r="AN21" s="74"/>
      <c r="AO21" s="74"/>
      <c r="AP21" s="17"/>
      <c r="AQ21" s="17"/>
      <c r="AR21" s="17"/>
      <c r="AS21" s="74"/>
      <c r="AT21" s="74"/>
      <c r="AU21" s="74"/>
      <c r="AV21" s="74"/>
      <c r="AW21" s="74"/>
      <c r="AX21" s="17"/>
      <c r="AY21" s="17"/>
      <c r="AZ21" s="17"/>
      <c r="BA21" s="74"/>
      <c r="BB21" s="74"/>
      <c r="BC21" s="74"/>
      <c r="BD21" s="74"/>
      <c r="BE21" s="74"/>
      <c r="BF21" s="17"/>
      <c r="BG21" s="40"/>
      <c r="BH21" s="57"/>
      <c r="BI21" s="75"/>
      <c r="BJ21" s="76"/>
      <c r="BK21" s="76"/>
      <c r="BL21" s="76"/>
      <c r="BM21" s="76"/>
      <c r="BN21" s="76"/>
      <c r="BO21" s="13"/>
      <c r="BP21" s="13"/>
      <c r="BQ21" s="13"/>
      <c r="BR21" s="13"/>
      <c r="BS21" s="13"/>
      <c r="BT21" s="13"/>
      <c r="BU21" s="13"/>
      <c r="BV21" s="13"/>
      <c r="BW21" s="13"/>
    </row>
    <row r="22" spans="2:75" ht="12.75" customHeight="1">
      <c r="B22" s="4" t="s">
        <v>117</v>
      </c>
      <c r="C22" s="56"/>
      <c r="D22" s="56"/>
      <c r="E22" s="228">
        <v>205.87727272727273</v>
      </c>
      <c r="F22" s="46">
        <v>219.984450901571</v>
      </c>
      <c r="G22" s="46">
        <v>234.67627487080114</v>
      </c>
      <c r="H22" s="46">
        <v>248.12194145659473</v>
      </c>
      <c r="I22" s="46">
        <v>262.0582077788629</v>
      </c>
      <c r="J22" s="46">
        <v>286.45246180220647</v>
      </c>
      <c r="K22" s="46">
        <v>312.62928947672805</v>
      </c>
      <c r="L22" s="46">
        <v>340.7196745084701</v>
      </c>
      <c r="M22" s="46">
        <v>364.6175347501895</v>
      </c>
      <c r="N22" s="46">
        <v>389.8607875749301</v>
      </c>
      <c r="O22" s="46">
        <v>416.525270547932</v>
      </c>
      <c r="P22" s="46">
        <v>444.6911012343067</v>
      </c>
      <c r="Q22" s="46">
        <v>474.442919027465</v>
      </c>
      <c r="R22" s="46">
        <v>505.8701406566233</v>
      </c>
      <c r="S22" s="46">
        <v>539.0672301479808</v>
      </c>
      <c r="T22" s="46">
        <v>574.1339840580748</v>
      </c>
      <c r="U22" s="46">
        <v>611.1758328442128</v>
      </c>
      <c r="V22" s="46">
        <v>650.3041592859238</v>
      </c>
      <c r="W22" s="46">
        <v>684.69407694474</v>
      </c>
      <c r="X22" s="46">
        <v>720.6596957372132</v>
      </c>
      <c r="Y22" s="46">
        <v>758.2736031468726</v>
      </c>
      <c r="Z22" s="46">
        <v>797.6117499483626</v>
      </c>
      <c r="AA22" s="46">
        <v>838.7536070040888</v>
      </c>
      <c r="AB22" s="46">
        <v>881.7823294180577</v>
      </c>
      <c r="AC22" s="46">
        <v>926.7849283944496</v>
      </c>
      <c r="AD22" s="46">
        <v>973.852451164983</v>
      </c>
      <c r="AE22" s="46">
        <v>1023.0801693664604</v>
      </c>
      <c r="AF22" s="46">
        <v>1074.5677762680305</v>
      </c>
      <c r="AG22" s="160"/>
      <c r="AH22" s="17"/>
      <c r="AI22" s="17"/>
      <c r="AJ22" s="13"/>
      <c r="AK22" s="74"/>
      <c r="AL22" s="74"/>
      <c r="AM22" s="74"/>
      <c r="AN22" s="74"/>
      <c r="AO22" s="74"/>
      <c r="AP22" s="17"/>
      <c r="AQ22" s="17"/>
      <c r="AR22" s="17"/>
      <c r="AS22" s="74"/>
      <c r="AT22" s="74"/>
      <c r="AU22" s="74"/>
      <c r="AV22" s="74"/>
      <c r="AW22" s="74"/>
      <c r="AX22" s="17"/>
      <c r="AY22" s="17"/>
      <c r="AZ22" s="17"/>
      <c r="BA22" s="74"/>
      <c r="BB22" s="74"/>
      <c r="BC22" s="74"/>
      <c r="BD22" s="74"/>
      <c r="BE22" s="74"/>
      <c r="BF22" s="17"/>
      <c r="BG22" s="40"/>
      <c r="BH22" s="57"/>
      <c r="BI22" s="75"/>
      <c r="BJ22" s="76"/>
      <c r="BK22" s="76"/>
      <c r="BL22" s="76"/>
      <c r="BM22" s="76"/>
      <c r="BN22" s="76"/>
      <c r="BO22" s="13"/>
      <c r="BP22" s="13"/>
      <c r="BQ22" s="13"/>
      <c r="BR22" s="13"/>
      <c r="BS22" s="13"/>
      <c r="BT22" s="13"/>
      <c r="BU22" s="13"/>
      <c r="BV22" s="13"/>
      <c r="BW22" s="13"/>
    </row>
    <row r="23" spans="2:75" ht="12.75" customHeight="1">
      <c r="B23" s="55"/>
      <c r="C23" s="7" t="str">
        <f>F4</f>
        <v>1980cable1</v>
      </c>
      <c r="D23" s="56"/>
      <c r="E23" s="42">
        <f>IF(AND(E$18&gt;=$F7,E$18&lt;($F7+$F10)),$F6,"")</f>
        <v>45</v>
      </c>
      <c r="F23" s="41">
        <f aca="true" t="shared" si="4" ref="F23:L23">IF(AND(F$18&gt;=$F7,F$18&lt;($F7+$F10)),$F6,"")</f>
        <v>45</v>
      </c>
      <c r="G23" s="41">
        <f t="shared" si="4"/>
        <v>45</v>
      </c>
      <c r="H23" s="41">
        <f t="shared" si="4"/>
        <v>45</v>
      </c>
      <c r="I23" s="41">
        <f t="shared" si="4"/>
        <v>45</v>
      </c>
      <c r="J23" s="41">
        <f t="shared" si="4"/>
        <v>45</v>
      </c>
      <c r="K23" s="41">
        <f t="shared" si="4"/>
        <v>45</v>
      </c>
      <c r="L23" s="41">
        <f t="shared" si="4"/>
        <v>45</v>
      </c>
      <c r="M23" s="41">
        <f>IF(AND(M$18&gt;=$F7,M$18&lt;($F7+$F10)),$F6,"")</f>
      </c>
      <c r="N23" s="41"/>
      <c r="O23" s="41"/>
      <c r="P23" s="41"/>
      <c r="Q23" s="41"/>
      <c r="R23" s="41"/>
      <c r="S23" s="41"/>
      <c r="T23" s="41"/>
      <c r="U23" s="41"/>
      <c r="V23" s="41"/>
      <c r="W23" s="41"/>
      <c r="X23" s="41"/>
      <c r="Y23" s="41"/>
      <c r="Z23" s="41"/>
      <c r="AA23" s="41"/>
      <c r="AB23" s="41"/>
      <c r="AC23" s="41"/>
      <c r="AD23" s="41"/>
      <c r="AE23" s="41"/>
      <c r="AF23" s="41"/>
      <c r="AG23" s="131"/>
      <c r="AH23" s="17"/>
      <c r="AI23" s="17"/>
      <c r="AJ23" s="13"/>
      <c r="AK23" s="74"/>
      <c r="AL23" s="74"/>
      <c r="AM23" s="74"/>
      <c r="AN23" s="74"/>
      <c r="AO23" s="74"/>
      <c r="AP23" s="17"/>
      <c r="AQ23" s="17"/>
      <c r="AR23" s="17"/>
      <c r="AS23" s="74"/>
      <c r="AT23" s="74"/>
      <c r="AU23" s="74"/>
      <c r="AV23" s="74"/>
      <c r="AW23" s="74"/>
      <c r="AX23" s="17"/>
      <c r="AY23" s="17"/>
      <c r="AZ23" s="17"/>
      <c r="BA23" s="74"/>
      <c r="BB23" s="74"/>
      <c r="BC23" s="74"/>
      <c r="BD23" s="74"/>
      <c r="BE23" s="74"/>
      <c r="BF23" s="17"/>
      <c r="BG23" s="40"/>
      <c r="BH23" s="57"/>
      <c r="BI23" s="75"/>
      <c r="BJ23" s="76"/>
      <c r="BK23" s="76"/>
      <c r="BL23" s="76"/>
      <c r="BM23" s="76"/>
      <c r="BN23" s="76"/>
      <c r="BO23" s="13"/>
      <c r="BP23" s="13"/>
      <c r="BQ23" s="13"/>
      <c r="BR23" s="13"/>
      <c r="BS23" s="13"/>
      <c r="BT23" s="13"/>
      <c r="BU23" s="13"/>
      <c r="BV23" s="13"/>
      <c r="BW23" s="13"/>
    </row>
    <row r="24" spans="2:75" ht="12.75" customHeight="1">
      <c r="B24" s="72"/>
      <c r="C24" s="8" t="str">
        <f>G4</f>
        <v>2014cable2</v>
      </c>
      <c r="D24" s="56"/>
      <c r="E24" s="133"/>
      <c r="F24" s="134"/>
      <c r="G24" s="134"/>
      <c r="H24" s="134"/>
      <c r="I24" s="134"/>
      <c r="J24" s="134"/>
      <c r="K24" s="134"/>
      <c r="L24" s="134"/>
      <c r="M24" s="135">
        <f>IF(AND(M$18&gt;=$G$7,M$18&lt;($G$7+$G$10)),$G$6,"")</f>
        <v>45</v>
      </c>
      <c r="N24" s="135">
        <f aca="true" t="shared" si="5" ref="N24:AF24">IF(AND(N$18&gt;=$G$7,N$18&lt;($G$7+$G$10)),$G$6,"")</f>
        <v>45</v>
      </c>
      <c r="O24" s="135">
        <f t="shared" si="5"/>
        <v>45</v>
      </c>
      <c r="P24" s="135">
        <f t="shared" si="5"/>
        <v>45</v>
      </c>
      <c r="Q24" s="135">
        <f t="shared" si="5"/>
        <v>45</v>
      </c>
      <c r="R24" s="135">
        <f t="shared" si="5"/>
        <v>45</v>
      </c>
      <c r="S24" s="46">
        <f t="shared" si="5"/>
      </c>
      <c r="T24" s="46">
        <f t="shared" si="5"/>
      </c>
      <c r="U24" s="46">
        <f t="shared" si="5"/>
      </c>
      <c r="V24" s="46">
        <f t="shared" si="5"/>
      </c>
      <c r="W24" s="46">
        <f t="shared" si="5"/>
      </c>
      <c r="X24" s="46">
        <f t="shared" si="5"/>
      </c>
      <c r="Y24" s="46">
        <f t="shared" si="5"/>
      </c>
      <c r="Z24" s="46">
        <f t="shared" si="5"/>
      </c>
      <c r="AA24" s="46">
        <f t="shared" si="5"/>
      </c>
      <c r="AB24" s="46">
        <f t="shared" si="5"/>
      </c>
      <c r="AC24" s="46">
        <f t="shared" si="5"/>
      </c>
      <c r="AD24" s="46">
        <f t="shared" si="5"/>
      </c>
      <c r="AE24" s="46">
        <f t="shared" si="5"/>
      </c>
      <c r="AF24" s="46">
        <f t="shared" si="5"/>
      </c>
      <c r="AG24" s="131"/>
      <c r="AH24" s="17"/>
      <c r="AI24" s="17"/>
      <c r="AJ24" s="13"/>
      <c r="AK24" s="74"/>
      <c r="AL24" s="74"/>
      <c r="AM24" s="74"/>
      <c r="AN24" s="74"/>
      <c r="AO24" s="74"/>
      <c r="AP24" s="17"/>
      <c r="AQ24" s="17"/>
      <c r="AR24" s="17"/>
      <c r="AS24" s="74"/>
      <c r="AT24" s="74"/>
      <c r="AU24" s="74"/>
      <c r="AV24" s="74"/>
      <c r="AW24" s="74"/>
      <c r="AX24" s="17"/>
      <c r="AY24" s="17"/>
      <c r="AZ24" s="17"/>
      <c r="BA24" s="74"/>
      <c r="BB24" s="74"/>
      <c r="BC24" s="74"/>
      <c r="BD24" s="74"/>
      <c r="BE24" s="74"/>
      <c r="BF24" s="17"/>
      <c r="BG24" s="40"/>
      <c r="BH24" s="57"/>
      <c r="BI24" s="75"/>
      <c r="BJ24" s="76"/>
      <c r="BK24" s="76"/>
      <c r="BL24" s="76"/>
      <c r="BM24" s="76"/>
      <c r="BN24" s="76"/>
      <c r="BO24" s="13"/>
      <c r="BP24" s="13"/>
      <c r="BQ24" s="13"/>
      <c r="BR24" s="13"/>
      <c r="BS24" s="13"/>
      <c r="BT24" s="13"/>
      <c r="BU24" s="13"/>
      <c r="BV24" s="13"/>
      <c r="BW24" s="13"/>
    </row>
    <row r="25" spans="2:75" ht="12.75" customHeight="1">
      <c r="B25" s="55"/>
      <c r="C25" s="7" t="str">
        <f>H4</f>
        <v>2020cable3</v>
      </c>
      <c r="D25" s="56"/>
      <c r="E25" s="42"/>
      <c r="F25" s="41"/>
      <c r="G25" s="41"/>
      <c r="H25" s="41"/>
      <c r="I25" s="41"/>
      <c r="J25" s="41"/>
      <c r="K25" s="41"/>
      <c r="L25" s="41"/>
      <c r="M25" s="41">
        <f>IF(AND(M$114&gt;=$G7,M$114&lt;($G7+$G10)),$G6,"")</f>
      </c>
      <c r="N25" s="41">
        <f aca="true" t="shared" si="6" ref="N25:S25">IF(AND(F$114&gt;=$G7,F$114&lt;($G7+$G10)),$G6,"")</f>
      </c>
      <c r="O25" s="41">
        <f t="shared" si="6"/>
      </c>
      <c r="P25" s="41">
        <f t="shared" si="6"/>
      </c>
      <c r="Q25" s="41">
        <f t="shared" si="6"/>
      </c>
      <c r="R25" s="41">
        <f t="shared" si="6"/>
      </c>
      <c r="S25" s="41">
        <f t="shared" si="6"/>
      </c>
      <c r="T25" s="41">
        <f>IF(AND(T$18&gt;=$H$7,T$18&lt;($H$7+$H$10)),$H$6,"")</f>
        <v>100</v>
      </c>
      <c r="U25" s="41">
        <f aca="true" t="shared" si="7" ref="U25:AF25">IF(AND(U$18&gt;=$H$7,U$18&lt;($H$7+$H$10)),$H$6,"")</f>
        <v>100</v>
      </c>
      <c r="V25" s="41">
        <f t="shared" si="7"/>
        <v>100</v>
      </c>
      <c r="W25" s="41">
        <f t="shared" si="7"/>
        <v>100</v>
      </c>
      <c r="X25" s="41">
        <f t="shared" si="7"/>
        <v>100</v>
      </c>
      <c r="Y25" s="41">
        <f t="shared" si="7"/>
        <v>100</v>
      </c>
      <c r="Z25" s="41">
        <f t="shared" si="7"/>
        <v>100</v>
      </c>
      <c r="AA25" s="41">
        <f t="shared" si="7"/>
        <v>100</v>
      </c>
      <c r="AB25" s="41">
        <f t="shared" si="7"/>
        <v>100</v>
      </c>
      <c r="AC25" s="41">
        <f t="shared" si="7"/>
        <v>100</v>
      </c>
      <c r="AD25" s="41">
        <f t="shared" si="7"/>
        <v>100</v>
      </c>
      <c r="AE25" s="41">
        <f t="shared" si="7"/>
        <v>100</v>
      </c>
      <c r="AF25" s="41">
        <f t="shared" si="7"/>
        <v>100</v>
      </c>
      <c r="AG25" s="131"/>
      <c r="AH25" s="17"/>
      <c r="AI25" s="17"/>
      <c r="AJ25" s="13"/>
      <c r="AK25" s="74"/>
      <c r="AL25" s="74"/>
      <c r="AM25" s="74"/>
      <c r="AN25" s="74"/>
      <c r="AO25" s="74"/>
      <c r="AP25" s="17"/>
      <c r="AQ25" s="17"/>
      <c r="AR25" s="17"/>
      <c r="AS25" s="74"/>
      <c r="AT25" s="74"/>
      <c r="AU25" s="74"/>
      <c r="AV25" s="74"/>
      <c r="AW25" s="74"/>
      <c r="AX25" s="17"/>
      <c r="AY25" s="17"/>
      <c r="AZ25" s="17"/>
      <c r="BA25" s="74"/>
      <c r="BB25" s="74"/>
      <c r="BC25" s="74"/>
      <c r="BD25" s="74"/>
      <c r="BE25" s="74"/>
      <c r="BF25" s="17"/>
      <c r="BG25" s="40"/>
      <c r="BH25" s="57"/>
      <c r="BI25" s="75"/>
      <c r="BJ25" s="76"/>
      <c r="BK25" s="76"/>
      <c r="BL25" s="76"/>
      <c r="BM25" s="76"/>
      <c r="BN25" s="76"/>
      <c r="BO25" s="13"/>
      <c r="BP25" s="13"/>
      <c r="BQ25" s="13"/>
      <c r="BR25" s="13"/>
      <c r="BS25" s="13"/>
      <c r="BT25" s="13"/>
      <c r="BU25" s="13"/>
      <c r="BV25" s="13"/>
      <c r="BW25" s="13"/>
    </row>
    <row r="26" spans="2:75" ht="12.75" customHeight="1">
      <c r="B26" s="55"/>
      <c r="C26" s="7" t="str">
        <f>I4</f>
        <v>2009diesel</v>
      </c>
      <c r="D26" s="56"/>
      <c r="E26" s="42"/>
      <c r="F26" s="41"/>
      <c r="G26" s="41"/>
      <c r="H26" s="41">
        <f>IF(AND(H$18&gt;=$I$7,H$18&lt;($I$7+$I$10)),$I$6,"")</f>
        <v>14</v>
      </c>
      <c r="I26" s="41">
        <f aca="true" t="shared" si="8" ref="I26:AF26">IF(AND(I$18&gt;=$I$7,I$18&lt;($I$7+$I$10)),$I$6,"")</f>
        <v>14</v>
      </c>
      <c r="J26" s="41">
        <f t="shared" si="8"/>
        <v>14</v>
      </c>
      <c r="K26" s="41">
        <f t="shared" si="8"/>
        <v>14</v>
      </c>
      <c r="L26" s="41">
        <f t="shared" si="8"/>
        <v>14</v>
      </c>
      <c r="M26" s="41">
        <f t="shared" si="8"/>
        <v>14</v>
      </c>
      <c r="N26" s="41">
        <f t="shared" si="8"/>
        <v>14</v>
      </c>
      <c r="O26" s="41">
        <f t="shared" si="8"/>
        <v>14</v>
      </c>
      <c r="P26" s="41">
        <f t="shared" si="8"/>
        <v>14</v>
      </c>
      <c r="Q26" s="41">
        <f t="shared" si="8"/>
        <v>14</v>
      </c>
      <c r="R26" s="41">
        <f t="shared" si="8"/>
        <v>14</v>
      </c>
      <c r="S26" s="41">
        <f t="shared" si="8"/>
        <v>14</v>
      </c>
      <c r="T26" s="41">
        <f t="shared" si="8"/>
        <v>14</v>
      </c>
      <c r="U26" s="41">
        <f t="shared" si="8"/>
        <v>14</v>
      </c>
      <c r="V26" s="41">
        <f t="shared" si="8"/>
        <v>14</v>
      </c>
      <c r="W26" s="41">
        <f t="shared" si="8"/>
        <v>14</v>
      </c>
      <c r="X26" s="41">
        <f t="shared" si="8"/>
        <v>14</v>
      </c>
      <c r="Y26" s="41">
        <f t="shared" si="8"/>
        <v>14</v>
      </c>
      <c r="Z26" s="41">
        <f t="shared" si="8"/>
        <v>14</v>
      </c>
      <c r="AA26" s="41">
        <f t="shared" si="8"/>
        <v>14</v>
      </c>
      <c r="AB26" s="41">
        <f t="shared" si="8"/>
      </c>
      <c r="AC26" s="41">
        <f t="shared" si="8"/>
      </c>
      <c r="AD26" s="41">
        <f t="shared" si="8"/>
      </c>
      <c r="AE26" s="41">
        <f t="shared" si="8"/>
      </c>
      <c r="AF26" s="41">
        <f t="shared" si="8"/>
      </c>
      <c r="AG26" s="131"/>
      <c r="AH26" s="17"/>
      <c r="AI26" s="17"/>
      <c r="AJ26" s="13"/>
      <c r="AK26" s="74"/>
      <c r="AL26" s="74"/>
      <c r="AM26" s="74"/>
      <c r="AN26" s="74"/>
      <c r="AO26" s="74"/>
      <c r="AP26" s="17"/>
      <c r="AQ26" s="17"/>
      <c r="AR26" s="17"/>
      <c r="AS26" s="74"/>
      <c r="AT26" s="74"/>
      <c r="AU26" s="74"/>
      <c r="AV26" s="74"/>
      <c r="AW26" s="74"/>
      <c r="AX26" s="17"/>
      <c r="AY26" s="17"/>
      <c r="AZ26" s="17"/>
      <c r="BA26" s="74"/>
      <c r="BB26" s="74"/>
      <c r="BC26" s="74"/>
      <c r="BD26" s="74"/>
      <c r="BE26" s="74"/>
      <c r="BF26" s="17"/>
      <c r="BG26" s="40"/>
      <c r="BH26" s="57"/>
      <c r="BI26" s="75"/>
      <c r="BJ26" s="76"/>
      <c r="BK26" s="76"/>
      <c r="BL26" s="76"/>
      <c r="BM26" s="76"/>
      <c r="BN26" s="76"/>
      <c r="BO26" s="13"/>
      <c r="BP26" s="13"/>
      <c r="BQ26" s="13"/>
      <c r="BR26" s="13"/>
      <c r="BS26" s="13"/>
      <c r="BT26" s="13"/>
      <c r="BU26" s="13"/>
      <c r="BV26" s="13"/>
      <c r="BW26" s="13"/>
    </row>
    <row r="27" spans="2:75" ht="12.75" customHeight="1">
      <c r="B27" s="55"/>
      <c r="C27" s="7" t="str">
        <f>J4</f>
        <v>2011diesel</v>
      </c>
      <c r="D27" s="56"/>
      <c r="E27" s="24"/>
      <c r="F27" s="132"/>
      <c r="G27" s="132"/>
      <c r="H27" s="132"/>
      <c r="I27" s="132"/>
      <c r="J27" s="136">
        <f>IF(AND(J$18&gt;=$J$7,J$18&lt;($J$7+$J$10)),$J$6,"")</f>
        <v>28</v>
      </c>
      <c r="K27" s="136">
        <f aca="true" t="shared" si="9" ref="K27:AC27">IF(AND(K$18&gt;=$J$7,K$18&lt;($J$7+$J$10)),$J$6,"")</f>
        <v>28</v>
      </c>
      <c r="L27" s="136">
        <f t="shared" si="9"/>
        <v>28</v>
      </c>
      <c r="M27" s="136">
        <f t="shared" si="9"/>
        <v>28</v>
      </c>
      <c r="N27" s="136">
        <f t="shared" si="9"/>
        <v>28</v>
      </c>
      <c r="O27" s="136">
        <f t="shared" si="9"/>
        <v>28</v>
      </c>
      <c r="P27" s="136">
        <f t="shared" si="9"/>
        <v>28</v>
      </c>
      <c r="Q27" s="136">
        <f t="shared" si="9"/>
        <v>28</v>
      </c>
      <c r="R27" s="136">
        <f t="shared" si="9"/>
        <v>28</v>
      </c>
      <c r="S27" s="136">
        <f t="shared" si="9"/>
        <v>28</v>
      </c>
      <c r="T27" s="136">
        <f t="shared" si="9"/>
        <v>28</v>
      </c>
      <c r="U27" s="136">
        <f t="shared" si="9"/>
        <v>28</v>
      </c>
      <c r="V27" s="136">
        <f t="shared" si="9"/>
        <v>28</v>
      </c>
      <c r="W27" s="136">
        <f t="shared" si="9"/>
        <v>28</v>
      </c>
      <c r="X27" s="136">
        <f t="shared" si="9"/>
        <v>28</v>
      </c>
      <c r="Y27" s="136">
        <f t="shared" si="9"/>
        <v>28</v>
      </c>
      <c r="Z27" s="136">
        <f t="shared" si="9"/>
        <v>28</v>
      </c>
      <c r="AA27" s="136">
        <f t="shared" si="9"/>
        <v>28</v>
      </c>
      <c r="AB27" s="136">
        <f t="shared" si="9"/>
        <v>28</v>
      </c>
      <c r="AC27" s="136">
        <f t="shared" si="9"/>
        <v>28</v>
      </c>
      <c r="AD27" s="77"/>
      <c r="AE27" s="77"/>
      <c r="AF27" s="77"/>
      <c r="AG27" s="131"/>
      <c r="AH27" s="17"/>
      <c r="AI27" s="17"/>
      <c r="AJ27" s="13"/>
      <c r="AK27" s="74"/>
      <c r="AL27" s="74"/>
      <c r="AM27" s="74"/>
      <c r="AN27" s="74"/>
      <c r="AO27" s="74"/>
      <c r="AP27" s="17"/>
      <c r="AQ27" s="17"/>
      <c r="AR27" s="17"/>
      <c r="AS27" s="74"/>
      <c r="AT27" s="74"/>
      <c r="AU27" s="74"/>
      <c r="AV27" s="74"/>
      <c r="AW27" s="74"/>
      <c r="AX27" s="17"/>
      <c r="AY27" s="17"/>
      <c r="AZ27" s="17"/>
      <c r="BA27" s="74"/>
      <c r="BB27" s="74"/>
      <c r="BC27" s="74"/>
      <c r="BD27" s="74"/>
      <c r="BE27" s="74"/>
      <c r="BF27" s="17"/>
      <c r="BG27" s="40"/>
      <c r="BH27" s="57"/>
      <c r="BI27" s="75"/>
      <c r="BJ27" s="76"/>
      <c r="BK27" s="76"/>
      <c r="BL27" s="76"/>
      <c r="BM27" s="76"/>
      <c r="BN27" s="76"/>
      <c r="BO27" s="13"/>
      <c r="BP27" s="13"/>
      <c r="BQ27" s="13"/>
      <c r="BR27" s="13"/>
      <c r="BS27" s="13"/>
      <c r="BT27" s="13"/>
      <c r="BU27" s="13"/>
      <c r="BV27" s="13"/>
      <c r="BW27" s="13"/>
    </row>
    <row r="28" spans="2:75" ht="12.75" customHeight="1">
      <c r="B28" s="55"/>
      <c r="C28" s="7" t="str">
        <f>K4</f>
        <v>2016diesel</v>
      </c>
      <c r="D28" s="56"/>
      <c r="E28" s="24"/>
      <c r="F28" s="132"/>
      <c r="G28" s="132"/>
      <c r="H28" s="132"/>
      <c r="I28" s="132"/>
      <c r="J28" s="132"/>
      <c r="K28" s="132"/>
      <c r="L28" s="132"/>
      <c r="M28" s="132"/>
      <c r="N28" s="132"/>
      <c r="O28" s="136">
        <f>IF(AND(O$18&gt;=$K$7,O$18&lt;($K$7+$K$10)),$K$6,"")</f>
        <v>28</v>
      </c>
      <c r="P28" s="136">
        <f aca="true" t="shared" si="10" ref="P28:AO28">IF(AND(P$18&gt;=$K$7,P$18&lt;($K$7+$K$10)),$K$6,"")</f>
        <v>28</v>
      </c>
      <c r="Q28" s="136">
        <f t="shared" si="10"/>
        <v>28</v>
      </c>
      <c r="R28" s="136">
        <f t="shared" si="10"/>
        <v>28</v>
      </c>
      <c r="S28" s="136">
        <f t="shared" si="10"/>
        <v>28</v>
      </c>
      <c r="T28" s="136">
        <f t="shared" si="10"/>
        <v>28</v>
      </c>
      <c r="U28" s="136">
        <f t="shared" si="10"/>
        <v>28</v>
      </c>
      <c r="V28" s="136">
        <f t="shared" si="10"/>
        <v>28</v>
      </c>
      <c r="W28" s="136">
        <f t="shared" si="10"/>
        <v>28</v>
      </c>
      <c r="X28" s="136">
        <f t="shared" si="10"/>
        <v>28</v>
      </c>
      <c r="Y28" s="136">
        <f t="shared" si="10"/>
        <v>28</v>
      </c>
      <c r="Z28" s="136">
        <f t="shared" si="10"/>
        <v>28</v>
      </c>
      <c r="AA28" s="136">
        <f t="shared" si="10"/>
        <v>28</v>
      </c>
      <c r="AB28" s="136">
        <f t="shared" si="10"/>
        <v>28</v>
      </c>
      <c r="AC28" s="136">
        <f t="shared" si="10"/>
        <v>28</v>
      </c>
      <c r="AD28" s="136">
        <f t="shared" si="10"/>
        <v>28</v>
      </c>
      <c r="AE28" s="136">
        <f t="shared" si="10"/>
        <v>28</v>
      </c>
      <c r="AF28" s="136">
        <f t="shared" si="10"/>
        <v>28</v>
      </c>
      <c r="AG28" s="137">
        <f t="shared" si="10"/>
      </c>
      <c r="AH28" s="94">
        <f t="shared" si="10"/>
      </c>
      <c r="AI28" s="94"/>
      <c r="AJ28" s="94"/>
      <c r="AK28" s="94"/>
      <c r="AL28" s="94">
        <f t="shared" si="10"/>
      </c>
      <c r="AM28" s="94">
        <f t="shared" si="10"/>
      </c>
      <c r="AN28" s="94">
        <f t="shared" si="10"/>
      </c>
      <c r="AO28" s="94">
        <f t="shared" si="10"/>
      </c>
      <c r="AP28" s="17"/>
      <c r="AQ28" s="17"/>
      <c r="AR28" s="17"/>
      <c r="AS28" s="74"/>
      <c r="AT28" s="74"/>
      <c r="AU28" s="74"/>
      <c r="AV28" s="74"/>
      <c r="AW28" s="74"/>
      <c r="AX28" s="17"/>
      <c r="AY28" s="17"/>
      <c r="AZ28" s="17"/>
      <c r="BA28" s="74"/>
      <c r="BB28" s="74"/>
      <c r="BC28" s="74"/>
      <c r="BD28" s="74"/>
      <c r="BE28" s="74"/>
      <c r="BF28" s="17"/>
      <c r="BG28" s="40"/>
      <c r="BH28" s="57"/>
      <c r="BI28" s="75"/>
      <c r="BJ28" s="76"/>
      <c r="BK28" s="76"/>
      <c r="BL28" s="76"/>
      <c r="BM28" s="76"/>
      <c r="BN28" s="76"/>
      <c r="BO28" s="13"/>
      <c r="BP28" s="13"/>
      <c r="BQ28" s="13"/>
      <c r="BR28" s="13"/>
      <c r="BS28" s="13"/>
      <c r="BT28" s="13"/>
      <c r="BU28" s="13"/>
      <c r="BV28" s="13"/>
      <c r="BW28" s="13"/>
    </row>
    <row r="29" spans="2:75" ht="12.75" customHeight="1">
      <c r="B29" s="55"/>
      <c r="C29" s="7" t="str">
        <f>L4</f>
        <v>2028diesel</v>
      </c>
      <c r="D29" s="56"/>
      <c r="E29" s="24"/>
      <c r="F29" s="132"/>
      <c r="G29" s="132"/>
      <c r="H29" s="132"/>
      <c r="I29" s="132"/>
      <c r="J29" s="132"/>
      <c r="K29" s="132"/>
      <c r="L29" s="132"/>
      <c r="M29" s="132"/>
      <c r="N29" s="132"/>
      <c r="O29" s="132"/>
      <c r="P29" s="132"/>
      <c r="Q29" s="132"/>
      <c r="R29" s="132"/>
      <c r="S29" s="41"/>
      <c r="T29" s="77"/>
      <c r="U29" s="77"/>
      <c r="V29" s="77"/>
      <c r="W29" s="77"/>
      <c r="X29" s="77"/>
      <c r="Y29" s="25"/>
      <c r="Z29" s="90"/>
      <c r="AA29" s="43">
        <f aca="true" t="shared" si="11" ref="AA29:AF29">IF(AND(AA$18&gt;=$L$7,AA$18&lt;($L$7+$L$10)),$L$6,"")</f>
        <v>28</v>
      </c>
      <c r="AB29" s="43">
        <f t="shared" si="11"/>
        <v>28</v>
      </c>
      <c r="AC29" s="43">
        <f t="shared" si="11"/>
        <v>28</v>
      </c>
      <c r="AD29" s="43">
        <f t="shared" si="11"/>
        <v>28</v>
      </c>
      <c r="AE29" s="43">
        <f t="shared" si="11"/>
        <v>28</v>
      </c>
      <c r="AF29" s="43">
        <f t="shared" si="11"/>
        <v>28</v>
      </c>
      <c r="AG29" s="131"/>
      <c r="AH29" s="17"/>
      <c r="AI29" s="17"/>
      <c r="AJ29" s="13"/>
      <c r="AK29" s="74"/>
      <c r="AL29" s="74"/>
      <c r="AM29" s="74"/>
      <c r="AN29" s="74"/>
      <c r="AO29" s="74"/>
      <c r="AP29" s="17"/>
      <c r="AQ29" s="17"/>
      <c r="AR29" s="17"/>
      <c r="AS29" s="74"/>
      <c r="AT29" s="74"/>
      <c r="AU29" s="74"/>
      <c r="AV29" s="74"/>
      <c r="AW29" s="74"/>
      <c r="AX29" s="17"/>
      <c r="AY29" s="17"/>
      <c r="AZ29" s="17"/>
      <c r="BA29" s="74"/>
      <c r="BB29" s="74"/>
      <c r="BC29" s="74"/>
      <c r="BD29" s="74"/>
      <c r="BE29" s="74"/>
      <c r="BF29" s="17"/>
      <c r="BG29" s="40"/>
      <c r="BH29" s="57"/>
      <c r="BI29" s="75"/>
      <c r="BJ29" s="76"/>
      <c r="BK29" s="76"/>
      <c r="BL29" s="76"/>
      <c r="BM29" s="76"/>
      <c r="BN29" s="76"/>
      <c r="BO29" s="13"/>
      <c r="BP29" s="13"/>
      <c r="BQ29" s="13"/>
      <c r="BR29" s="13"/>
      <c r="BS29" s="13"/>
      <c r="BT29" s="13"/>
      <c r="BU29" s="13"/>
      <c r="BV29" s="13"/>
      <c r="BW29" s="13"/>
    </row>
    <row r="30" spans="2:75" ht="12.75" customHeight="1">
      <c r="B30" s="55"/>
      <c r="C30" s="7" t="str">
        <f>M4</f>
        <v>2029diesel</v>
      </c>
      <c r="D30" s="56"/>
      <c r="E30" s="24"/>
      <c r="F30" s="132"/>
      <c r="G30" s="132"/>
      <c r="H30" s="132"/>
      <c r="I30" s="132"/>
      <c r="J30" s="132"/>
      <c r="K30" s="132"/>
      <c r="L30" s="132"/>
      <c r="M30" s="132"/>
      <c r="N30" s="132"/>
      <c r="O30" s="132"/>
      <c r="P30" s="132"/>
      <c r="Q30" s="132"/>
      <c r="R30" s="132"/>
      <c r="S30" s="41"/>
      <c r="T30" s="77"/>
      <c r="U30" s="77"/>
      <c r="V30" s="77"/>
      <c r="W30" s="77"/>
      <c r="X30" s="77"/>
      <c r="Y30" s="25"/>
      <c r="Z30" s="90"/>
      <c r="AA30" s="90"/>
      <c r="AB30" s="41">
        <f>IF(AND(AB$18&gt;=$M$7,AB$18&lt;($M$7+$M$10)),$M$6,"")</f>
        <v>14</v>
      </c>
      <c r="AC30" s="41">
        <f>IF(AND(AC$18&gt;=$M$7,AC$18&lt;($M$7+$M$10)),$M$6,"")</f>
        <v>14</v>
      </c>
      <c r="AD30" s="41">
        <f>IF(AND(AD$18&gt;=$M$7,AD$18&lt;($M$7+$M$10)),$M$6,"")</f>
        <v>14</v>
      </c>
      <c r="AE30" s="41">
        <f>IF(AND(AE$18&gt;=$M$7,AE$18&lt;($M$7+$M$10)),$M$6,"")</f>
        <v>14</v>
      </c>
      <c r="AF30" s="41">
        <f>IF(AND(AF$18&gt;=$M$7,AF$18&lt;($M$7+$M$10)),$M$6,"")</f>
        <v>14</v>
      </c>
      <c r="AG30" s="131"/>
      <c r="AH30" s="17"/>
      <c r="AI30" s="17"/>
      <c r="AJ30" s="13"/>
      <c r="AK30" s="74"/>
      <c r="AL30" s="74"/>
      <c r="AM30" s="74"/>
      <c r="AN30" s="74"/>
      <c r="AO30" s="74"/>
      <c r="AP30" s="17"/>
      <c r="AQ30" s="17"/>
      <c r="AR30" s="17"/>
      <c r="AS30" s="74"/>
      <c r="AT30" s="74"/>
      <c r="AU30" s="74"/>
      <c r="AV30" s="74"/>
      <c r="AW30" s="74"/>
      <c r="AX30" s="17"/>
      <c r="AY30" s="17"/>
      <c r="AZ30" s="17"/>
      <c r="BA30" s="74"/>
      <c r="BB30" s="74"/>
      <c r="BC30" s="74"/>
      <c r="BD30" s="74"/>
      <c r="BE30" s="74"/>
      <c r="BF30" s="17"/>
      <c r="BG30" s="40"/>
      <c r="BH30" s="57"/>
      <c r="BI30" s="75"/>
      <c r="BJ30" s="76"/>
      <c r="BK30" s="76"/>
      <c r="BL30" s="76"/>
      <c r="BM30" s="76"/>
      <c r="BN30" s="76"/>
      <c r="BO30" s="13"/>
      <c r="BP30" s="13"/>
      <c r="BQ30" s="13"/>
      <c r="BR30" s="13"/>
      <c r="BS30" s="13"/>
      <c r="BT30" s="13"/>
      <c r="BU30" s="13"/>
      <c r="BV30" s="13"/>
      <c r="BW30" s="13"/>
    </row>
    <row r="31" spans="2:75" ht="12.75" customHeight="1">
      <c r="B31" s="55"/>
      <c r="C31" s="7" t="str">
        <f>N4</f>
        <v>2031diesel</v>
      </c>
      <c r="D31" s="56"/>
      <c r="E31" s="24"/>
      <c r="F31" s="132"/>
      <c r="G31" s="132"/>
      <c r="H31" s="132"/>
      <c r="I31" s="132"/>
      <c r="J31" s="132"/>
      <c r="K31" s="132"/>
      <c r="L31" s="132"/>
      <c r="M31" s="132"/>
      <c r="N31" s="132"/>
      <c r="O31" s="132"/>
      <c r="P31" s="132"/>
      <c r="Q31" s="132"/>
      <c r="R31" s="132"/>
      <c r="S31" s="41"/>
      <c r="T31" s="77"/>
      <c r="U31" s="77"/>
      <c r="V31" s="77"/>
      <c r="W31" s="77"/>
      <c r="X31" s="77"/>
      <c r="Y31" s="25"/>
      <c r="Z31" s="90"/>
      <c r="AA31" s="90"/>
      <c r="AB31" s="41"/>
      <c r="AC31" s="77"/>
      <c r="AD31" s="41">
        <f>IF(AND(AD$18&gt;=$N$7,AD$18&lt;($N$7+$N$10)),$N$6,"")</f>
        <v>56</v>
      </c>
      <c r="AE31" s="41">
        <f>IF(AND(AE$18&gt;=$N$7,AE$18&lt;($N$7+$N$10)),$N$6,"")</f>
        <v>56</v>
      </c>
      <c r="AF31" s="41">
        <f>IF(AND(AF$18&gt;=$N$7,AF$18&lt;($N$7+$N$10)),$N$6,"")</f>
        <v>56</v>
      </c>
      <c r="AG31" s="131"/>
      <c r="AH31" s="17"/>
      <c r="AI31" s="17"/>
      <c r="AJ31" s="13"/>
      <c r="AK31" s="74"/>
      <c r="AL31" s="74"/>
      <c r="AM31" s="74"/>
      <c r="AN31" s="74"/>
      <c r="AO31" s="74"/>
      <c r="AP31" s="17"/>
      <c r="AQ31" s="17"/>
      <c r="AR31" s="17"/>
      <c r="AS31" s="74"/>
      <c r="AT31" s="74"/>
      <c r="AU31" s="74"/>
      <c r="AV31" s="74"/>
      <c r="AW31" s="74"/>
      <c r="AX31" s="17"/>
      <c r="AY31" s="17"/>
      <c r="AZ31" s="17"/>
      <c r="BA31" s="74"/>
      <c r="BB31" s="74"/>
      <c r="BC31" s="74"/>
      <c r="BD31" s="74"/>
      <c r="BE31" s="74"/>
      <c r="BF31" s="17"/>
      <c r="BG31" s="40"/>
      <c r="BH31" s="57"/>
      <c r="BI31" s="75"/>
      <c r="BJ31" s="76"/>
      <c r="BK31" s="76"/>
      <c r="BL31" s="76"/>
      <c r="BM31" s="76"/>
      <c r="BN31" s="76"/>
      <c r="BO31" s="13"/>
      <c r="BP31" s="13"/>
      <c r="BQ31" s="13"/>
      <c r="BR31" s="13"/>
      <c r="BS31" s="13"/>
      <c r="BT31" s="13"/>
      <c r="BU31" s="13"/>
      <c r="BV31" s="13"/>
      <c r="BW31" s="13"/>
    </row>
    <row r="32" spans="2:75" ht="12.75" customHeight="1">
      <c r="B32" s="55"/>
      <c r="C32" s="7" t="str">
        <f>O4</f>
        <v>2029diesel</v>
      </c>
      <c r="D32" s="56"/>
      <c r="E32" s="24"/>
      <c r="F32" s="132"/>
      <c r="G32" s="132"/>
      <c r="H32" s="132"/>
      <c r="I32" s="132"/>
      <c r="J32" s="132"/>
      <c r="K32" s="132"/>
      <c r="L32" s="132"/>
      <c r="M32" s="132"/>
      <c r="N32" s="132"/>
      <c r="O32" s="132"/>
      <c r="P32" s="132"/>
      <c r="Q32" s="132"/>
      <c r="R32" s="132"/>
      <c r="S32" s="41"/>
      <c r="T32" s="77"/>
      <c r="U32" s="77"/>
      <c r="V32" s="77"/>
      <c r="W32" s="77"/>
      <c r="X32" s="77"/>
      <c r="Y32" s="25"/>
      <c r="Z32" s="90"/>
      <c r="AA32" s="90"/>
      <c r="AB32" s="41">
        <f>IF(AND(AB$18&gt;=$O$7,AB$18&lt;($O$7+$O$10)),$O$6,"")</f>
        <v>0</v>
      </c>
      <c r="AC32" s="41">
        <f>IF(AND(AC$18&gt;=$O$7,AC$18&lt;($O$7+$O$10)),$O$6,"")</f>
        <v>0</v>
      </c>
      <c r="AD32" s="41">
        <f>IF(AND(AD$18&gt;=$O$7,AD$18&lt;($O$7+$O$10)),$O$6,"")</f>
        <v>0</v>
      </c>
      <c r="AE32" s="41">
        <f>IF(AND(AE$18&gt;=$O$7,AE$18&lt;($O$7+$O$10)),$O$6,"")</f>
        <v>0</v>
      </c>
      <c r="AF32" s="41">
        <f>IF(AND(AF$18&gt;=$O$7,AF$18&lt;($O$7+$O$10)),$O$6,"")</f>
        <v>0</v>
      </c>
      <c r="AG32" s="131"/>
      <c r="AH32" s="17"/>
      <c r="AI32" s="17"/>
      <c r="AJ32" s="13"/>
      <c r="AK32" s="74"/>
      <c r="AL32" s="74"/>
      <c r="AM32" s="74"/>
      <c r="AN32" s="74"/>
      <c r="AO32" s="74"/>
      <c r="AP32" s="17"/>
      <c r="AQ32" s="17"/>
      <c r="AR32" s="17"/>
      <c r="AS32" s="74"/>
      <c r="AT32" s="74"/>
      <c r="AU32" s="74"/>
      <c r="AV32" s="74"/>
      <c r="AW32" s="74"/>
      <c r="AX32" s="17"/>
      <c r="AY32" s="17"/>
      <c r="AZ32" s="17"/>
      <c r="BA32" s="74"/>
      <c r="BB32" s="74"/>
      <c r="BC32" s="74"/>
      <c r="BD32" s="74"/>
      <c r="BE32" s="74"/>
      <c r="BF32" s="17"/>
      <c r="BG32" s="40"/>
      <c r="BH32" s="57"/>
      <c r="BI32" s="75"/>
      <c r="BJ32" s="76"/>
      <c r="BK32" s="76"/>
      <c r="BL32" s="76"/>
      <c r="BM32" s="76"/>
      <c r="BN32" s="76"/>
      <c r="BO32" s="13"/>
      <c r="BP32" s="13"/>
      <c r="BQ32" s="13"/>
      <c r="BR32" s="13"/>
      <c r="BS32" s="13"/>
      <c r="BT32" s="13"/>
      <c r="BU32" s="13"/>
      <c r="BV32" s="13"/>
      <c r="BW32" s="13"/>
    </row>
    <row r="33" spans="2:75" ht="12.75" customHeight="1">
      <c r="B33" s="55"/>
      <c r="C33" s="7" t="str">
        <f>P4</f>
        <v>2031diesel</v>
      </c>
      <c r="D33" s="56"/>
      <c r="E33" s="24"/>
      <c r="F33" s="132"/>
      <c r="G33" s="132"/>
      <c r="H33" s="132"/>
      <c r="I33" s="132"/>
      <c r="J33" s="132"/>
      <c r="K33" s="132"/>
      <c r="L33" s="132"/>
      <c r="M33" s="132"/>
      <c r="N33" s="132"/>
      <c r="O33" s="132"/>
      <c r="P33" s="132"/>
      <c r="Q33" s="132"/>
      <c r="R33" s="132"/>
      <c r="S33" s="41"/>
      <c r="T33" s="77"/>
      <c r="U33" s="77"/>
      <c r="V33" s="77"/>
      <c r="W33" s="77"/>
      <c r="X33" s="77"/>
      <c r="Y33" s="25"/>
      <c r="Z33" s="90"/>
      <c r="AA33" s="90"/>
      <c r="AB33" s="41"/>
      <c r="AC33" s="77"/>
      <c r="AD33" s="41">
        <f>IF(AND(AD$18&gt;=$P$7,AD$18&lt;($P$7+$P$10)),$P$6,"")</f>
        <v>0</v>
      </c>
      <c r="AE33" s="41">
        <f>IF(AND(AE$18&gt;=$P$7,AE$18&lt;($P$7+$P$10)),$P$6,"")</f>
        <v>0</v>
      </c>
      <c r="AF33" s="41">
        <f>IF(AND(AF$18&gt;=$P$7,AF$18&lt;($P$7+$P$10)),$P$6,"")</f>
        <v>0</v>
      </c>
      <c r="AG33" s="131"/>
      <c r="AH33" s="17"/>
      <c r="AI33" s="17"/>
      <c r="AJ33" s="13"/>
      <c r="AK33" s="74"/>
      <c r="AL33" s="74"/>
      <c r="AM33" s="74"/>
      <c r="AN33" s="74"/>
      <c r="AO33" s="74"/>
      <c r="AP33" s="17"/>
      <c r="AQ33" s="17"/>
      <c r="AR33" s="17"/>
      <c r="AS33" s="74"/>
      <c r="AT33" s="74"/>
      <c r="AU33" s="74"/>
      <c r="AV33" s="74"/>
      <c r="AW33" s="74"/>
      <c r="AX33" s="17"/>
      <c r="AY33" s="17"/>
      <c r="AZ33" s="17"/>
      <c r="BA33" s="74"/>
      <c r="BB33" s="74"/>
      <c r="BC33" s="74"/>
      <c r="BD33" s="74"/>
      <c r="BE33" s="74"/>
      <c r="BF33" s="17"/>
      <c r="BG33" s="40"/>
      <c r="BH33" s="57"/>
      <c r="BI33" s="75"/>
      <c r="BJ33" s="76"/>
      <c r="BK33" s="76"/>
      <c r="BL33" s="76"/>
      <c r="BM33" s="76"/>
      <c r="BN33" s="76"/>
      <c r="BO33" s="13"/>
      <c r="BP33" s="13"/>
      <c r="BQ33" s="13"/>
      <c r="BR33" s="13"/>
      <c r="BS33" s="13"/>
      <c r="BT33" s="13"/>
      <c r="BU33" s="13"/>
      <c r="BV33" s="13"/>
      <c r="BW33" s="13"/>
    </row>
    <row r="34" spans="2:75" ht="12.75" customHeight="1">
      <c r="B34" s="55"/>
      <c r="C34" s="7" t="str">
        <f>Q4</f>
        <v>2010wind</v>
      </c>
      <c r="D34" s="56"/>
      <c r="E34" s="24"/>
      <c r="F34" s="132"/>
      <c r="G34" s="132"/>
      <c r="H34" s="132"/>
      <c r="I34" s="136">
        <f>IF(AND(I$18&gt;=$Q$7,I$18&lt;($Q$7+$Q$10)),$Q$6,"")</f>
        <v>0</v>
      </c>
      <c r="J34" s="136">
        <f aca="true" t="shared" si="12" ref="J34:AE34">IF(AND(J$18&gt;=$Q$7,J$18&lt;($Q$7+$Q$10)),$Q$6,"")</f>
        <v>0</v>
      </c>
      <c r="K34" s="136">
        <f t="shared" si="12"/>
        <v>0</v>
      </c>
      <c r="L34" s="136">
        <f t="shared" si="12"/>
        <v>0</v>
      </c>
      <c r="M34" s="136">
        <f t="shared" si="12"/>
        <v>0</v>
      </c>
      <c r="N34" s="136">
        <f t="shared" si="12"/>
        <v>0</v>
      </c>
      <c r="O34" s="136">
        <f t="shared" si="12"/>
        <v>0</v>
      </c>
      <c r="P34" s="136">
        <f t="shared" si="12"/>
        <v>0</v>
      </c>
      <c r="Q34" s="136">
        <f t="shared" si="12"/>
        <v>0</v>
      </c>
      <c r="R34" s="136">
        <f t="shared" si="12"/>
        <v>0</v>
      </c>
      <c r="S34" s="136">
        <f t="shared" si="12"/>
        <v>0</v>
      </c>
      <c r="T34" s="136">
        <f t="shared" si="12"/>
        <v>0</v>
      </c>
      <c r="U34" s="136">
        <f t="shared" si="12"/>
        <v>0</v>
      </c>
      <c r="V34" s="136">
        <f t="shared" si="12"/>
        <v>0</v>
      </c>
      <c r="W34" s="136">
        <f t="shared" si="12"/>
        <v>0</v>
      </c>
      <c r="X34" s="136">
        <f t="shared" si="12"/>
        <v>0</v>
      </c>
      <c r="Y34" s="136">
        <f t="shared" si="12"/>
        <v>0</v>
      </c>
      <c r="Z34" s="136">
        <f t="shared" si="12"/>
        <v>0</v>
      </c>
      <c r="AA34" s="136">
        <f t="shared" si="12"/>
        <v>0</v>
      </c>
      <c r="AB34" s="136">
        <f t="shared" si="12"/>
        <v>0</v>
      </c>
      <c r="AC34" s="136">
        <f t="shared" si="12"/>
      </c>
      <c r="AD34" s="136">
        <f t="shared" si="12"/>
      </c>
      <c r="AE34" s="136">
        <f t="shared" si="12"/>
      </c>
      <c r="AF34" s="136">
        <f>IF(AND(AF$18&gt;=$Q$7,AF$18&lt;($Q$7+$Q$10)),$Q$6,"")</f>
      </c>
      <c r="AG34" s="131"/>
      <c r="AH34" s="17"/>
      <c r="AI34" s="17"/>
      <c r="AJ34" s="13"/>
      <c r="AK34" s="74"/>
      <c r="AL34" s="74"/>
      <c r="AM34" s="74"/>
      <c r="AN34" s="74"/>
      <c r="AO34" s="74"/>
      <c r="AP34" s="17"/>
      <c r="AQ34" s="17"/>
      <c r="AR34" s="17"/>
      <c r="AS34" s="74"/>
      <c r="AT34" s="74"/>
      <c r="AU34" s="74"/>
      <c r="AV34" s="74"/>
      <c r="AW34" s="74"/>
      <c r="AX34" s="17"/>
      <c r="AY34" s="17"/>
      <c r="AZ34" s="17"/>
      <c r="BA34" s="74"/>
      <c r="BB34" s="74"/>
      <c r="BC34" s="74"/>
      <c r="BD34" s="74"/>
      <c r="BE34" s="74"/>
      <c r="BF34" s="17"/>
      <c r="BG34" s="40"/>
      <c r="BH34" s="57"/>
      <c r="BI34" s="75"/>
      <c r="BJ34" s="76"/>
      <c r="BK34" s="76"/>
      <c r="BL34" s="76"/>
      <c r="BM34" s="76"/>
      <c r="BN34" s="76"/>
      <c r="BO34" s="13"/>
      <c r="BP34" s="13"/>
      <c r="BQ34" s="13"/>
      <c r="BR34" s="13"/>
      <c r="BS34" s="13"/>
      <c r="BT34" s="13"/>
      <c r="BU34" s="13"/>
      <c r="BV34" s="13"/>
      <c r="BW34" s="13"/>
    </row>
    <row r="35" spans="2:75" ht="12.75" customHeight="1">
      <c r="B35" s="10"/>
      <c r="C35" s="15" t="str">
        <f>R4</f>
        <v>2030wind</v>
      </c>
      <c r="D35" s="73"/>
      <c r="E35" s="26"/>
      <c r="F35" s="138"/>
      <c r="G35" s="138"/>
      <c r="H35" s="138"/>
      <c r="I35" s="138"/>
      <c r="J35" s="138"/>
      <c r="K35" s="138"/>
      <c r="L35" s="138"/>
      <c r="M35" s="138"/>
      <c r="N35" s="138"/>
      <c r="O35" s="138"/>
      <c r="P35" s="138"/>
      <c r="Q35" s="138"/>
      <c r="R35" s="132"/>
      <c r="S35" s="41"/>
      <c r="T35" s="77"/>
      <c r="U35" s="77"/>
      <c r="V35" s="77"/>
      <c r="W35" s="77"/>
      <c r="X35" s="77"/>
      <c r="Y35" s="25"/>
      <c r="Z35" s="90"/>
      <c r="AA35" s="90"/>
      <c r="AB35" s="41"/>
      <c r="AC35" s="41">
        <f>IF(AND(AC$18&gt;=$R$7,AC$18&lt;($R$7+$R$10)),$R$6,"")</f>
        <v>0</v>
      </c>
      <c r="AD35" s="41">
        <f>IF(AND(AD$18&gt;=$R$7,AD$18&lt;($R$7+$R$10)),$R$6,"")</f>
        <v>0</v>
      </c>
      <c r="AE35" s="45">
        <f>IF(AND(AE$18&gt;=$R$7,AE$18&lt;($R$7+$R$10)),$R$6,"")</f>
        <v>0</v>
      </c>
      <c r="AF35" s="45">
        <f>IF(AND(AF$18&gt;=$R$7,AF$18&lt;($R$7+$R$10)),$R$6,"")</f>
        <v>0</v>
      </c>
      <c r="AG35" s="139"/>
      <c r="AH35" s="17"/>
      <c r="AI35" s="17"/>
      <c r="AJ35" s="13"/>
      <c r="AK35" s="74"/>
      <c r="AL35" s="74"/>
      <c r="AM35" s="74"/>
      <c r="AN35" s="74"/>
      <c r="AO35" s="74"/>
      <c r="AP35" s="17"/>
      <c r="AQ35" s="17"/>
      <c r="AR35" s="17"/>
      <c r="AS35" s="74"/>
      <c r="AT35" s="74"/>
      <c r="AU35" s="74"/>
      <c r="AV35" s="74"/>
      <c r="AW35" s="74"/>
      <c r="AX35" s="17"/>
      <c r="AY35" s="17"/>
      <c r="AZ35" s="17"/>
      <c r="BA35" s="74"/>
      <c r="BB35" s="74"/>
      <c r="BC35" s="74"/>
      <c r="BD35" s="74"/>
      <c r="BE35" s="74"/>
      <c r="BF35" s="17"/>
      <c r="BG35" s="40"/>
      <c r="BH35" s="57"/>
      <c r="BI35" s="75"/>
      <c r="BJ35" s="76"/>
      <c r="BK35" s="76"/>
      <c r="BL35" s="76"/>
      <c r="BM35" s="76"/>
      <c r="BN35" s="76"/>
      <c r="BO35" s="13"/>
      <c r="BP35" s="13"/>
      <c r="BQ35" s="13"/>
      <c r="BR35" s="13"/>
      <c r="BS35" s="13"/>
      <c r="BT35" s="13"/>
      <c r="BU35" s="13"/>
      <c r="BV35" s="13"/>
      <c r="BW35" s="13"/>
    </row>
    <row r="36" spans="2:75" ht="12.75" customHeight="1">
      <c r="B36" s="13"/>
      <c r="C36" s="13"/>
      <c r="D36" s="13"/>
      <c r="E36" s="17"/>
      <c r="F36" s="35"/>
      <c r="G36" s="35"/>
      <c r="H36" s="35"/>
      <c r="I36" s="35"/>
      <c r="J36" s="35"/>
      <c r="K36" s="35"/>
      <c r="L36" s="35"/>
      <c r="M36" s="35"/>
      <c r="N36" s="35"/>
      <c r="O36" s="35"/>
      <c r="P36" s="35"/>
      <c r="Q36" s="35"/>
      <c r="R36" s="117"/>
      <c r="S36" s="118"/>
      <c r="T36" s="119"/>
      <c r="U36" s="119"/>
      <c r="V36" s="119"/>
      <c r="W36" s="119"/>
      <c r="X36" s="119"/>
      <c r="Y36" s="120"/>
      <c r="Z36" s="121"/>
      <c r="AA36" s="121"/>
      <c r="AB36" s="118"/>
      <c r="AC36" s="119"/>
      <c r="AD36" s="119"/>
      <c r="AE36" s="74"/>
      <c r="AF36" s="74"/>
      <c r="AG36" s="74"/>
      <c r="AH36" s="17"/>
      <c r="AI36" s="17"/>
      <c r="AJ36" s="13"/>
      <c r="AK36" s="74"/>
      <c r="AL36" s="74"/>
      <c r="AM36" s="74"/>
      <c r="AN36" s="74"/>
      <c r="AO36" s="74"/>
      <c r="AP36" s="17"/>
      <c r="AQ36" s="17"/>
      <c r="AR36" s="17"/>
      <c r="AS36" s="74"/>
      <c r="AT36" s="74"/>
      <c r="AU36" s="74"/>
      <c r="AV36" s="74"/>
      <c r="AW36" s="74"/>
      <c r="AX36" s="17"/>
      <c r="AY36" s="17"/>
      <c r="AZ36" s="17"/>
      <c r="BA36" s="74"/>
      <c r="BB36" s="74"/>
      <c r="BC36" s="74"/>
      <c r="BD36" s="74"/>
      <c r="BE36" s="74"/>
      <c r="BF36" s="17"/>
      <c r="BG36" s="40"/>
      <c r="BH36" s="57"/>
      <c r="BI36" s="75"/>
      <c r="BJ36" s="76"/>
      <c r="BK36" s="76"/>
      <c r="BL36" s="76"/>
      <c r="BM36" s="76"/>
      <c r="BN36" s="76"/>
      <c r="BO36" s="13"/>
      <c r="BP36" s="13"/>
      <c r="BQ36" s="13"/>
      <c r="BR36" s="13"/>
      <c r="BS36" s="13"/>
      <c r="BT36" s="13"/>
      <c r="BU36" s="13"/>
      <c r="BV36" s="13"/>
      <c r="BW36" s="13"/>
    </row>
    <row r="37" spans="2:75" ht="24.75" customHeight="1">
      <c r="B37" s="174" t="s">
        <v>31</v>
      </c>
      <c r="C37" s="175" t="s">
        <v>26</v>
      </c>
      <c r="D37" s="176"/>
      <c r="E37" s="97">
        <v>45</v>
      </c>
      <c r="F37" s="97">
        <v>45</v>
      </c>
      <c r="G37" s="97">
        <v>45</v>
      </c>
      <c r="H37" s="97">
        <v>45</v>
      </c>
      <c r="I37" s="97">
        <v>45</v>
      </c>
      <c r="J37" s="97">
        <v>45</v>
      </c>
      <c r="K37" s="97">
        <v>45</v>
      </c>
      <c r="L37" s="97">
        <v>45</v>
      </c>
      <c r="M37" s="97">
        <v>0</v>
      </c>
      <c r="N37" s="97">
        <v>0</v>
      </c>
      <c r="O37" s="97">
        <v>0</v>
      </c>
      <c r="P37" s="97">
        <v>0</v>
      </c>
      <c r="Q37" s="97">
        <v>0</v>
      </c>
      <c r="R37" s="99">
        <v>0</v>
      </c>
      <c r="S37" s="99">
        <v>0</v>
      </c>
      <c r="T37" s="99">
        <v>0</v>
      </c>
      <c r="U37" s="99">
        <v>0</v>
      </c>
      <c r="V37" s="99">
        <v>0</v>
      </c>
      <c r="W37" s="99">
        <v>0</v>
      </c>
      <c r="X37" s="99">
        <v>0</v>
      </c>
      <c r="Y37" s="99">
        <v>0</v>
      </c>
      <c r="Z37" s="99">
        <v>0</v>
      </c>
      <c r="AA37" s="99">
        <v>0</v>
      </c>
      <c r="AB37" s="99">
        <v>0</v>
      </c>
      <c r="AC37" s="99">
        <v>0</v>
      </c>
      <c r="AD37" s="99">
        <v>0</v>
      </c>
      <c r="AE37" s="97">
        <v>0</v>
      </c>
      <c r="AF37" s="97">
        <v>0</v>
      </c>
      <c r="AG37" s="98"/>
      <c r="AH37" s="17"/>
      <c r="AI37" s="17"/>
      <c r="AJ37" s="13"/>
      <c r="AK37" s="74"/>
      <c r="AL37" s="74"/>
      <c r="AM37" s="74"/>
      <c r="AN37" s="74"/>
      <c r="AO37" s="74"/>
      <c r="AP37" s="17"/>
      <c r="AQ37" s="17"/>
      <c r="AR37" s="17"/>
      <c r="AS37" s="74"/>
      <c r="AT37" s="74"/>
      <c r="AU37" s="74"/>
      <c r="AV37" s="74"/>
      <c r="AW37" s="74"/>
      <c r="AX37" s="17"/>
      <c r="AY37" s="17"/>
      <c r="AZ37" s="17"/>
      <c r="BA37" s="74"/>
      <c r="BB37" s="74"/>
      <c r="BC37" s="74"/>
      <c r="BD37" s="74"/>
      <c r="BE37" s="74"/>
      <c r="BF37" s="17"/>
      <c r="BG37" s="40"/>
      <c r="BH37" s="57"/>
      <c r="BI37" s="75"/>
      <c r="BJ37" s="76"/>
      <c r="BK37" s="76"/>
      <c r="BL37" s="76"/>
      <c r="BM37" s="76"/>
      <c r="BN37" s="76"/>
      <c r="BO37" s="13"/>
      <c r="BP37" s="13"/>
      <c r="BQ37" s="13"/>
      <c r="BR37" s="13"/>
      <c r="BS37" s="13"/>
      <c r="BT37" s="13"/>
      <c r="BU37" s="13"/>
      <c r="BV37" s="13"/>
      <c r="BW37" s="13"/>
    </row>
    <row r="38" spans="2:75" ht="12.75" customHeight="1">
      <c r="B38" s="4"/>
      <c r="C38" s="177" t="s">
        <v>27</v>
      </c>
      <c r="D38" s="178"/>
      <c r="E38" s="99">
        <v>0</v>
      </c>
      <c r="F38" s="99">
        <v>0</v>
      </c>
      <c r="G38" s="99">
        <v>0</v>
      </c>
      <c r="H38" s="99">
        <v>0</v>
      </c>
      <c r="I38" s="99">
        <v>0</v>
      </c>
      <c r="J38" s="99">
        <v>0</v>
      </c>
      <c r="K38" s="99">
        <v>0</v>
      </c>
      <c r="L38" s="99">
        <v>0</v>
      </c>
      <c r="M38" s="99">
        <v>45</v>
      </c>
      <c r="N38" s="99">
        <v>45</v>
      </c>
      <c r="O38" s="99">
        <v>45</v>
      </c>
      <c r="P38" s="99">
        <v>45</v>
      </c>
      <c r="Q38" s="99">
        <v>45</v>
      </c>
      <c r="R38" s="99">
        <v>45</v>
      </c>
      <c r="S38" s="99">
        <v>0</v>
      </c>
      <c r="T38" s="99">
        <v>0</v>
      </c>
      <c r="U38" s="99">
        <v>0</v>
      </c>
      <c r="V38" s="99">
        <v>0</v>
      </c>
      <c r="W38" s="99">
        <v>0</v>
      </c>
      <c r="X38" s="99">
        <v>0</v>
      </c>
      <c r="Y38" s="99">
        <v>0</v>
      </c>
      <c r="Z38" s="99">
        <v>0</v>
      </c>
      <c r="AA38" s="99">
        <v>0</v>
      </c>
      <c r="AB38" s="99">
        <v>0</v>
      </c>
      <c r="AC38" s="99">
        <v>0</v>
      </c>
      <c r="AD38" s="99">
        <v>0</v>
      </c>
      <c r="AE38" s="99">
        <v>0</v>
      </c>
      <c r="AF38" s="99">
        <v>0</v>
      </c>
      <c r="AG38" s="100"/>
      <c r="AH38" s="17"/>
      <c r="AI38" s="17"/>
      <c r="AJ38" s="13"/>
      <c r="AK38" s="74"/>
      <c r="AL38" s="74"/>
      <c r="AM38" s="74"/>
      <c r="AN38" s="74"/>
      <c r="AO38" s="74"/>
      <c r="AP38" s="17"/>
      <c r="AQ38" s="17"/>
      <c r="AR38" s="17"/>
      <c r="AS38" s="74"/>
      <c r="AT38" s="74"/>
      <c r="AU38" s="74"/>
      <c r="AV38" s="74"/>
      <c r="AW38" s="74"/>
      <c r="AX38" s="17"/>
      <c r="AY38" s="17"/>
      <c r="AZ38" s="17"/>
      <c r="BA38" s="74"/>
      <c r="BB38" s="74"/>
      <c r="BC38" s="74"/>
      <c r="BD38" s="74"/>
      <c r="BE38" s="74"/>
      <c r="BF38" s="17"/>
      <c r="BG38" s="40"/>
      <c r="BH38" s="57"/>
      <c r="BI38" s="75"/>
      <c r="BJ38" s="76"/>
      <c r="BK38" s="76"/>
      <c r="BL38" s="76"/>
      <c r="BM38" s="76"/>
      <c r="BN38" s="76"/>
      <c r="BO38" s="13"/>
      <c r="BP38" s="13"/>
      <c r="BQ38" s="13"/>
      <c r="BR38" s="13"/>
      <c r="BS38" s="13"/>
      <c r="BT38" s="13"/>
      <c r="BU38" s="13"/>
      <c r="BV38" s="13"/>
      <c r="BW38" s="13"/>
    </row>
    <row r="39" spans="2:75" ht="12.75" customHeight="1">
      <c r="B39" s="4"/>
      <c r="C39" s="177" t="s">
        <v>62</v>
      </c>
      <c r="D39" s="178"/>
      <c r="E39" s="99">
        <v>0</v>
      </c>
      <c r="F39" s="99">
        <v>0</v>
      </c>
      <c r="G39" s="99">
        <v>0</v>
      </c>
      <c r="H39" s="99">
        <v>0</v>
      </c>
      <c r="I39" s="99">
        <v>0</v>
      </c>
      <c r="J39" s="99">
        <v>0</v>
      </c>
      <c r="K39" s="99">
        <v>0</v>
      </c>
      <c r="L39" s="99">
        <v>0</v>
      </c>
      <c r="M39" s="99">
        <v>0</v>
      </c>
      <c r="N39" s="99">
        <v>0</v>
      </c>
      <c r="O39" s="99">
        <v>0</v>
      </c>
      <c r="P39" s="99">
        <v>0</v>
      </c>
      <c r="Q39" s="99">
        <v>0</v>
      </c>
      <c r="R39" s="99">
        <v>0</v>
      </c>
      <c r="S39" s="99">
        <v>100</v>
      </c>
      <c r="T39" s="99">
        <v>100</v>
      </c>
      <c r="U39" s="99">
        <v>100</v>
      </c>
      <c r="V39" s="99">
        <v>100</v>
      </c>
      <c r="W39" s="99">
        <v>100</v>
      </c>
      <c r="X39" s="99">
        <v>100</v>
      </c>
      <c r="Y39" s="99">
        <v>100</v>
      </c>
      <c r="Z39" s="99">
        <v>100</v>
      </c>
      <c r="AA39" s="99">
        <v>100</v>
      </c>
      <c r="AB39" s="99">
        <v>100</v>
      </c>
      <c r="AC39" s="99">
        <v>100</v>
      </c>
      <c r="AD39" s="99">
        <v>100</v>
      </c>
      <c r="AE39" s="99">
        <v>100</v>
      </c>
      <c r="AF39" s="99">
        <v>100</v>
      </c>
      <c r="AG39" s="100"/>
      <c r="AH39" s="17"/>
      <c r="AI39" s="17"/>
      <c r="AJ39" s="13"/>
      <c r="AK39" s="74"/>
      <c r="AL39" s="74"/>
      <c r="AM39" s="74"/>
      <c r="AN39" s="74"/>
      <c r="AO39" s="74"/>
      <c r="AP39" s="17"/>
      <c r="AQ39" s="17"/>
      <c r="AR39" s="17"/>
      <c r="AS39" s="74"/>
      <c r="AT39" s="74"/>
      <c r="AU39" s="74"/>
      <c r="AV39" s="74"/>
      <c r="AW39" s="74"/>
      <c r="AX39" s="17"/>
      <c r="AY39" s="17"/>
      <c r="AZ39" s="17"/>
      <c r="BA39" s="74"/>
      <c r="BB39" s="74"/>
      <c r="BC39" s="74"/>
      <c r="BD39" s="74"/>
      <c r="BE39" s="74"/>
      <c r="BF39" s="17"/>
      <c r="BG39" s="40"/>
      <c r="BH39" s="57"/>
      <c r="BI39" s="75"/>
      <c r="BJ39" s="76"/>
      <c r="BK39" s="76"/>
      <c r="BL39" s="76"/>
      <c r="BM39" s="76"/>
      <c r="BN39" s="76"/>
      <c r="BO39" s="13"/>
      <c r="BP39" s="13"/>
      <c r="BQ39" s="13"/>
      <c r="BR39" s="13"/>
      <c r="BS39" s="13"/>
      <c r="BT39" s="13"/>
      <c r="BU39" s="13"/>
      <c r="BV39" s="13"/>
      <c r="BW39" s="13"/>
    </row>
    <row r="40" spans="2:75" ht="12.75" customHeight="1">
      <c r="B40" s="4"/>
      <c r="C40" s="177" t="s">
        <v>19</v>
      </c>
      <c r="D40" s="178"/>
      <c r="E40" s="99">
        <v>0</v>
      </c>
      <c r="F40" s="99">
        <v>0</v>
      </c>
      <c r="G40" s="99">
        <v>0</v>
      </c>
      <c r="H40" s="99">
        <v>0</v>
      </c>
      <c r="I40" s="99">
        <v>0</v>
      </c>
      <c r="J40" s="99">
        <v>0</v>
      </c>
      <c r="K40" s="99">
        <v>0</v>
      </c>
      <c r="L40" s="99">
        <v>0</v>
      </c>
      <c r="M40" s="99">
        <v>0</v>
      </c>
      <c r="N40" s="99">
        <v>0</v>
      </c>
      <c r="O40" s="99">
        <v>0</v>
      </c>
      <c r="P40" s="99">
        <v>0</v>
      </c>
      <c r="Q40" s="99">
        <v>0</v>
      </c>
      <c r="R40" s="99">
        <v>0</v>
      </c>
      <c r="S40" s="99">
        <v>0</v>
      </c>
      <c r="T40" s="99">
        <v>0</v>
      </c>
      <c r="U40" s="99">
        <v>0</v>
      </c>
      <c r="V40" s="99">
        <v>0</v>
      </c>
      <c r="W40" s="99">
        <v>0</v>
      </c>
      <c r="X40" s="99">
        <v>0</v>
      </c>
      <c r="Y40" s="99">
        <v>0</v>
      </c>
      <c r="Z40" s="101">
        <v>0</v>
      </c>
      <c r="AA40" s="101">
        <v>0</v>
      </c>
      <c r="AB40" s="99">
        <v>0</v>
      </c>
      <c r="AC40" s="99">
        <v>0</v>
      </c>
      <c r="AD40" s="99">
        <v>0</v>
      </c>
      <c r="AE40" s="99">
        <v>0</v>
      </c>
      <c r="AF40" s="99">
        <v>0</v>
      </c>
      <c r="AG40" s="212"/>
      <c r="AH40" s="17"/>
      <c r="AI40" s="17"/>
      <c r="AJ40" s="13"/>
      <c r="AK40" s="74"/>
      <c r="AL40" s="74"/>
      <c r="AM40" s="74"/>
      <c r="AN40" s="74"/>
      <c r="AO40" s="74"/>
      <c r="AP40" s="17"/>
      <c r="AQ40" s="17"/>
      <c r="AR40" s="17"/>
      <c r="AS40" s="74"/>
      <c r="AT40" s="74"/>
      <c r="AU40" s="74"/>
      <c r="AV40" s="74"/>
      <c r="AW40" s="74"/>
      <c r="AX40" s="17"/>
      <c r="AY40" s="17"/>
      <c r="AZ40" s="17"/>
      <c r="BA40" s="74"/>
      <c r="BB40" s="74"/>
      <c r="BC40" s="74"/>
      <c r="BD40" s="74"/>
      <c r="BE40" s="74"/>
      <c r="BF40" s="17"/>
      <c r="BG40" s="40"/>
      <c r="BH40" s="57"/>
      <c r="BI40" s="75"/>
      <c r="BJ40" s="76"/>
      <c r="BK40" s="76"/>
      <c r="BL40" s="76"/>
      <c r="BM40" s="76"/>
      <c r="BN40" s="76"/>
      <c r="BO40" s="13"/>
      <c r="BP40" s="13"/>
      <c r="BQ40" s="13"/>
      <c r="BR40" s="13"/>
      <c r="BS40" s="13"/>
      <c r="BT40" s="13"/>
      <c r="BU40" s="13"/>
      <c r="BV40" s="13"/>
      <c r="BW40" s="13"/>
    </row>
    <row r="41" spans="2:75" ht="12.75" customHeight="1">
      <c r="B41" s="4"/>
      <c r="C41" s="177" t="s">
        <v>18</v>
      </c>
      <c r="D41" s="178"/>
      <c r="E41" s="99">
        <v>0</v>
      </c>
      <c r="F41" s="99">
        <v>0</v>
      </c>
      <c r="G41" s="99">
        <v>0</v>
      </c>
      <c r="H41" s="99">
        <v>14</v>
      </c>
      <c r="I41" s="99">
        <v>14</v>
      </c>
      <c r="J41" s="99">
        <v>42</v>
      </c>
      <c r="K41" s="99">
        <v>42</v>
      </c>
      <c r="L41" s="99">
        <v>42</v>
      </c>
      <c r="M41" s="99">
        <v>42</v>
      </c>
      <c r="N41" s="99">
        <v>42</v>
      </c>
      <c r="O41" s="99">
        <v>70</v>
      </c>
      <c r="P41" s="99">
        <v>70</v>
      </c>
      <c r="Q41" s="99">
        <v>70</v>
      </c>
      <c r="R41" s="99">
        <v>70</v>
      </c>
      <c r="S41" s="99">
        <v>70</v>
      </c>
      <c r="T41" s="99">
        <v>70</v>
      </c>
      <c r="U41" s="99">
        <v>70</v>
      </c>
      <c r="V41" s="99">
        <v>70</v>
      </c>
      <c r="W41" s="99">
        <v>70</v>
      </c>
      <c r="X41" s="99">
        <v>70</v>
      </c>
      <c r="Y41" s="99">
        <v>70</v>
      </c>
      <c r="Z41" s="101">
        <v>70</v>
      </c>
      <c r="AA41" s="101">
        <v>98</v>
      </c>
      <c r="AB41" s="99">
        <v>98</v>
      </c>
      <c r="AC41" s="99">
        <v>98</v>
      </c>
      <c r="AD41" s="99">
        <v>126</v>
      </c>
      <c r="AE41" s="99">
        <v>126</v>
      </c>
      <c r="AF41" s="99">
        <v>126</v>
      </c>
      <c r="AG41" s="212"/>
      <c r="AH41" s="17"/>
      <c r="AI41" s="17"/>
      <c r="AJ41" s="13"/>
      <c r="AK41" s="74"/>
      <c r="AL41" s="74"/>
      <c r="AM41" s="74"/>
      <c r="AN41" s="74"/>
      <c r="AO41" s="74"/>
      <c r="AP41" s="17"/>
      <c r="AQ41" s="17"/>
      <c r="AR41" s="17"/>
      <c r="AS41" s="74"/>
      <c r="AT41" s="74"/>
      <c r="AU41" s="74"/>
      <c r="AV41" s="74"/>
      <c r="AW41" s="74"/>
      <c r="AX41" s="17"/>
      <c r="AY41" s="17"/>
      <c r="AZ41" s="17"/>
      <c r="BA41" s="74"/>
      <c r="BB41" s="74"/>
      <c r="BC41" s="74"/>
      <c r="BD41" s="74"/>
      <c r="BE41" s="74"/>
      <c r="BF41" s="17"/>
      <c r="BG41" s="40"/>
      <c r="BH41" s="57"/>
      <c r="BI41" s="75"/>
      <c r="BJ41" s="76"/>
      <c r="BK41" s="76"/>
      <c r="BL41" s="76"/>
      <c r="BM41" s="76"/>
      <c r="BN41" s="76"/>
      <c r="BO41" s="13"/>
      <c r="BP41" s="13"/>
      <c r="BQ41" s="13"/>
      <c r="BR41" s="13"/>
      <c r="BS41" s="13"/>
      <c r="BT41" s="13"/>
      <c r="BU41" s="13"/>
      <c r="BV41" s="13"/>
      <c r="BW41" s="13"/>
    </row>
    <row r="42" spans="2:75" ht="12.75" customHeight="1">
      <c r="B42" s="4"/>
      <c r="C42" s="179"/>
      <c r="D42" s="180"/>
      <c r="E42" s="99"/>
      <c r="F42" s="99"/>
      <c r="G42" s="99"/>
      <c r="H42" s="99"/>
      <c r="I42" s="99"/>
      <c r="J42" s="99"/>
      <c r="K42" s="99"/>
      <c r="L42" s="99"/>
      <c r="M42" s="99"/>
      <c r="N42" s="99"/>
      <c r="O42" s="99"/>
      <c r="P42" s="99"/>
      <c r="Q42" s="99"/>
      <c r="R42" s="99"/>
      <c r="S42" s="99"/>
      <c r="T42" s="99"/>
      <c r="U42" s="99"/>
      <c r="V42" s="99"/>
      <c r="W42" s="99"/>
      <c r="X42" s="99"/>
      <c r="Y42" s="99"/>
      <c r="Z42" s="101"/>
      <c r="AA42" s="101"/>
      <c r="AB42" s="99"/>
      <c r="AC42" s="99"/>
      <c r="AD42" s="99"/>
      <c r="AE42" s="99"/>
      <c r="AF42" s="99"/>
      <c r="AG42" s="212"/>
      <c r="AH42" s="17"/>
      <c r="AI42" s="17"/>
      <c r="AJ42" s="13"/>
      <c r="AK42" s="74"/>
      <c r="AL42" s="74"/>
      <c r="AM42" s="74"/>
      <c r="AN42" s="74"/>
      <c r="AO42" s="74"/>
      <c r="AP42" s="17"/>
      <c r="AQ42" s="17"/>
      <c r="AR42" s="17"/>
      <c r="AS42" s="74"/>
      <c r="AT42" s="74"/>
      <c r="AU42" s="74"/>
      <c r="AV42" s="74"/>
      <c r="AW42" s="74"/>
      <c r="AX42" s="17"/>
      <c r="AY42" s="17"/>
      <c r="AZ42" s="17"/>
      <c r="BA42" s="74"/>
      <c r="BB42" s="74"/>
      <c r="BC42" s="74"/>
      <c r="BD42" s="74"/>
      <c r="BE42" s="74"/>
      <c r="BF42" s="17"/>
      <c r="BG42" s="40"/>
      <c r="BH42" s="57"/>
      <c r="BI42" s="75"/>
      <c r="BJ42" s="76"/>
      <c r="BK42" s="76"/>
      <c r="BL42" s="76"/>
      <c r="BM42" s="76"/>
      <c r="BN42" s="76"/>
      <c r="BO42" s="13"/>
      <c r="BP42" s="13"/>
      <c r="BQ42" s="13"/>
      <c r="BR42" s="13"/>
      <c r="BS42" s="13"/>
      <c r="BT42" s="13"/>
      <c r="BU42" s="13"/>
      <c r="BV42" s="13"/>
      <c r="BW42" s="13"/>
    </row>
    <row r="43" spans="2:75" ht="12.75" customHeight="1">
      <c r="B43" s="645" t="s">
        <v>36</v>
      </c>
      <c r="C43" s="646"/>
      <c r="D43" s="181"/>
      <c r="E43" s="99">
        <v>45</v>
      </c>
      <c r="F43" s="99">
        <v>45</v>
      </c>
      <c r="G43" s="99">
        <v>45</v>
      </c>
      <c r="H43" s="99">
        <v>59</v>
      </c>
      <c r="I43" s="99">
        <v>59</v>
      </c>
      <c r="J43" s="99">
        <v>87</v>
      </c>
      <c r="K43" s="99">
        <v>87</v>
      </c>
      <c r="L43" s="99">
        <v>87</v>
      </c>
      <c r="M43" s="99">
        <v>87</v>
      </c>
      <c r="N43" s="99">
        <v>87</v>
      </c>
      <c r="O43" s="99">
        <v>115</v>
      </c>
      <c r="P43" s="99">
        <v>115</v>
      </c>
      <c r="Q43" s="99">
        <v>115</v>
      </c>
      <c r="R43" s="99">
        <v>115</v>
      </c>
      <c r="S43" s="99">
        <v>170</v>
      </c>
      <c r="T43" s="99">
        <v>170</v>
      </c>
      <c r="U43" s="99">
        <v>170</v>
      </c>
      <c r="V43" s="99">
        <v>170</v>
      </c>
      <c r="W43" s="99">
        <v>170</v>
      </c>
      <c r="X43" s="99">
        <v>170</v>
      </c>
      <c r="Y43" s="99">
        <v>170</v>
      </c>
      <c r="Z43" s="101">
        <v>170</v>
      </c>
      <c r="AA43" s="101">
        <v>198</v>
      </c>
      <c r="AB43" s="99">
        <v>198</v>
      </c>
      <c r="AC43" s="99">
        <v>198</v>
      </c>
      <c r="AD43" s="99">
        <v>226</v>
      </c>
      <c r="AE43" s="99">
        <v>226</v>
      </c>
      <c r="AF43" s="99">
        <v>226</v>
      </c>
      <c r="AG43" s="212"/>
      <c r="AH43" s="17"/>
      <c r="AI43" s="17"/>
      <c r="AJ43" s="13"/>
      <c r="AK43" s="74"/>
      <c r="AL43" s="74"/>
      <c r="AM43" s="74"/>
      <c r="AN43" s="74"/>
      <c r="AO43" s="74"/>
      <c r="AP43" s="17"/>
      <c r="AQ43" s="17"/>
      <c r="AR43" s="17"/>
      <c r="AS43" s="74"/>
      <c r="AT43" s="74"/>
      <c r="AU43" s="74"/>
      <c r="AV43" s="74"/>
      <c r="AW43" s="74"/>
      <c r="AX43" s="17"/>
      <c r="AY43" s="17"/>
      <c r="AZ43" s="17"/>
      <c r="BA43" s="74"/>
      <c r="BB43" s="74"/>
      <c r="BC43" s="74"/>
      <c r="BD43" s="74"/>
      <c r="BE43" s="74"/>
      <c r="BF43" s="17"/>
      <c r="BG43" s="40"/>
      <c r="BH43" s="57"/>
      <c r="BI43" s="75"/>
      <c r="BJ43" s="76"/>
      <c r="BK43" s="76"/>
      <c r="BL43" s="76"/>
      <c r="BM43" s="76"/>
      <c r="BN43" s="76"/>
      <c r="BO43" s="13"/>
      <c r="BP43" s="13"/>
      <c r="BQ43" s="13"/>
      <c r="BR43" s="13"/>
      <c r="BS43" s="13"/>
      <c r="BT43" s="13"/>
      <c r="BU43" s="13"/>
      <c r="BV43" s="13"/>
      <c r="BW43" s="13"/>
    </row>
    <row r="44" spans="2:75" ht="12.75" customHeight="1">
      <c r="B44" s="637" t="s">
        <v>28</v>
      </c>
      <c r="C44" s="638"/>
      <c r="D44" s="182"/>
      <c r="E44" s="102">
        <v>2.2691422317823324</v>
      </c>
      <c r="F44" s="102">
        <v>-0.6588731634642997</v>
      </c>
      <c r="G44" s="102">
        <v>-3.7082347178914787</v>
      </c>
      <c r="H44" s="102">
        <v>8.420674034451501</v>
      </c>
      <c r="I44" s="102">
        <v>5.579784780890641</v>
      </c>
      <c r="J44" s="102">
        <v>28.607048719380614</v>
      </c>
      <c r="K44" s="102">
        <v>23.270937402819627</v>
      </c>
      <c r="L44" s="102">
        <v>17.544749977888515</v>
      </c>
      <c r="M44" s="102">
        <v>15.236196120652338</v>
      </c>
      <c r="N44" s="102">
        <v>10.267834283000681</v>
      </c>
      <c r="O44" s="102">
        <v>33.01974678240984</v>
      </c>
      <c r="P44" s="102">
        <v>27.476164927903724</v>
      </c>
      <c r="Q44" s="102">
        <v>21.62043004498011</v>
      </c>
      <c r="R44" s="122">
        <v>15.434943186777005</v>
      </c>
      <c r="S44" s="122">
        <v>63.90111200047612</v>
      </c>
      <c r="T44" s="122">
        <v>56.99929458784544</v>
      </c>
      <c r="U44" s="122">
        <v>49.70874018969201</v>
      </c>
      <c r="V44" s="122">
        <v>42.007526514343425</v>
      </c>
      <c r="W44" s="122">
        <v>39.73095948539955</v>
      </c>
      <c r="X44" s="122">
        <v>32.88818574253935</v>
      </c>
      <c r="Y44" s="122">
        <v>25.731810664598072</v>
      </c>
      <c r="Z44" s="123">
        <v>18.247383951985796</v>
      </c>
      <c r="AA44" s="123">
        <v>38.41978557760868</v>
      </c>
      <c r="AB44" s="122">
        <v>30.23319455516406</v>
      </c>
      <c r="AC44" s="122">
        <v>21.671056241543056</v>
      </c>
      <c r="AD44" s="122">
        <v>40.71604810407479</v>
      </c>
      <c r="AE44" s="102">
        <v>31.350043880049384</v>
      </c>
      <c r="AF44" s="102">
        <v>21.55407605250562</v>
      </c>
      <c r="AG44" s="213"/>
      <c r="AH44" s="17"/>
      <c r="AI44" s="17"/>
      <c r="AJ44" s="13"/>
      <c r="AK44" s="74"/>
      <c r="AL44" s="74"/>
      <c r="AM44" s="74"/>
      <c r="AN44" s="74"/>
      <c r="AO44" s="74"/>
      <c r="AP44" s="17"/>
      <c r="AQ44" s="17"/>
      <c r="AR44" s="17"/>
      <c r="AS44" s="74"/>
      <c r="AT44" s="74"/>
      <c r="AU44" s="74"/>
      <c r="AV44" s="74"/>
      <c r="AW44" s="74"/>
      <c r="AX44" s="17"/>
      <c r="AY44" s="17"/>
      <c r="AZ44" s="17"/>
      <c r="BA44" s="74"/>
      <c r="BB44" s="74"/>
      <c r="BC44" s="74"/>
      <c r="BD44" s="74"/>
      <c r="BE44" s="74"/>
      <c r="BF44" s="17"/>
      <c r="BG44" s="40"/>
      <c r="BH44" s="57"/>
      <c r="BI44" s="75"/>
      <c r="BJ44" s="76"/>
      <c r="BK44" s="76"/>
      <c r="BL44" s="76"/>
      <c r="BM44" s="76"/>
      <c r="BN44" s="76"/>
      <c r="BO44" s="13"/>
      <c r="BP44" s="13"/>
      <c r="BQ44" s="13"/>
      <c r="BR44" s="13"/>
      <c r="BS44" s="13"/>
      <c r="BT44" s="13"/>
      <c r="BU44" s="13"/>
      <c r="BV44" s="13"/>
      <c r="BW44" s="13"/>
    </row>
    <row r="45" spans="2:75" ht="12.75" customHeight="1">
      <c r="B45" s="13"/>
      <c r="C45" s="13"/>
      <c r="D45" s="13"/>
      <c r="E45" s="17"/>
      <c r="F45" s="35"/>
      <c r="G45" s="35"/>
      <c r="H45" s="35"/>
      <c r="I45" s="35"/>
      <c r="J45" s="35"/>
      <c r="K45" s="35"/>
      <c r="L45" s="35"/>
      <c r="M45" s="35"/>
      <c r="N45" s="35"/>
      <c r="O45" s="35"/>
      <c r="P45" s="35"/>
      <c r="Q45" s="35"/>
      <c r="R45" s="124"/>
      <c r="S45" s="113"/>
      <c r="T45" s="113"/>
      <c r="U45" s="113"/>
      <c r="V45" s="113"/>
      <c r="W45" s="113"/>
      <c r="X45" s="113"/>
      <c r="Y45" s="125"/>
      <c r="Z45" s="126"/>
      <c r="AA45" s="126"/>
      <c r="AB45" s="113"/>
      <c r="AC45" s="125"/>
      <c r="AD45" s="120"/>
      <c r="AE45" s="17"/>
      <c r="AF45" s="17"/>
      <c r="AG45" s="17"/>
      <c r="AH45" s="17"/>
      <c r="AI45" s="17"/>
      <c r="AJ45" s="13"/>
      <c r="AK45" s="74"/>
      <c r="AL45" s="74"/>
      <c r="AM45" s="74"/>
      <c r="AN45" s="74"/>
      <c r="AO45" s="74"/>
      <c r="AP45" s="17"/>
      <c r="AQ45" s="17"/>
      <c r="AR45" s="17"/>
      <c r="AS45" s="74"/>
      <c r="AT45" s="74"/>
      <c r="AU45" s="74"/>
      <c r="AV45" s="74"/>
      <c r="AW45" s="74"/>
      <c r="AX45" s="17"/>
      <c r="AY45" s="17"/>
      <c r="AZ45" s="17"/>
      <c r="BA45" s="74"/>
      <c r="BB45" s="74"/>
      <c r="BC45" s="74"/>
      <c r="BD45" s="74"/>
      <c r="BE45" s="74"/>
      <c r="BF45" s="17"/>
      <c r="BG45" s="40"/>
      <c r="BH45" s="57"/>
      <c r="BI45" s="75"/>
      <c r="BJ45" s="76"/>
      <c r="BK45" s="76"/>
      <c r="BL45" s="76"/>
      <c r="BM45" s="76"/>
      <c r="BN45" s="76"/>
      <c r="BO45" s="13"/>
      <c r="BP45" s="13"/>
      <c r="BQ45" s="13"/>
      <c r="BR45" s="13"/>
      <c r="BS45" s="13"/>
      <c r="BT45" s="13"/>
      <c r="BU45" s="13"/>
      <c r="BV45" s="13"/>
      <c r="BW45" s="13"/>
    </row>
    <row r="46" spans="2:75" ht="26.25" customHeight="1">
      <c r="B46" s="174" t="s">
        <v>35</v>
      </c>
      <c r="C46" s="175" t="s">
        <v>26</v>
      </c>
      <c r="D46" s="183">
        <v>0.56</v>
      </c>
      <c r="E46" s="105">
        <v>220.752</v>
      </c>
      <c r="F46" s="103">
        <v>220.752</v>
      </c>
      <c r="G46" s="103">
        <v>220.752</v>
      </c>
      <c r="H46" s="103">
        <v>220.752</v>
      </c>
      <c r="I46" s="103">
        <v>220.752</v>
      </c>
      <c r="J46" s="103">
        <v>220.752</v>
      </c>
      <c r="K46" s="103">
        <v>220.752</v>
      </c>
      <c r="L46" s="103">
        <v>220.752</v>
      </c>
      <c r="M46" s="103">
        <v>0</v>
      </c>
      <c r="N46" s="103">
        <v>0</v>
      </c>
      <c r="O46" s="103">
        <v>0</v>
      </c>
      <c r="P46" s="103">
        <v>0</v>
      </c>
      <c r="Q46" s="103">
        <v>0</v>
      </c>
      <c r="R46" s="103">
        <v>0</v>
      </c>
      <c r="S46" s="104">
        <v>0</v>
      </c>
      <c r="T46" s="104">
        <v>0</v>
      </c>
      <c r="U46" s="104">
        <v>0</v>
      </c>
      <c r="V46" s="104">
        <v>0</v>
      </c>
      <c r="W46" s="104">
        <v>0</v>
      </c>
      <c r="X46" s="104">
        <v>0</v>
      </c>
      <c r="Y46" s="104">
        <v>0</v>
      </c>
      <c r="Z46" s="214">
        <v>0</v>
      </c>
      <c r="AA46" s="214">
        <v>0</v>
      </c>
      <c r="AB46" s="104">
        <v>0</v>
      </c>
      <c r="AC46" s="104">
        <v>0</v>
      </c>
      <c r="AD46" s="107">
        <v>0</v>
      </c>
      <c r="AE46" s="104">
        <v>0</v>
      </c>
      <c r="AF46" s="215">
        <v>0</v>
      </c>
      <c r="AG46" s="17"/>
      <c r="AH46" s="17"/>
      <c r="AI46" s="17"/>
      <c r="AJ46" s="13"/>
      <c r="AK46" s="74"/>
      <c r="AL46" s="74"/>
      <c r="AM46" s="74"/>
      <c r="AN46" s="74"/>
      <c r="AO46" s="74"/>
      <c r="AP46" s="17"/>
      <c r="AQ46" s="17"/>
      <c r="AR46" s="17"/>
      <c r="AS46" s="74"/>
      <c r="AT46" s="74"/>
      <c r="AU46" s="74"/>
      <c r="AV46" s="74"/>
      <c r="AW46" s="74"/>
      <c r="AX46" s="17"/>
      <c r="AY46" s="17"/>
      <c r="AZ46" s="17"/>
      <c r="BA46" s="74"/>
      <c r="BB46" s="74"/>
      <c r="BC46" s="74"/>
      <c r="BD46" s="74"/>
      <c r="BE46" s="74"/>
      <c r="BF46" s="17"/>
      <c r="BG46" s="40"/>
      <c r="BH46" s="57"/>
      <c r="BI46" s="75"/>
      <c r="BJ46" s="76"/>
      <c r="BK46" s="76"/>
      <c r="BL46" s="76"/>
      <c r="BM46" s="76"/>
      <c r="BN46" s="76"/>
      <c r="BO46" s="13"/>
      <c r="BP46" s="13"/>
      <c r="BQ46" s="13"/>
      <c r="BR46" s="13"/>
      <c r="BS46" s="13"/>
      <c r="BT46" s="13"/>
      <c r="BU46" s="13"/>
      <c r="BV46" s="13"/>
      <c r="BW46" s="13"/>
    </row>
    <row r="47" spans="2:75" ht="12.75" customHeight="1">
      <c r="B47" s="55"/>
      <c r="C47" s="177" t="s">
        <v>27</v>
      </c>
      <c r="D47" s="184">
        <v>0.8</v>
      </c>
      <c r="E47" s="108">
        <v>0</v>
      </c>
      <c r="F47" s="106">
        <v>0</v>
      </c>
      <c r="G47" s="106">
        <v>0</v>
      </c>
      <c r="H47" s="106">
        <v>0</v>
      </c>
      <c r="I47" s="106">
        <v>0</v>
      </c>
      <c r="J47" s="106">
        <v>0</v>
      </c>
      <c r="K47" s="106">
        <v>0</v>
      </c>
      <c r="L47" s="106">
        <v>0</v>
      </c>
      <c r="M47" s="106">
        <v>315.36</v>
      </c>
      <c r="N47" s="106">
        <v>315.36</v>
      </c>
      <c r="O47" s="106">
        <v>315.36</v>
      </c>
      <c r="P47" s="106">
        <v>315.36</v>
      </c>
      <c r="Q47" s="106">
        <v>315.36</v>
      </c>
      <c r="R47" s="106">
        <v>315.36</v>
      </c>
      <c r="S47" s="107">
        <v>0</v>
      </c>
      <c r="T47" s="107">
        <v>0</v>
      </c>
      <c r="U47" s="107">
        <v>0</v>
      </c>
      <c r="V47" s="107">
        <v>0</v>
      </c>
      <c r="W47" s="107">
        <v>0</v>
      </c>
      <c r="X47" s="107">
        <v>0</v>
      </c>
      <c r="Y47" s="107">
        <v>0</v>
      </c>
      <c r="Z47" s="216">
        <v>0</v>
      </c>
      <c r="AA47" s="216">
        <v>0</v>
      </c>
      <c r="AB47" s="107">
        <v>0</v>
      </c>
      <c r="AC47" s="107">
        <v>0</v>
      </c>
      <c r="AD47" s="107">
        <v>0</v>
      </c>
      <c r="AE47" s="107">
        <v>0</v>
      </c>
      <c r="AF47" s="217">
        <v>0</v>
      </c>
      <c r="AG47" s="17"/>
      <c r="AH47" s="17"/>
      <c r="AI47" s="17"/>
      <c r="AJ47" s="13"/>
      <c r="AK47" s="74"/>
      <c r="AL47" s="74"/>
      <c r="AM47" s="74"/>
      <c r="AN47" s="74"/>
      <c r="AO47" s="74"/>
      <c r="AP47" s="17"/>
      <c r="AQ47" s="17"/>
      <c r="AR47" s="17"/>
      <c r="AS47" s="74"/>
      <c r="AT47" s="74"/>
      <c r="AU47" s="74"/>
      <c r="AV47" s="74"/>
      <c r="AW47" s="74"/>
      <c r="AX47" s="17"/>
      <c r="AY47" s="17"/>
      <c r="AZ47" s="17"/>
      <c r="BA47" s="74"/>
      <c r="BB47" s="74"/>
      <c r="BC47" s="74"/>
      <c r="BD47" s="74"/>
      <c r="BE47" s="74"/>
      <c r="BF47" s="17"/>
      <c r="BG47" s="40"/>
      <c r="BH47" s="57"/>
      <c r="BI47" s="75"/>
      <c r="BJ47" s="76"/>
      <c r="BK47" s="76"/>
      <c r="BL47" s="76"/>
      <c r="BM47" s="76"/>
      <c r="BN47" s="76"/>
      <c r="BO47" s="13"/>
      <c r="BP47" s="13"/>
      <c r="BQ47" s="13"/>
      <c r="BR47" s="13"/>
      <c r="BS47" s="13"/>
      <c r="BT47" s="13"/>
      <c r="BU47" s="13"/>
      <c r="BV47" s="13"/>
      <c r="BW47" s="13"/>
    </row>
    <row r="48" spans="2:75" ht="12.75" customHeight="1">
      <c r="B48" s="55"/>
      <c r="C48" s="177" t="s">
        <v>62</v>
      </c>
      <c r="D48" s="184">
        <v>0.61</v>
      </c>
      <c r="E48" s="108">
        <v>0</v>
      </c>
      <c r="F48" s="106">
        <v>0</v>
      </c>
      <c r="G48" s="106">
        <v>0</v>
      </c>
      <c r="H48" s="106">
        <v>0</v>
      </c>
      <c r="I48" s="106">
        <v>0</v>
      </c>
      <c r="J48" s="106">
        <v>0</v>
      </c>
      <c r="K48" s="106">
        <v>0</v>
      </c>
      <c r="L48" s="106">
        <v>0</v>
      </c>
      <c r="M48" s="106">
        <v>0</v>
      </c>
      <c r="N48" s="106">
        <v>0</v>
      </c>
      <c r="O48" s="106">
        <v>0</v>
      </c>
      <c r="P48" s="106">
        <v>0</v>
      </c>
      <c r="Q48" s="106">
        <v>0</v>
      </c>
      <c r="R48" s="106">
        <v>0</v>
      </c>
      <c r="S48" s="107">
        <v>534.36</v>
      </c>
      <c r="T48" s="107">
        <v>534.36</v>
      </c>
      <c r="U48" s="107">
        <v>534.36</v>
      </c>
      <c r="V48" s="107">
        <v>534.36</v>
      </c>
      <c r="W48" s="107">
        <v>534.36</v>
      </c>
      <c r="X48" s="107">
        <v>534.36</v>
      </c>
      <c r="Y48" s="107">
        <v>534.36</v>
      </c>
      <c r="Z48" s="216">
        <v>534.36</v>
      </c>
      <c r="AA48" s="216">
        <v>534.36</v>
      </c>
      <c r="AB48" s="107">
        <v>534.36</v>
      </c>
      <c r="AC48" s="107">
        <v>534.36</v>
      </c>
      <c r="AD48" s="107">
        <v>534.36</v>
      </c>
      <c r="AE48" s="107">
        <v>534.36</v>
      </c>
      <c r="AF48" s="217">
        <v>534.36</v>
      </c>
      <c r="AG48" s="17"/>
      <c r="AH48" s="17"/>
      <c r="AI48" s="17"/>
      <c r="AJ48" s="13"/>
      <c r="AK48" s="74"/>
      <c r="AL48" s="74"/>
      <c r="AM48" s="74"/>
      <c r="AN48" s="74"/>
      <c r="AO48" s="74"/>
      <c r="AP48" s="17"/>
      <c r="AQ48" s="17"/>
      <c r="AR48" s="17"/>
      <c r="AS48" s="74"/>
      <c r="AT48" s="74"/>
      <c r="AU48" s="74"/>
      <c r="AV48" s="74"/>
      <c r="AW48" s="74"/>
      <c r="AX48" s="17"/>
      <c r="AY48" s="17"/>
      <c r="AZ48" s="17"/>
      <c r="BA48" s="74"/>
      <c r="BB48" s="74"/>
      <c r="BC48" s="74"/>
      <c r="BD48" s="74"/>
      <c r="BE48" s="74"/>
      <c r="BF48" s="17"/>
      <c r="BG48" s="40"/>
      <c r="BH48" s="57"/>
      <c r="BI48" s="75"/>
      <c r="BJ48" s="76"/>
      <c r="BK48" s="76"/>
      <c r="BL48" s="76"/>
      <c r="BM48" s="76"/>
      <c r="BN48" s="76"/>
      <c r="BO48" s="13"/>
      <c r="BP48" s="13"/>
      <c r="BQ48" s="13"/>
      <c r="BR48" s="13"/>
      <c r="BS48" s="13"/>
      <c r="BT48" s="13"/>
      <c r="BU48" s="13"/>
      <c r="BV48" s="13"/>
      <c r="BW48" s="13"/>
    </row>
    <row r="49" spans="2:75" ht="12.75" customHeight="1">
      <c r="B49" s="55"/>
      <c r="C49" s="177" t="s">
        <v>19</v>
      </c>
      <c r="D49" s="184">
        <v>0.34</v>
      </c>
      <c r="E49" s="108">
        <v>0</v>
      </c>
      <c r="F49" s="106">
        <v>0</v>
      </c>
      <c r="G49" s="106">
        <v>0</v>
      </c>
      <c r="H49" s="106">
        <v>0</v>
      </c>
      <c r="I49" s="106">
        <v>0</v>
      </c>
      <c r="J49" s="106">
        <v>0</v>
      </c>
      <c r="K49" s="106">
        <v>0</v>
      </c>
      <c r="L49" s="106">
        <v>0</v>
      </c>
      <c r="M49" s="106">
        <v>0</v>
      </c>
      <c r="N49" s="106">
        <v>0</v>
      </c>
      <c r="O49" s="106">
        <v>0</v>
      </c>
      <c r="P49" s="106">
        <v>0</v>
      </c>
      <c r="Q49" s="106">
        <v>0</v>
      </c>
      <c r="R49" s="106">
        <v>0</v>
      </c>
      <c r="S49" s="107">
        <v>0</v>
      </c>
      <c r="T49" s="107">
        <v>0</v>
      </c>
      <c r="U49" s="107">
        <v>0</v>
      </c>
      <c r="V49" s="107">
        <v>0</v>
      </c>
      <c r="W49" s="107">
        <v>0</v>
      </c>
      <c r="X49" s="107">
        <v>0</v>
      </c>
      <c r="Y49" s="107">
        <v>0</v>
      </c>
      <c r="Z49" s="216">
        <v>0</v>
      </c>
      <c r="AA49" s="216">
        <v>0</v>
      </c>
      <c r="AB49" s="107">
        <v>0</v>
      </c>
      <c r="AC49" s="107">
        <v>0</v>
      </c>
      <c r="AD49" s="107">
        <v>0</v>
      </c>
      <c r="AE49" s="107">
        <v>0</v>
      </c>
      <c r="AF49" s="217">
        <v>0</v>
      </c>
      <c r="AG49" s="17"/>
      <c r="AH49" s="17"/>
      <c r="AI49" s="17"/>
      <c r="AJ49" s="13"/>
      <c r="AK49" s="74"/>
      <c r="AL49" s="74"/>
      <c r="AM49" s="74"/>
      <c r="AN49" s="74"/>
      <c r="AO49" s="74"/>
      <c r="AP49" s="17"/>
      <c r="AQ49" s="17"/>
      <c r="AR49" s="17"/>
      <c r="AS49" s="74"/>
      <c r="AT49" s="74"/>
      <c r="AU49" s="74"/>
      <c r="AV49" s="74"/>
      <c r="AW49" s="74"/>
      <c r="AX49" s="17"/>
      <c r="AY49" s="17"/>
      <c r="AZ49" s="17"/>
      <c r="BA49" s="74"/>
      <c r="BB49" s="74"/>
      <c r="BC49" s="74"/>
      <c r="BD49" s="74"/>
      <c r="BE49" s="74"/>
      <c r="BF49" s="17"/>
      <c r="BG49" s="40"/>
      <c r="BH49" s="57"/>
      <c r="BI49" s="75"/>
      <c r="BJ49" s="76"/>
      <c r="BK49" s="76"/>
      <c r="BL49" s="76"/>
      <c r="BM49" s="76"/>
      <c r="BN49" s="76"/>
      <c r="BO49" s="13"/>
      <c r="BP49" s="13"/>
      <c r="BQ49" s="13"/>
      <c r="BR49" s="13"/>
      <c r="BS49" s="13"/>
      <c r="BT49" s="13"/>
      <c r="BU49" s="13"/>
      <c r="BV49" s="13"/>
      <c r="BW49" s="13"/>
    </row>
    <row r="50" spans="2:75" ht="12.75" customHeight="1">
      <c r="B50" s="55"/>
      <c r="C50" s="177" t="s">
        <v>18</v>
      </c>
      <c r="D50" s="184">
        <v>0</v>
      </c>
      <c r="E50" s="108" t="e">
        <v>#N/A</v>
      </c>
      <c r="F50" s="106" t="e">
        <v>#N/A</v>
      </c>
      <c r="G50" s="106" t="e">
        <v>#N/A</v>
      </c>
      <c r="H50" s="106">
        <v>27.369941456594717</v>
      </c>
      <c r="I50" s="106">
        <v>41.30620777886287</v>
      </c>
      <c r="J50" s="106">
        <v>65.70046180220646</v>
      </c>
      <c r="K50" s="106">
        <v>91.87728947672804</v>
      </c>
      <c r="L50" s="106">
        <v>119.96767450847011</v>
      </c>
      <c r="M50" s="106">
        <v>49.25753475018951</v>
      </c>
      <c r="N50" s="106">
        <v>74.50078757493009</v>
      </c>
      <c r="O50" s="106">
        <v>101.16527054793198</v>
      </c>
      <c r="P50" s="106">
        <v>129.3311012343067</v>
      </c>
      <c r="Q50" s="106">
        <v>159.08291902746498</v>
      </c>
      <c r="R50" s="106">
        <v>190.51014065662326</v>
      </c>
      <c r="S50" s="107">
        <v>4.707230147980795</v>
      </c>
      <c r="T50" s="107">
        <v>39.7739840580748</v>
      </c>
      <c r="U50" s="107">
        <v>76.81583284421276</v>
      </c>
      <c r="V50" s="107">
        <v>115.94415928592377</v>
      </c>
      <c r="W50" s="107">
        <v>150.33407694474</v>
      </c>
      <c r="X50" s="107">
        <v>186.29969573721314</v>
      </c>
      <c r="Y50" s="107">
        <v>223.91360314687256</v>
      </c>
      <c r="Z50" s="216">
        <v>263.25174994836254</v>
      </c>
      <c r="AA50" s="216">
        <v>304.39360700408884</v>
      </c>
      <c r="AB50" s="107">
        <v>347.42232941805764</v>
      </c>
      <c r="AC50" s="107">
        <v>392.4249283944496</v>
      </c>
      <c r="AD50" s="107">
        <v>439.492451164983</v>
      </c>
      <c r="AE50" s="107">
        <v>488.72016936646037</v>
      </c>
      <c r="AF50" s="217">
        <v>540.2077762680304</v>
      </c>
      <c r="AG50" s="17"/>
      <c r="AH50" s="17"/>
      <c r="AI50" s="17"/>
      <c r="AJ50" s="13"/>
      <c r="AK50" s="74"/>
      <c r="AL50" s="74"/>
      <c r="AM50" s="74"/>
      <c r="AN50" s="74"/>
      <c r="AO50" s="74"/>
      <c r="AP50" s="17"/>
      <c r="AQ50" s="17"/>
      <c r="AR50" s="17"/>
      <c r="AS50" s="74"/>
      <c r="AT50" s="74"/>
      <c r="AU50" s="74"/>
      <c r="AV50" s="74"/>
      <c r="AW50" s="74"/>
      <c r="AX50" s="17"/>
      <c r="AY50" s="17"/>
      <c r="AZ50" s="17"/>
      <c r="BA50" s="74"/>
      <c r="BB50" s="74"/>
      <c r="BC50" s="74"/>
      <c r="BD50" s="74"/>
      <c r="BE50" s="74"/>
      <c r="BF50" s="17"/>
      <c r="BG50" s="40"/>
      <c r="BH50" s="57"/>
      <c r="BI50" s="75"/>
      <c r="BJ50" s="76"/>
      <c r="BK50" s="76"/>
      <c r="BL50" s="76"/>
      <c r="BM50" s="76"/>
      <c r="BN50" s="76"/>
      <c r="BO50" s="13"/>
      <c r="BP50" s="13"/>
      <c r="BQ50" s="13"/>
      <c r="BR50" s="13"/>
      <c r="BS50" s="13"/>
      <c r="BT50" s="13"/>
      <c r="BU50" s="13"/>
      <c r="BV50" s="13"/>
      <c r="BW50" s="13"/>
    </row>
    <row r="51" spans="2:75" ht="12.75" customHeight="1">
      <c r="B51" s="55"/>
      <c r="C51" s="179"/>
      <c r="D51" s="71"/>
      <c r="E51" s="80"/>
      <c r="F51" s="64"/>
      <c r="G51" s="64"/>
      <c r="H51" s="64"/>
      <c r="I51" s="64"/>
      <c r="J51" s="64"/>
      <c r="K51" s="64"/>
      <c r="L51" s="64"/>
      <c r="M51" s="64"/>
      <c r="N51" s="64"/>
      <c r="O51" s="64"/>
      <c r="P51" s="64"/>
      <c r="Q51" s="64"/>
      <c r="R51" s="64"/>
      <c r="S51" s="21"/>
      <c r="T51" s="21"/>
      <c r="U51" s="21"/>
      <c r="V51" s="21"/>
      <c r="W51" s="21"/>
      <c r="X51" s="21"/>
      <c r="Y51" s="21"/>
      <c r="Z51" s="218"/>
      <c r="AA51" s="218"/>
      <c r="AB51" s="21"/>
      <c r="AC51" s="21"/>
      <c r="AD51" s="21"/>
      <c r="AE51" s="21"/>
      <c r="AF51" s="22"/>
      <c r="AG51" s="17"/>
      <c r="AH51" s="17"/>
      <c r="AI51" s="17"/>
      <c r="AJ51" s="13"/>
      <c r="AK51" s="74"/>
      <c r="AL51" s="74"/>
      <c r="AM51" s="74"/>
      <c r="AN51" s="74"/>
      <c r="AO51" s="74"/>
      <c r="AP51" s="17"/>
      <c r="AQ51" s="17"/>
      <c r="AR51" s="17"/>
      <c r="AS51" s="74"/>
      <c r="AT51" s="74"/>
      <c r="AU51" s="74"/>
      <c r="AV51" s="74"/>
      <c r="AW51" s="74"/>
      <c r="AX51" s="17"/>
      <c r="AY51" s="17"/>
      <c r="AZ51" s="17"/>
      <c r="BA51" s="74"/>
      <c r="BB51" s="74"/>
      <c r="BC51" s="74"/>
      <c r="BD51" s="74"/>
      <c r="BE51" s="74"/>
      <c r="BF51" s="17"/>
      <c r="BG51" s="40"/>
      <c r="BH51" s="57"/>
      <c r="BI51" s="75"/>
      <c r="BJ51" s="76"/>
      <c r="BK51" s="76"/>
      <c r="BL51" s="76"/>
      <c r="BM51" s="76"/>
      <c r="BN51" s="76"/>
      <c r="BO51" s="13"/>
      <c r="BP51" s="13"/>
      <c r="BQ51" s="13"/>
      <c r="BR51" s="13"/>
      <c r="BS51" s="13"/>
      <c r="BT51" s="13"/>
      <c r="BU51" s="13"/>
      <c r="BV51" s="13"/>
      <c r="BW51" s="13"/>
    </row>
    <row r="52" spans="2:75" ht="12.75" customHeight="1">
      <c r="B52" s="10"/>
      <c r="C52" s="185" t="s">
        <v>24</v>
      </c>
      <c r="D52" s="73"/>
      <c r="E52" s="111" t="e">
        <v>#N/A</v>
      </c>
      <c r="F52" s="109" t="e">
        <v>#N/A</v>
      </c>
      <c r="G52" s="109" t="e">
        <v>#N/A</v>
      </c>
      <c r="H52" s="109">
        <v>248.12194145659473</v>
      </c>
      <c r="I52" s="109">
        <v>262.0582077788629</v>
      </c>
      <c r="J52" s="109">
        <v>286.45246180220647</v>
      </c>
      <c r="K52" s="109">
        <v>312.62928947672805</v>
      </c>
      <c r="L52" s="109">
        <v>340.7196745084701</v>
      </c>
      <c r="M52" s="109">
        <v>364.6175347501895</v>
      </c>
      <c r="N52" s="109">
        <v>389.8607875749301</v>
      </c>
      <c r="O52" s="109">
        <v>416.525270547932</v>
      </c>
      <c r="P52" s="109">
        <v>444.6911012343067</v>
      </c>
      <c r="Q52" s="109">
        <v>474.442919027465</v>
      </c>
      <c r="R52" s="109">
        <v>505.8701406566233</v>
      </c>
      <c r="S52" s="110">
        <v>539.0672301479808</v>
      </c>
      <c r="T52" s="110">
        <v>574.1339840580748</v>
      </c>
      <c r="U52" s="110">
        <v>611.1758328442128</v>
      </c>
      <c r="V52" s="110">
        <v>650.3041592859238</v>
      </c>
      <c r="W52" s="110">
        <v>684.69407694474</v>
      </c>
      <c r="X52" s="110">
        <v>720.6596957372132</v>
      </c>
      <c r="Y52" s="110">
        <v>758.2736031468726</v>
      </c>
      <c r="Z52" s="219">
        <v>797.6117499483626</v>
      </c>
      <c r="AA52" s="219">
        <v>838.7536070040888</v>
      </c>
      <c r="AB52" s="110">
        <v>881.7823294180577</v>
      </c>
      <c r="AC52" s="110">
        <v>926.7849283944496</v>
      </c>
      <c r="AD52" s="110">
        <v>973.852451164983</v>
      </c>
      <c r="AE52" s="110">
        <v>1023.0801693664604</v>
      </c>
      <c r="AF52" s="220">
        <v>1074.5677762680305</v>
      </c>
      <c r="AG52" s="17"/>
      <c r="AH52" s="17"/>
      <c r="AI52" s="17"/>
      <c r="AJ52" s="13"/>
      <c r="AK52" s="74"/>
      <c r="AL52" s="74"/>
      <c r="AM52" s="74"/>
      <c r="AN52" s="74"/>
      <c r="AO52" s="74"/>
      <c r="AP52" s="17"/>
      <c r="AQ52" s="17"/>
      <c r="AR52" s="17"/>
      <c r="AS52" s="74"/>
      <c r="AT52" s="74"/>
      <c r="AU52" s="74"/>
      <c r="AV52" s="74"/>
      <c r="AW52" s="74"/>
      <c r="AX52" s="17"/>
      <c r="AY52" s="17"/>
      <c r="AZ52" s="17"/>
      <c r="BA52" s="74"/>
      <c r="BB52" s="74"/>
      <c r="BC52" s="74"/>
      <c r="BD52" s="74"/>
      <c r="BE52" s="74"/>
      <c r="BF52" s="17"/>
      <c r="BG52" s="40"/>
      <c r="BH52" s="57"/>
      <c r="BI52" s="75"/>
      <c r="BJ52" s="76"/>
      <c r="BK52" s="76"/>
      <c r="BL52" s="76"/>
      <c r="BM52" s="76"/>
      <c r="BN52" s="76"/>
      <c r="BO52" s="13"/>
      <c r="BP52" s="13"/>
      <c r="BQ52" s="13"/>
      <c r="BR52" s="13"/>
      <c r="BS52" s="13"/>
      <c r="BT52" s="13"/>
      <c r="BU52" s="13"/>
      <c r="BV52" s="13"/>
      <c r="BW52" s="13"/>
    </row>
    <row r="53" spans="2:75" ht="12.75" customHeight="1">
      <c r="B53" s="13"/>
      <c r="C53" s="13"/>
      <c r="D53" s="13"/>
      <c r="E53" s="17"/>
      <c r="F53" s="35"/>
      <c r="G53" s="35"/>
      <c r="H53" s="35"/>
      <c r="I53" s="35"/>
      <c r="J53" s="35"/>
      <c r="K53" s="35"/>
      <c r="L53" s="35"/>
      <c r="M53" s="35"/>
      <c r="N53" s="35"/>
      <c r="O53" s="35"/>
      <c r="P53" s="35"/>
      <c r="Q53" s="35"/>
      <c r="R53" s="35"/>
      <c r="S53" s="13"/>
      <c r="T53" s="13"/>
      <c r="U53" s="13"/>
      <c r="V53" s="13"/>
      <c r="W53" s="13"/>
      <c r="X53" s="13"/>
      <c r="Y53" s="17"/>
      <c r="Z53" s="88"/>
      <c r="AA53" s="88"/>
      <c r="AB53" s="13"/>
      <c r="AC53" s="17"/>
      <c r="AD53" s="17"/>
      <c r="AE53" s="17"/>
      <c r="AF53" s="17"/>
      <c r="AG53" s="17"/>
      <c r="AH53" s="17"/>
      <c r="AI53" s="17"/>
      <c r="AJ53" s="13"/>
      <c r="AK53" s="74"/>
      <c r="AL53" s="74"/>
      <c r="AM53" s="74"/>
      <c r="AN53" s="74"/>
      <c r="AO53" s="74"/>
      <c r="AP53" s="17"/>
      <c r="AQ53" s="17"/>
      <c r="AR53" s="17"/>
      <c r="AS53" s="74"/>
      <c r="AT53" s="74"/>
      <c r="AU53" s="74"/>
      <c r="AV53" s="74"/>
      <c r="AW53" s="74"/>
      <c r="AX53" s="17"/>
      <c r="AY53" s="17"/>
      <c r="AZ53" s="17"/>
      <c r="BA53" s="74"/>
      <c r="BB53" s="74"/>
      <c r="BC53" s="74"/>
      <c r="BD53" s="74"/>
      <c r="BE53" s="74"/>
      <c r="BF53" s="17"/>
      <c r="BG53" s="40"/>
      <c r="BH53" s="57"/>
      <c r="BI53" s="75"/>
      <c r="BJ53" s="76"/>
      <c r="BK53" s="76"/>
      <c r="BL53" s="76"/>
      <c r="BM53" s="76"/>
      <c r="BN53" s="76"/>
      <c r="BO53" s="13"/>
      <c r="BP53" s="13"/>
      <c r="BQ53" s="13"/>
      <c r="BR53" s="13"/>
      <c r="BS53" s="13"/>
      <c r="BT53" s="13"/>
      <c r="BU53" s="13"/>
      <c r="BV53" s="13"/>
      <c r="BW53" s="13"/>
    </row>
    <row r="54" spans="2:75" ht="29.25" customHeight="1">
      <c r="B54" s="174" t="s">
        <v>32</v>
      </c>
      <c r="C54" s="175" t="s">
        <v>26</v>
      </c>
      <c r="D54" s="54"/>
      <c r="E54" s="28">
        <v>0</v>
      </c>
      <c r="F54" s="140">
        <v>0</v>
      </c>
      <c r="G54" s="140">
        <v>0</v>
      </c>
      <c r="H54" s="140">
        <v>0</v>
      </c>
      <c r="I54" s="140">
        <v>0</v>
      </c>
      <c r="J54" s="140">
        <v>0</v>
      </c>
      <c r="K54" s="140">
        <v>0</v>
      </c>
      <c r="L54" s="140">
        <v>0</v>
      </c>
      <c r="M54" s="140">
        <v>0</v>
      </c>
      <c r="N54" s="140">
        <v>0</v>
      </c>
      <c r="O54" s="140">
        <v>0</v>
      </c>
      <c r="P54" s="140">
        <v>0</v>
      </c>
      <c r="Q54" s="140">
        <v>0</v>
      </c>
      <c r="R54" s="140">
        <v>0</v>
      </c>
      <c r="S54" s="28">
        <v>0</v>
      </c>
      <c r="T54" s="141">
        <v>0</v>
      </c>
      <c r="U54" s="141">
        <v>0</v>
      </c>
      <c r="V54" s="141">
        <v>0</v>
      </c>
      <c r="W54" s="141">
        <v>0</v>
      </c>
      <c r="X54" s="141">
        <v>0</v>
      </c>
      <c r="Y54" s="28">
        <v>0</v>
      </c>
      <c r="Z54" s="142">
        <v>0</v>
      </c>
      <c r="AA54" s="142">
        <v>0</v>
      </c>
      <c r="AB54" s="28">
        <v>0</v>
      </c>
      <c r="AC54" s="28">
        <v>0</v>
      </c>
      <c r="AD54" s="28">
        <v>0</v>
      </c>
      <c r="AE54" s="28">
        <v>0</v>
      </c>
      <c r="AF54" s="28">
        <v>0</v>
      </c>
      <c r="AG54" s="29">
        <v>0</v>
      </c>
      <c r="AH54" s="17"/>
      <c r="AI54" s="17"/>
      <c r="AJ54" s="13"/>
      <c r="AK54" s="74"/>
      <c r="AL54" s="74"/>
      <c r="AM54" s="74"/>
      <c r="AN54" s="74"/>
      <c r="AO54" s="74"/>
      <c r="AP54" s="17"/>
      <c r="AQ54" s="17"/>
      <c r="AR54" s="17"/>
      <c r="AS54" s="74"/>
      <c r="AT54" s="74"/>
      <c r="AU54" s="74"/>
      <c r="AV54" s="74"/>
      <c r="AW54" s="74"/>
      <c r="AX54" s="17"/>
      <c r="AY54" s="17"/>
      <c r="AZ54" s="17"/>
      <c r="BA54" s="74"/>
      <c r="BB54" s="74"/>
      <c r="BC54" s="74"/>
      <c r="BD54" s="74"/>
      <c r="BE54" s="74"/>
      <c r="BF54" s="17"/>
      <c r="BG54" s="40"/>
      <c r="BH54" s="57"/>
      <c r="BI54" s="75"/>
      <c r="BJ54" s="76"/>
      <c r="BK54" s="76"/>
      <c r="BL54" s="76"/>
      <c r="BM54" s="76"/>
      <c r="BN54" s="76"/>
      <c r="BO54" s="13"/>
      <c r="BP54" s="13"/>
      <c r="BQ54" s="13"/>
      <c r="BR54" s="13"/>
      <c r="BS54" s="13"/>
      <c r="BT54" s="13"/>
      <c r="BU54" s="13"/>
      <c r="BV54" s="13"/>
      <c r="BW54" s="13"/>
    </row>
    <row r="55" spans="2:75" ht="12.75" customHeight="1">
      <c r="B55" s="55"/>
      <c r="C55" s="177" t="s">
        <v>27</v>
      </c>
      <c r="D55" s="71"/>
      <c r="E55" s="30">
        <v>0</v>
      </c>
      <c r="F55" s="143">
        <v>0</v>
      </c>
      <c r="G55" s="143">
        <v>0</v>
      </c>
      <c r="H55" s="143">
        <v>0</v>
      </c>
      <c r="I55" s="143">
        <v>0</v>
      </c>
      <c r="J55" s="143">
        <v>0</v>
      </c>
      <c r="K55" s="143">
        <v>0</v>
      </c>
      <c r="L55" s="143">
        <v>0</v>
      </c>
      <c r="M55" s="143">
        <v>0</v>
      </c>
      <c r="N55" s="143">
        <v>0</v>
      </c>
      <c r="O55" s="143">
        <v>0</v>
      </c>
      <c r="P55" s="143">
        <v>0</v>
      </c>
      <c r="Q55" s="143">
        <v>0</v>
      </c>
      <c r="R55" s="143">
        <v>0</v>
      </c>
      <c r="S55" s="30">
        <v>0</v>
      </c>
      <c r="T55" s="32">
        <v>0</v>
      </c>
      <c r="U55" s="32">
        <v>0</v>
      </c>
      <c r="V55" s="32">
        <v>0</v>
      </c>
      <c r="W55" s="32">
        <v>0</v>
      </c>
      <c r="X55" s="32">
        <v>0</v>
      </c>
      <c r="Y55" s="30">
        <v>0</v>
      </c>
      <c r="Z55" s="144">
        <v>0</v>
      </c>
      <c r="AA55" s="144">
        <v>0</v>
      </c>
      <c r="AB55" s="30">
        <v>0</v>
      </c>
      <c r="AC55" s="30">
        <v>0</v>
      </c>
      <c r="AD55" s="30">
        <v>0</v>
      </c>
      <c r="AE55" s="30">
        <v>0</v>
      </c>
      <c r="AF55" s="30">
        <v>0</v>
      </c>
      <c r="AG55" s="31">
        <v>0</v>
      </c>
      <c r="AH55" s="17"/>
      <c r="AI55" s="17"/>
      <c r="AJ55" s="13"/>
      <c r="AK55" s="74"/>
      <c r="AL55" s="74"/>
      <c r="AM55" s="74"/>
      <c r="AN55" s="74"/>
      <c r="AO55" s="74"/>
      <c r="AP55" s="17"/>
      <c r="AQ55" s="17"/>
      <c r="AR55" s="17"/>
      <c r="AS55" s="74"/>
      <c r="AT55" s="74"/>
      <c r="AU55" s="74"/>
      <c r="AV55" s="74"/>
      <c r="AW55" s="74"/>
      <c r="AX55" s="17"/>
      <c r="AY55" s="17"/>
      <c r="AZ55" s="17"/>
      <c r="BA55" s="74"/>
      <c r="BB55" s="74"/>
      <c r="BC55" s="74"/>
      <c r="BD55" s="74"/>
      <c r="BE55" s="74"/>
      <c r="BF55" s="17"/>
      <c r="BG55" s="40"/>
      <c r="BH55" s="57"/>
      <c r="BI55" s="75"/>
      <c r="BJ55" s="76"/>
      <c r="BK55" s="76"/>
      <c r="BL55" s="76"/>
      <c r="BM55" s="76"/>
      <c r="BN55" s="76"/>
      <c r="BO55" s="13"/>
      <c r="BP55" s="13"/>
      <c r="BQ55" s="13"/>
      <c r="BR55" s="13"/>
      <c r="BS55" s="13"/>
      <c r="BT55" s="13"/>
      <c r="BU55" s="13"/>
      <c r="BV55" s="13"/>
      <c r="BW55" s="13"/>
    </row>
    <row r="56" spans="2:75" ht="12.75" customHeight="1">
      <c r="B56" s="55"/>
      <c r="C56" s="177" t="s">
        <v>62</v>
      </c>
      <c r="D56" s="71"/>
      <c r="E56" s="30">
        <v>0</v>
      </c>
      <c r="F56" s="143">
        <v>0</v>
      </c>
      <c r="G56" s="143">
        <v>0</v>
      </c>
      <c r="H56" s="143">
        <v>0</v>
      </c>
      <c r="I56" s="143">
        <v>0</v>
      </c>
      <c r="J56" s="143">
        <v>0</v>
      </c>
      <c r="K56" s="143">
        <v>0</v>
      </c>
      <c r="L56" s="143">
        <v>0</v>
      </c>
      <c r="M56" s="143">
        <v>0</v>
      </c>
      <c r="N56" s="143">
        <v>0</v>
      </c>
      <c r="O56" s="143">
        <v>0</v>
      </c>
      <c r="P56" s="143">
        <v>0</v>
      </c>
      <c r="Q56" s="143">
        <v>0</v>
      </c>
      <c r="R56" s="143">
        <v>48.3</v>
      </c>
      <c r="S56" s="30">
        <v>0</v>
      </c>
      <c r="T56" s="32">
        <v>0</v>
      </c>
      <c r="U56" s="32">
        <v>0</v>
      </c>
      <c r="V56" s="32">
        <v>0</v>
      </c>
      <c r="W56" s="32">
        <v>0</v>
      </c>
      <c r="X56" s="32">
        <v>0</v>
      </c>
      <c r="Y56" s="30">
        <v>0</v>
      </c>
      <c r="Z56" s="144">
        <v>0</v>
      </c>
      <c r="AA56" s="144">
        <v>0</v>
      </c>
      <c r="AB56" s="30">
        <v>0</v>
      </c>
      <c r="AC56" s="30">
        <v>0</v>
      </c>
      <c r="AD56" s="30">
        <v>0</v>
      </c>
      <c r="AE56" s="30">
        <v>0</v>
      </c>
      <c r="AF56" s="30">
        <v>0</v>
      </c>
      <c r="AG56" s="31">
        <v>31.395</v>
      </c>
      <c r="AH56" s="17"/>
      <c r="AI56" s="17"/>
      <c r="AJ56" s="13"/>
      <c r="AK56" s="74"/>
      <c r="AL56" s="74"/>
      <c r="AM56" s="74"/>
      <c r="AN56" s="74"/>
      <c r="AO56" s="74"/>
      <c r="AP56" s="17"/>
      <c r="AQ56" s="17"/>
      <c r="AR56" s="17"/>
      <c r="AS56" s="74"/>
      <c r="AT56" s="74"/>
      <c r="AU56" s="74"/>
      <c r="AV56" s="74"/>
      <c r="AW56" s="74"/>
      <c r="AX56" s="17"/>
      <c r="AY56" s="17"/>
      <c r="AZ56" s="17"/>
      <c r="BA56" s="74"/>
      <c r="BB56" s="74"/>
      <c r="BC56" s="74"/>
      <c r="BD56" s="74"/>
      <c r="BE56" s="74"/>
      <c r="BF56" s="17"/>
      <c r="BG56" s="40"/>
      <c r="BH56" s="57"/>
      <c r="BI56" s="75"/>
      <c r="BJ56" s="76"/>
      <c r="BK56" s="76"/>
      <c r="BL56" s="76"/>
      <c r="BM56" s="76"/>
      <c r="BN56" s="76"/>
      <c r="BO56" s="13"/>
      <c r="BP56" s="13"/>
      <c r="BQ56" s="13"/>
      <c r="BR56" s="13"/>
      <c r="BS56" s="13"/>
      <c r="BT56" s="13"/>
      <c r="BU56" s="13"/>
      <c r="BV56" s="13"/>
      <c r="BW56" s="13"/>
    </row>
    <row r="57" spans="2:75" ht="17.25" customHeight="1">
      <c r="B57" s="55"/>
      <c r="C57" s="177" t="s">
        <v>19</v>
      </c>
      <c r="D57" s="71"/>
      <c r="E57" s="30">
        <v>0</v>
      </c>
      <c r="F57" s="143">
        <v>0</v>
      </c>
      <c r="G57" s="143">
        <v>0</v>
      </c>
      <c r="H57" s="143">
        <v>0</v>
      </c>
      <c r="I57" s="143">
        <v>0</v>
      </c>
      <c r="J57" s="143">
        <v>0</v>
      </c>
      <c r="K57" s="143">
        <v>0</v>
      </c>
      <c r="L57" s="143">
        <v>0</v>
      </c>
      <c r="M57" s="143">
        <v>0</v>
      </c>
      <c r="N57" s="143">
        <v>0</v>
      </c>
      <c r="O57" s="143">
        <v>0</v>
      </c>
      <c r="P57" s="143">
        <v>0</v>
      </c>
      <c r="Q57" s="143">
        <v>0</v>
      </c>
      <c r="R57" s="143">
        <v>0</v>
      </c>
      <c r="S57" s="30">
        <v>0</v>
      </c>
      <c r="T57" s="32">
        <v>0</v>
      </c>
      <c r="U57" s="32">
        <v>0</v>
      </c>
      <c r="V57" s="32">
        <v>0</v>
      </c>
      <c r="W57" s="32">
        <v>0</v>
      </c>
      <c r="X57" s="32">
        <v>0</v>
      </c>
      <c r="Y57" s="30">
        <v>0</v>
      </c>
      <c r="Z57" s="144">
        <v>0</v>
      </c>
      <c r="AA57" s="144">
        <v>0</v>
      </c>
      <c r="AB57" s="30">
        <v>0</v>
      </c>
      <c r="AC57" s="30">
        <v>0</v>
      </c>
      <c r="AD57" s="30">
        <v>0</v>
      </c>
      <c r="AE57" s="30">
        <v>0</v>
      </c>
      <c r="AF57" s="30">
        <v>0</v>
      </c>
      <c r="AG57" s="31">
        <v>0</v>
      </c>
      <c r="AH57" s="17"/>
      <c r="AI57" s="17"/>
      <c r="AJ57" s="13"/>
      <c r="AK57" s="74"/>
      <c r="AL57" s="74"/>
      <c r="AM57" s="74"/>
      <c r="AN57" s="74"/>
      <c r="AO57" s="74"/>
      <c r="AP57" s="17"/>
      <c r="AQ57" s="17"/>
      <c r="AR57" s="17"/>
      <c r="AS57" s="74"/>
      <c r="AT57" s="74"/>
      <c r="AU57" s="74"/>
      <c r="AV57" s="74"/>
      <c r="AW57" s="74"/>
      <c r="AX57" s="17"/>
      <c r="AY57" s="17"/>
      <c r="AZ57" s="17"/>
      <c r="BA57" s="74"/>
      <c r="BB57" s="74"/>
      <c r="BC57" s="74"/>
      <c r="BD57" s="74"/>
      <c r="BE57" s="74"/>
      <c r="BF57" s="17"/>
      <c r="BG57" s="40"/>
      <c r="BH57" s="57"/>
      <c r="BI57" s="75"/>
      <c r="BJ57" s="76"/>
      <c r="BK57" s="76"/>
      <c r="BL57" s="76"/>
      <c r="BM57" s="76"/>
      <c r="BN57" s="76"/>
      <c r="BO57" s="13"/>
      <c r="BP57" s="13"/>
      <c r="BQ57" s="13"/>
      <c r="BR57" s="13"/>
      <c r="BS57" s="13"/>
      <c r="BT57" s="13"/>
      <c r="BU57" s="13"/>
      <c r="BV57" s="13"/>
      <c r="BW57" s="13"/>
    </row>
    <row r="58" spans="2:75" ht="12.75" customHeight="1">
      <c r="B58" s="55"/>
      <c r="C58" s="177" t="s">
        <v>18</v>
      </c>
      <c r="D58" s="71"/>
      <c r="E58" s="30">
        <v>0</v>
      </c>
      <c r="F58" s="143">
        <v>0</v>
      </c>
      <c r="G58" s="143">
        <v>21</v>
      </c>
      <c r="H58" s="143">
        <v>0</v>
      </c>
      <c r="I58" s="143">
        <v>42</v>
      </c>
      <c r="J58" s="143">
        <v>0</v>
      </c>
      <c r="K58" s="143">
        <v>0</v>
      </c>
      <c r="L58" s="143">
        <v>0</v>
      </c>
      <c r="M58" s="143">
        <v>0</v>
      </c>
      <c r="N58" s="143">
        <v>42</v>
      </c>
      <c r="O58" s="143">
        <v>0</v>
      </c>
      <c r="P58" s="143">
        <v>0</v>
      </c>
      <c r="Q58" s="143">
        <v>0</v>
      </c>
      <c r="R58" s="143">
        <v>0</v>
      </c>
      <c r="S58" s="30">
        <v>0</v>
      </c>
      <c r="T58" s="32">
        <v>0</v>
      </c>
      <c r="U58" s="32">
        <v>0</v>
      </c>
      <c r="V58" s="32">
        <v>0</v>
      </c>
      <c r="W58" s="32">
        <v>0</v>
      </c>
      <c r="X58" s="32">
        <v>0</v>
      </c>
      <c r="Y58" s="30">
        <v>0</v>
      </c>
      <c r="Z58" s="144">
        <v>42</v>
      </c>
      <c r="AA58" s="144">
        <v>21</v>
      </c>
      <c r="AB58" s="30">
        <v>0</v>
      </c>
      <c r="AC58" s="30">
        <v>84</v>
      </c>
      <c r="AD58" s="30">
        <v>0</v>
      </c>
      <c r="AE58" s="30">
        <v>0</v>
      </c>
      <c r="AF58" s="30">
        <v>0</v>
      </c>
      <c r="AG58" s="31">
        <v>120.75</v>
      </c>
      <c r="AH58" s="17"/>
      <c r="AI58" s="17"/>
      <c r="AJ58" s="13"/>
      <c r="AK58" s="74"/>
      <c r="AL58" s="74"/>
      <c r="AM58" s="74"/>
      <c r="AN58" s="74"/>
      <c r="AO58" s="74"/>
      <c r="AP58" s="17"/>
      <c r="AQ58" s="17"/>
      <c r="AR58" s="17"/>
      <c r="AS58" s="74"/>
      <c r="AT58" s="74"/>
      <c r="AU58" s="74"/>
      <c r="AV58" s="74"/>
      <c r="AW58" s="74"/>
      <c r="AX58" s="17"/>
      <c r="AY58" s="17"/>
      <c r="AZ58" s="17"/>
      <c r="BA58" s="74"/>
      <c r="BB58" s="74"/>
      <c r="BC58" s="74"/>
      <c r="BD58" s="74"/>
      <c r="BE58" s="74"/>
      <c r="BF58" s="17"/>
      <c r="BG58" s="40"/>
      <c r="BH58" s="57"/>
      <c r="BI58" s="75"/>
      <c r="BJ58" s="76"/>
      <c r="BK58" s="76"/>
      <c r="BL58" s="76"/>
      <c r="BM58" s="76"/>
      <c r="BN58" s="76"/>
      <c r="BO58" s="13"/>
      <c r="BP58" s="13"/>
      <c r="BQ58" s="13"/>
      <c r="BR58" s="13"/>
      <c r="BS58" s="13"/>
      <c r="BT58" s="13"/>
      <c r="BU58" s="13"/>
      <c r="BV58" s="13"/>
      <c r="BW58" s="13"/>
    </row>
    <row r="59" spans="2:75" ht="12.75" customHeight="1">
      <c r="B59" s="55"/>
      <c r="C59" s="179"/>
      <c r="D59" s="71"/>
      <c r="E59" s="30"/>
      <c r="F59" s="143"/>
      <c r="G59" s="143"/>
      <c r="H59" s="143"/>
      <c r="I59" s="143"/>
      <c r="J59" s="143"/>
      <c r="K59" s="143"/>
      <c r="L59" s="143"/>
      <c r="M59" s="143"/>
      <c r="N59" s="143"/>
      <c r="O59" s="143"/>
      <c r="P59" s="143"/>
      <c r="Q59" s="143"/>
      <c r="R59" s="143"/>
      <c r="S59" s="30"/>
      <c r="T59" s="32"/>
      <c r="U59" s="32"/>
      <c r="V59" s="32"/>
      <c r="W59" s="32"/>
      <c r="X59" s="32"/>
      <c r="Y59" s="30"/>
      <c r="Z59" s="144"/>
      <c r="AA59" s="144"/>
      <c r="AB59" s="30"/>
      <c r="AC59" s="30"/>
      <c r="AD59" s="30"/>
      <c r="AE59" s="30"/>
      <c r="AF59" s="30"/>
      <c r="AG59" s="31"/>
      <c r="AH59" s="17"/>
      <c r="AI59" s="17"/>
      <c r="AJ59" s="13"/>
      <c r="AK59" s="74"/>
      <c r="AL59" s="74"/>
      <c r="AM59" s="74"/>
      <c r="AN59" s="74"/>
      <c r="AO59" s="74"/>
      <c r="AP59" s="17"/>
      <c r="AQ59" s="17"/>
      <c r="AR59" s="17"/>
      <c r="AS59" s="74"/>
      <c r="AT59" s="74"/>
      <c r="AU59" s="74"/>
      <c r="AV59" s="74"/>
      <c r="AW59" s="74"/>
      <c r="AX59" s="17"/>
      <c r="AY59" s="17"/>
      <c r="AZ59" s="17"/>
      <c r="BA59" s="74"/>
      <c r="BB59" s="74"/>
      <c r="BC59" s="74"/>
      <c r="BD59" s="74"/>
      <c r="BE59" s="74"/>
      <c r="BF59" s="17"/>
      <c r="BG59" s="40"/>
      <c r="BH59" s="57"/>
      <c r="BI59" s="75"/>
      <c r="BJ59" s="76"/>
      <c r="BK59" s="76"/>
      <c r="BL59" s="76"/>
      <c r="BM59" s="76"/>
      <c r="BN59" s="76"/>
      <c r="BO59" s="13"/>
      <c r="BP59" s="13"/>
      <c r="BQ59" s="13"/>
      <c r="BR59" s="13"/>
      <c r="BS59" s="13"/>
      <c r="BT59" s="13"/>
      <c r="BU59" s="13"/>
      <c r="BV59" s="13"/>
      <c r="BW59" s="13"/>
    </row>
    <row r="60" spans="2:75" ht="12.75" customHeight="1">
      <c r="B60" s="10"/>
      <c r="C60" s="185" t="s">
        <v>30</v>
      </c>
      <c r="D60" s="73"/>
      <c r="E60" s="33">
        <v>0</v>
      </c>
      <c r="F60" s="145">
        <v>0</v>
      </c>
      <c r="G60" s="145">
        <v>21</v>
      </c>
      <c r="H60" s="145">
        <v>0</v>
      </c>
      <c r="I60" s="145">
        <v>42</v>
      </c>
      <c r="J60" s="145">
        <v>0</v>
      </c>
      <c r="K60" s="145">
        <v>0</v>
      </c>
      <c r="L60" s="145">
        <v>0</v>
      </c>
      <c r="M60" s="145">
        <v>0</v>
      </c>
      <c r="N60" s="145">
        <v>42</v>
      </c>
      <c r="O60" s="145">
        <v>0</v>
      </c>
      <c r="P60" s="145">
        <v>0</v>
      </c>
      <c r="Q60" s="145">
        <v>0</v>
      </c>
      <c r="R60" s="145">
        <v>48.3</v>
      </c>
      <c r="S60" s="33">
        <v>0</v>
      </c>
      <c r="T60" s="146">
        <v>0</v>
      </c>
      <c r="U60" s="146">
        <v>0</v>
      </c>
      <c r="V60" s="146">
        <v>0</v>
      </c>
      <c r="W60" s="146">
        <v>0</v>
      </c>
      <c r="X60" s="146">
        <v>0</v>
      </c>
      <c r="Y60" s="33">
        <v>0</v>
      </c>
      <c r="Z60" s="147">
        <v>42</v>
      </c>
      <c r="AA60" s="147">
        <v>21</v>
      </c>
      <c r="AB60" s="33">
        <v>0</v>
      </c>
      <c r="AC60" s="33">
        <v>84</v>
      </c>
      <c r="AD60" s="33">
        <v>0</v>
      </c>
      <c r="AE60" s="33">
        <v>0</v>
      </c>
      <c r="AF60" s="33">
        <v>0</v>
      </c>
      <c r="AG60" s="34">
        <v>152.145</v>
      </c>
      <c r="AH60" s="17"/>
      <c r="AI60" s="17"/>
      <c r="AJ60" s="13"/>
      <c r="AK60" s="74"/>
      <c r="AL60" s="74"/>
      <c r="AM60" s="74"/>
      <c r="AN60" s="74"/>
      <c r="AO60" s="74"/>
      <c r="AP60" s="17"/>
      <c r="AQ60" s="17"/>
      <c r="AR60" s="17"/>
      <c r="AS60" s="74"/>
      <c r="AT60" s="74"/>
      <c r="AU60" s="74"/>
      <c r="AV60" s="74"/>
      <c r="AW60" s="74"/>
      <c r="AX60" s="17"/>
      <c r="AY60" s="17"/>
      <c r="AZ60" s="17"/>
      <c r="BA60" s="74"/>
      <c r="BB60" s="74"/>
      <c r="BC60" s="74"/>
      <c r="BD60" s="74"/>
      <c r="BE60" s="74"/>
      <c r="BF60" s="17"/>
      <c r="BG60" s="40"/>
      <c r="BH60" s="57"/>
      <c r="BI60" s="75"/>
      <c r="BJ60" s="76"/>
      <c r="BK60" s="76"/>
      <c r="BL60" s="76"/>
      <c r="BM60" s="76"/>
      <c r="BN60" s="76"/>
      <c r="BO60" s="13"/>
      <c r="BP60" s="13"/>
      <c r="BQ60" s="13"/>
      <c r="BR60" s="13"/>
      <c r="BS60" s="13"/>
      <c r="BT60" s="13"/>
      <c r="BU60" s="13"/>
      <c r="BV60" s="13"/>
      <c r="BW60" s="13"/>
    </row>
    <row r="61" spans="2:75" ht="12.75" customHeight="1">
      <c r="B61" s="13"/>
      <c r="C61" s="13"/>
      <c r="D61" s="13"/>
      <c r="E61" s="17"/>
      <c r="F61" s="35"/>
      <c r="G61" s="35"/>
      <c r="H61" s="35"/>
      <c r="I61" s="35"/>
      <c r="J61" s="35"/>
      <c r="K61" s="35"/>
      <c r="L61" s="35"/>
      <c r="M61" s="35"/>
      <c r="N61" s="35"/>
      <c r="O61" s="35"/>
      <c r="P61" s="35"/>
      <c r="Q61" s="35"/>
      <c r="R61" s="35"/>
      <c r="S61" s="13"/>
      <c r="T61" s="74"/>
      <c r="U61" s="74"/>
      <c r="V61" s="74"/>
      <c r="W61" s="74"/>
      <c r="X61" s="74"/>
      <c r="Y61" s="17"/>
      <c r="Z61" s="88"/>
      <c r="AA61" s="88"/>
      <c r="AB61" s="13"/>
      <c r="AC61" s="74"/>
      <c r="AD61" s="74"/>
      <c r="AE61" s="74"/>
      <c r="AF61" s="74"/>
      <c r="AG61" s="74"/>
      <c r="AH61" s="17"/>
      <c r="AI61" s="17"/>
      <c r="AJ61" s="13"/>
      <c r="AK61" s="74"/>
      <c r="AL61" s="74"/>
      <c r="AM61" s="74"/>
      <c r="AN61" s="74"/>
      <c r="AO61" s="74"/>
      <c r="AP61" s="17"/>
      <c r="AQ61" s="17"/>
      <c r="AR61" s="17"/>
      <c r="AS61" s="74"/>
      <c r="AT61" s="74"/>
      <c r="AU61" s="74"/>
      <c r="AV61" s="74"/>
      <c r="AW61" s="74"/>
      <c r="AX61" s="17"/>
      <c r="AY61" s="17"/>
      <c r="AZ61" s="17"/>
      <c r="BA61" s="74"/>
      <c r="BB61" s="74"/>
      <c r="BC61" s="74"/>
      <c r="BD61" s="74"/>
      <c r="BE61" s="74"/>
      <c r="BF61" s="17"/>
      <c r="BG61" s="40"/>
      <c r="BH61" s="57"/>
      <c r="BI61" s="75"/>
      <c r="BJ61" s="76"/>
      <c r="BK61" s="76"/>
      <c r="BL61" s="76"/>
      <c r="BM61" s="76"/>
      <c r="BN61" s="76"/>
      <c r="BO61" s="13"/>
      <c r="BP61" s="13"/>
      <c r="BQ61" s="13"/>
      <c r="BR61" s="13"/>
      <c r="BS61" s="13"/>
      <c r="BT61" s="13"/>
      <c r="BU61" s="13"/>
      <c r="BV61" s="13"/>
      <c r="BW61" s="13"/>
    </row>
    <row r="62" spans="2:75" ht="28.5" customHeight="1">
      <c r="B62" s="174" t="s">
        <v>33</v>
      </c>
      <c r="C62" s="175" t="s">
        <v>26</v>
      </c>
      <c r="D62" s="54"/>
      <c r="E62" s="148">
        <v>1.755</v>
      </c>
      <c r="F62" s="149">
        <v>1.755</v>
      </c>
      <c r="G62" s="149">
        <v>1.755</v>
      </c>
      <c r="H62" s="149">
        <v>1.755</v>
      </c>
      <c r="I62" s="149">
        <v>1.755</v>
      </c>
      <c r="J62" s="149">
        <v>1.755</v>
      </c>
      <c r="K62" s="149">
        <v>1.755</v>
      </c>
      <c r="L62" s="149">
        <v>1.755</v>
      </c>
      <c r="M62" s="149">
        <v>0</v>
      </c>
      <c r="N62" s="149">
        <v>0</v>
      </c>
      <c r="O62" s="149">
        <v>0</v>
      </c>
      <c r="P62" s="149">
        <v>0</v>
      </c>
      <c r="Q62" s="149">
        <v>0</v>
      </c>
      <c r="R62" s="149">
        <v>0</v>
      </c>
      <c r="S62" s="150">
        <v>0</v>
      </c>
      <c r="T62" s="150">
        <v>0</v>
      </c>
      <c r="U62" s="150">
        <v>0</v>
      </c>
      <c r="V62" s="150">
        <v>0</v>
      </c>
      <c r="W62" s="150">
        <v>0</v>
      </c>
      <c r="X62" s="150">
        <v>0</v>
      </c>
      <c r="Y62" s="150">
        <v>0</v>
      </c>
      <c r="Z62" s="151">
        <v>0</v>
      </c>
      <c r="AA62" s="151">
        <v>0</v>
      </c>
      <c r="AB62" s="150">
        <v>0</v>
      </c>
      <c r="AC62" s="150">
        <v>0</v>
      </c>
      <c r="AD62" s="150">
        <v>0</v>
      </c>
      <c r="AE62" s="150">
        <v>0</v>
      </c>
      <c r="AF62" s="207">
        <v>0</v>
      </c>
      <c r="AG62" s="74"/>
      <c r="AH62" s="17"/>
      <c r="AI62" s="17"/>
      <c r="AJ62" s="13"/>
      <c r="AK62" s="74"/>
      <c r="AL62" s="74"/>
      <c r="AM62" s="74"/>
      <c r="AN62" s="74"/>
      <c r="AO62" s="74"/>
      <c r="AP62" s="17"/>
      <c r="AQ62" s="17"/>
      <c r="AR62" s="17"/>
      <c r="AS62" s="74"/>
      <c r="AT62" s="74"/>
      <c r="AU62" s="74"/>
      <c r="AV62" s="74"/>
      <c r="AW62" s="74"/>
      <c r="AX62" s="17"/>
      <c r="AY62" s="17"/>
      <c r="AZ62" s="17"/>
      <c r="BA62" s="74"/>
      <c r="BB62" s="74"/>
      <c r="BC62" s="74"/>
      <c r="BD62" s="74"/>
      <c r="BE62" s="74"/>
      <c r="BF62" s="17"/>
      <c r="BG62" s="40"/>
      <c r="BH62" s="57"/>
      <c r="BI62" s="75"/>
      <c r="BJ62" s="76"/>
      <c r="BK62" s="76"/>
      <c r="BL62" s="76"/>
      <c r="BM62" s="76"/>
      <c r="BN62" s="76"/>
      <c r="BO62" s="13"/>
      <c r="BP62" s="13"/>
      <c r="BQ62" s="13"/>
      <c r="BR62" s="13"/>
      <c r="BS62" s="13"/>
      <c r="BT62" s="13"/>
      <c r="BU62" s="13"/>
      <c r="BV62" s="13"/>
      <c r="BW62" s="13"/>
    </row>
    <row r="63" spans="2:75" ht="12.75" customHeight="1">
      <c r="B63" s="55"/>
      <c r="C63" s="177" t="s">
        <v>27</v>
      </c>
      <c r="D63" s="71"/>
      <c r="E63" s="152">
        <v>0</v>
      </c>
      <c r="F63" s="153">
        <v>0</v>
      </c>
      <c r="G63" s="153">
        <v>0</v>
      </c>
      <c r="H63" s="153">
        <v>0</v>
      </c>
      <c r="I63" s="153">
        <v>0</v>
      </c>
      <c r="J63" s="153">
        <v>0</v>
      </c>
      <c r="K63" s="153">
        <v>0</v>
      </c>
      <c r="L63" s="153">
        <v>0</v>
      </c>
      <c r="M63" s="153">
        <v>1.755</v>
      </c>
      <c r="N63" s="153">
        <v>1.755</v>
      </c>
      <c r="O63" s="153">
        <v>1.755</v>
      </c>
      <c r="P63" s="153">
        <v>1.755</v>
      </c>
      <c r="Q63" s="153">
        <v>1.755</v>
      </c>
      <c r="R63" s="153">
        <v>1.755</v>
      </c>
      <c r="S63" s="154">
        <v>0</v>
      </c>
      <c r="T63" s="154">
        <v>0</v>
      </c>
      <c r="U63" s="154">
        <v>0</v>
      </c>
      <c r="V63" s="154">
        <v>0</v>
      </c>
      <c r="W63" s="154">
        <v>0</v>
      </c>
      <c r="X63" s="154">
        <v>0</v>
      </c>
      <c r="Y63" s="154">
        <v>0</v>
      </c>
      <c r="Z63" s="155">
        <v>0</v>
      </c>
      <c r="AA63" s="155">
        <v>0</v>
      </c>
      <c r="AB63" s="154">
        <v>0</v>
      </c>
      <c r="AC63" s="154">
        <v>0</v>
      </c>
      <c r="AD63" s="154">
        <v>0</v>
      </c>
      <c r="AE63" s="154">
        <v>0</v>
      </c>
      <c r="AF63" s="208">
        <v>0</v>
      </c>
      <c r="AG63" s="74"/>
      <c r="AH63" s="17"/>
      <c r="AI63" s="17"/>
      <c r="AJ63" s="13"/>
      <c r="AK63" s="74"/>
      <c r="AL63" s="74"/>
      <c r="AM63" s="74"/>
      <c r="AN63" s="74"/>
      <c r="AO63" s="74"/>
      <c r="AP63" s="17"/>
      <c r="AQ63" s="17"/>
      <c r="AR63" s="17"/>
      <c r="AS63" s="74"/>
      <c r="AT63" s="74"/>
      <c r="AU63" s="74"/>
      <c r="AV63" s="74"/>
      <c r="AW63" s="74"/>
      <c r="AX63" s="17"/>
      <c r="AY63" s="17"/>
      <c r="AZ63" s="17"/>
      <c r="BA63" s="74"/>
      <c r="BB63" s="74"/>
      <c r="BC63" s="74"/>
      <c r="BD63" s="74"/>
      <c r="BE63" s="74"/>
      <c r="BF63" s="17"/>
      <c r="BG63" s="40"/>
      <c r="BH63" s="57"/>
      <c r="BI63" s="75"/>
      <c r="BJ63" s="76"/>
      <c r="BK63" s="76"/>
      <c r="BL63" s="76"/>
      <c r="BM63" s="76"/>
      <c r="BN63" s="76"/>
      <c r="BO63" s="13"/>
      <c r="BP63" s="13"/>
      <c r="BQ63" s="13"/>
      <c r="BR63" s="13"/>
      <c r="BS63" s="13"/>
      <c r="BT63" s="13"/>
      <c r="BU63" s="13"/>
      <c r="BV63" s="13"/>
      <c r="BW63" s="13"/>
    </row>
    <row r="64" spans="2:75" ht="12.75" customHeight="1">
      <c r="B64" s="55"/>
      <c r="C64" s="177" t="s">
        <v>62</v>
      </c>
      <c r="D64" s="71"/>
      <c r="E64" s="152">
        <v>0</v>
      </c>
      <c r="F64" s="153">
        <v>0</v>
      </c>
      <c r="G64" s="153">
        <v>0</v>
      </c>
      <c r="H64" s="153">
        <v>0</v>
      </c>
      <c r="I64" s="153">
        <v>0</v>
      </c>
      <c r="J64" s="153">
        <v>0</v>
      </c>
      <c r="K64" s="153">
        <v>0</v>
      </c>
      <c r="L64" s="153">
        <v>0</v>
      </c>
      <c r="M64" s="153">
        <v>0</v>
      </c>
      <c r="N64" s="153">
        <v>0</v>
      </c>
      <c r="O64" s="153">
        <v>0</v>
      </c>
      <c r="P64" s="153">
        <v>0</v>
      </c>
      <c r="Q64" s="153">
        <v>0</v>
      </c>
      <c r="R64" s="153">
        <v>0</v>
      </c>
      <c r="S64" s="154">
        <v>3.9</v>
      </c>
      <c r="T64" s="154">
        <v>3.9</v>
      </c>
      <c r="U64" s="154">
        <v>3.9</v>
      </c>
      <c r="V64" s="154">
        <v>3.9</v>
      </c>
      <c r="W64" s="154">
        <v>3.9</v>
      </c>
      <c r="X64" s="154">
        <v>3.9</v>
      </c>
      <c r="Y64" s="154">
        <v>3.9</v>
      </c>
      <c r="Z64" s="155">
        <v>3.9</v>
      </c>
      <c r="AA64" s="155">
        <v>3.9</v>
      </c>
      <c r="AB64" s="154">
        <v>3.9</v>
      </c>
      <c r="AC64" s="154">
        <v>3.9</v>
      </c>
      <c r="AD64" s="154">
        <v>3.9</v>
      </c>
      <c r="AE64" s="154">
        <v>3.9</v>
      </c>
      <c r="AF64" s="208">
        <v>3.9</v>
      </c>
      <c r="AG64" s="74"/>
      <c r="AH64" s="17"/>
      <c r="AI64" s="17"/>
      <c r="AJ64" s="13"/>
      <c r="AK64" s="74"/>
      <c r="AL64" s="74"/>
      <c r="AM64" s="74"/>
      <c r="AN64" s="74"/>
      <c r="AO64" s="74"/>
      <c r="AP64" s="17"/>
      <c r="AQ64" s="17"/>
      <c r="AR64" s="17"/>
      <c r="AS64" s="74"/>
      <c r="AT64" s="74"/>
      <c r="AU64" s="74"/>
      <c r="AV64" s="74"/>
      <c r="AW64" s="74"/>
      <c r="AX64" s="17"/>
      <c r="AY64" s="17"/>
      <c r="AZ64" s="17"/>
      <c r="BA64" s="74"/>
      <c r="BB64" s="74"/>
      <c r="BC64" s="74"/>
      <c r="BD64" s="74"/>
      <c r="BE64" s="74"/>
      <c r="BF64" s="17"/>
      <c r="BG64" s="40"/>
      <c r="BH64" s="57"/>
      <c r="BI64" s="75"/>
      <c r="BJ64" s="76"/>
      <c r="BK64" s="76"/>
      <c r="BL64" s="76"/>
      <c r="BM64" s="76"/>
      <c r="BN64" s="76"/>
      <c r="BO64" s="13"/>
      <c r="BP64" s="13"/>
      <c r="BQ64" s="13"/>
      <c r="BR64" s="13"/>
      <c r="BS64" s="13"/>
      <c r="BT64" s="13"/>
      <c r="BU64" s="13"/>
      <c r="BV64" s="13"/>
      <c r="BW64" s="13"/>
    </row>
    <row r="65" spans="2:75" ht="12.75" customHeight="1">
      <c r="B65" s="55"/>
      <c r="C65" s="177" t="s">
        <v>19</v>
      </c>
      <c r="D65" s="71"/>
      <c r="E65" s="152">
        <v>0</v>
      </c>
      <c r="F65" s="153">
        <v>0</v>
      </c>
      <c r="G65" s="153">
        <v>0</v>
      </c>
      <c r="H65" s="153">
        <v>0</v>
      </c>
      <c r="I65" s="153">
        <v>0</v>
      </c>
      <c r="J65" s="153">
        <v>0</v>
      </c>
      <c r="K65" s="153">
        <v>0</v>
      </c>
      <c r="L65" s="153">
        <v>0</v>
      </c>
      <c r="M65" s="153">
        <v>0</v>
      </c>
      <c r="N65" s="153">
        <v>0</v>
      </c>
      <c r="O65" s="153">
        <v>0</v>
      </c>
      <c r="P65" s="153">
        <v>0</v>
      </c>
      <c r="Q65" s="153">
        <v>0</v>
      </c>
      <c r="R65" s="153">
        <v>0</v>
      </c>
      <c r="S65" s="154">
        <v>0</v>
      </c>
      <c r="T65" s="154">
        <v>0</v>
      </c>
      <c r="U65" s="154">
        <v>0</v>
      </c>
      <c r="V65" s="154">
        <v>0</v>
      </c>
      <c r="W65" s="154">
        <v>0</v>
      </c>
      <c r="X65" s="154">
        <v>0</v>
      </c>
      <c r="Y65" s="154">
        <v>0</v>
      </c>
      <c r="Z65" s="155">
        <v>0</v>
      </c>
      <c r="AA65" s="155">
        <v>0</v>
      </c>
      <c r="AB65" s="154">
        <v>0</v>
      </c>
      <c r="AC65" s="154">
        <v>0</v>
      </c>
      <c r="AD65" s="154">
        <v>0</v>
      </c>
      <c r="AE65" s="154">
        <v>0</v>
      </c>
      <c r="AF65" s="208">
        <v>0</v>
      </c>
      <c r="AG65" s="74"/>
      <c r="AH65" s="17"/>
      <c r="AI65" s="17"/>
      <c r="AJ65" s="13"/>
      <c r="AK65" s="74"/>
      <c r="AL65" s="74"/>
      <c r="AM65" s="74"/>
      <c r="AN65" s="74"/>
      <c r="AO65" s="74"/>
      <c r="AP65" s="17"/>
      <c r="AQ65" s="17"/>
      <c r="AR65" s="17"/>
      <c r="AS65" s="74"/>
      <c r="AT65" s="74"/>
      <c r="AU65" s="74"/>
      <c r="AV65" s="74"/>
      <c r="AW65" s="74"/>
      <c r="AX65" s="17"/>
      <c r="AY65" s="17"/>
      <c r="AZ65" s="17"/>
      <c r="BA65" s="74"/>
      <c r="BB65" s="74"/>
      <c r="BC65" s="74"/>
      <c r="BD65" s="74"/>
      <c r="BE65" s="74"/>
      <c r="BF65" s="17"/>
      <c r="BG65" s="40"/>
      <c r="BH65" s="57"/>
      <c r="BI65" s="75"/>
      <c r="BJ65" s="76"/>
      <c r="BK65" s="76"/>
      <c r="BL65" s="76"/>
      <c r="BM65" s="76"/>
      <c r="BN65" s="76"/>
      <c r="BO65" s="13"/>
      <c r="BP65" s="13"/>
      <c r="BQ65" s="13"/>
      <c r="BR65" s="13"/>
      <c r="BS65" s="13"/>
      <c r="BT65" s="13"/>
      <c r="BU65" s="13"/>
      <c r="BV65" s="13"/>
      <c r="BW65" s="13"/>
    </row>
    <row r="66" spans="2:75" ht="12.75" customHeight="1">
      <c r="B66" s="55"/>
      <c r="C66" s="177" t="s">
        <v>18</v>
      </c>
      <c r="D66" s="71"/>
      <c r="E66" s="152">
        <v>0</v>
      </c>
      <c r="F66" s="153">
        <v>0</v>
      </c>
      <c r="G66" s="153">
        <v>0</v>
      </c>
      <c r="H66" s="153">
        <v>1.1442196487395684</v>
      </c>
      <c r="I66" s="153">
        <v>1.2278372466731773</v>
      </c>
      <c r="J66" s="153">
        <v>3.334202770813239</v>
      </c>
      <c r="K66" s="153">
        <v>3.4912637368603683</v>
      </c>
      <c r="L66" s="153">
        <v>3.6598060470508207</v>
      </c>
      <c r="M66" s="153">
        <v>3.235545208501137</v>
      </c>
      <c r="N66" s="153">
        <v>3.3870047254495805</v>
      </c>
      <c r="O66" s="153">
        <v>5.506991623287592</v>
      </c>
      <c r="P66" s="153">
        <v>5.67598660740584</v>
      </c>
      <c r="Q66" s="153">
        <v>5.85449751416479</v>
      </c>
      <c r="R66" s="153">
        <v>6.04306084393974</v>
      </c>
      <c r="S66" s="154">
        <v>4.928243380887885</v>
      </c>
      <c r="T66" s="154">
        <v>5.1386439043484495</v>
      </c>
      <c r="U66" s="154">
        <v>5.360894997065277</v>
      </c>
      <c r="V66" s="154">
        <v>5.595664955715543</v>
      </c>
      <c r="W66" s="154">
        <v>5.8020044616684405</v>
      </c>
      <c r="X66" s="154">
        <v>6.017798174423279</v>
      </c>
      <c r="Y66" s="154">
        <v>6.243481618881235</v>
      </c>
      <c r="Z66" s="155">
        <v>6.479510499690176</v>
      </c>
      <c r="AA66" s="155">
        <v>8.686361642024533</v>
      </c>
      <c r="AB66" s="154">
        <v>8.944533976508346</v>
      </c>
      <c r="AC66" s="154">
        <v>9.214549570366698</v>
      </c>
      <c r="AD66" s="154">
        <v>11.456954706989897</v>
      </c>
      <c r="AE66" s="154">
        <v>11.752321016198763</v>
      </c>
      <c r="AF66" s="208">
        <v>12.061246657608184</v>
      </c>
      <c r="AG66" s="74"/>
      <c r="AH66" s="17"/>
      <c r="AI66" s="17"/>
      <c r="AJ66" s="13"/>
      <c r="AK66" s="74"/>
      <c r="AL66" s="74"/>
      <c r="AM66" s="74"/>
      <c r="AN66" s="74"/>
      <c r="AO66" s="74"/>
      <c r="AP66" s="17"/>
      <c r="AQ66" s="17"/>
      <c r="AR66" s="17"/>
      <c r="AS66" s="74"/>
      <c r="AT66" s="74"/>
      <c r="AU66" s="74"/>
      <c r="AV66" s="74"/>
      <c r="AW66" s="74"/>
      <c r="AX66" s="17"/>
      <c r="AY66" s="17"/>
      <c r="AZ66" s="17"/>
      <c r="BA66" s="74"/>
      <c r="BB66" s="74"/>
      <c r="BC66" s="74"/>
      <c r="BD66" s="74"/>
      <c r="BE66" s="74"/>
      <c r="BF66" s="17"/>
      <c r="BG66" s="40"/>
      <c r="BH66" s="57"/>
      <c r="BI66" s="75"/>
      <c r="BJ66" s="76"/>
      <c r="BK66" s="76"/>
      <c r="BL66" s="76"/>
      <c r="BM66" s="76"/>
      <c r="BN66" s="76"/>
      <c r="BO66" s="13"/>
      <c r="BP66" s="13"/>
      <c r="BQ66" s="13"/>
      <c r="BR66" s="13"/>
      <c r="BS66" s="13"/>
      <c r="BT66" s="13"/>
      <c r="BU66" s="13"/>
      <c r="BV66" s="13"/>
      <c r="BW66" s="13"/>
    </row>
    <row r="67" spans="2:75" ht="12.75" customHeight="1">
      <c r="B67" s="55"/>
      <c r="C67" s="179"/>
      <c r="D67" s="71"/>
      <c r="E67" s="152"/>
      <c r="F67" s="153"/>
      <c r="G67" s="153"/>
      <c r="H67" s="153"/>
      <c r="I67" s="153"/>
      <c r="J67" s="153"/>
      <c r="K67" s="153"/>
      <c r="L67" s="153"/>
      <c r="M67" s="153"/>
      <c r="N67" s="153"/>
      <c r="O67" s="153"/>
      <c r="P67" s="153"/>
      <c r="Q67" s="153"/>
      <c r="R67" s="153"/>
      <c r="S67" s="154"/>
      <c r="T67" s="154"/>
      <c r="U67" s="154"/>
      <c r="V67" s="154"/>
      <c r="W67" s="154"/>
      <c r="X67" s="154"/>
      <c r="Y67" s="154"/>
      <c r="Z67" s="155"/>
      <c r="AA67" s="155"/>
      <c r="AB67" s="154"/>
      <c r="AC67" s="154"/>
      <c r="AD67" s="154"/>
      <c r="AE67" s="154"/>
      <c r="AF67" s="208"/>
      <c r="AG67" s="74"/>
      <c r="AH67" s="17"/>
      <c r="AI67" s="17"/>
      <c r="AJ67" s="13"/>
      <c r="AK67" s="74"/>
      <c r="AL67" s="74"/>
      <c r="AM67" s="74"/>
      <c r="AN67" s="74"/>
      <c r="AO67" s="74"/>
      <c r="AP67" s="17"/>
      <c r="AQ67" s="17"/>
      <c r="AR67" s="17"/>
      <c r="AS67" s="74"/>
      <c r="AT67" s="74"/>
      <c r="AU67" s="74"/>
      <c r="AV67" s="74"/>
      <c r="AW67" s="74"/>
      <c r="AX67" s="17"/>
      <c r="AY67" s="17"/>
      <c r="AZ67" s="17"/>
      <c r="BA67" s="74"/>
      <c r="BB67" s="74"/>
      <c r="BC67" s="74"/>
      <c r="BD67" s="74"/>
      <c r="BE67" s="74"/>
      <c r="BF67" s="17"/>
      <c r="BG67" s="40"/>
      <c r="BH67" s="57"/>
      <c r="BI67" s="75"/>
      <c r="BJ67" s="76"/>
      <c r="BK67" s="76"/>
      <c r="BL67" s="76"/>
      <c r="BM67" s="76"/>
      <c r="BN67" s="76"/>
      <c r="BO67" s="13"/>
      <c r="BP67" s="13"/>
      <c r="BQ67" s="13"/>
      <c r="BR67" s="13"/>
      <c r="BS67" s="13"/>
      <c r="BT67" s="13"/>
      <c r="BU67" s="13"/>
      <c r="BV67" s="13"/>
      <c r="BW67" s="13"/>
    </row>
    <row r="68" spans="2:75" ht="12.75" customHeight="1">
      <c r="B68" s="10"/>
      <c r="C68" s="185" t="s">
        <v>30</v>
      </c>
      <c r="D68" s="73"/>
      <c r="E68" s="156">
        <v>1.755</v>
      </c>
      <c r="F68" s="157">
        <v>1.755</v>
      </c>
      <c r="G68" s="157">
        <v>1.755</v>
      </c>
      <c r="H68" s="157">
        <v>2.8992196487395683</v>
      </c>
      <c r="I68" s="157">
        <v>2.982837246673177</v>
      </c>
      <c r="J68" s="157">
        <v>5.089202770813239</v>
      </c>
      <c r="K68" s="157">
        <v>5.246263736860368</v>
      </c>
      <c r="L68" s="157">
        <v>5.414806047050821</v>
      </c>
      <c r="M68" s="157">
        <v>4.990545208501137</v>
      </c>
      <c r="N68" s="157">
        <v>5.14200472544958</v>
      </c>
      <c r="O68" s="157">
        <v>7.261991623287592</v>
      </c>
      <c r="P68" s="157">
        <v>7.43098660740584</v>
      </c>
      <c r="Q68" s="157">
        <v>7.60949751416479</v>
      </c>
      <c r="R68" s="157">
        <v>7.79806084393974</v>
      </c>
      <c r="S68" s="158">
        <v>8.828243380887885</v>
      </c>
      <c r="T68" s="158">
        <v>9.038643904348449</v>
      </c>
      <c r="U68" s="158">
        <v>9.260894997065277</v>
      </c>
      <c r="V68" s="158">
        <v>9.495664955715544</v>
      </c>
      <c r="W68" s="158">
        <v>9.70200446166844</v>
      </c>
      <c r="X68" s="158">
        <v>9.917798174423279</v>
      </c>
      <c r="Y68" s="158">
        <v>10.143481618881236</v>
      </c>
      <c r="Z68" s="159">
        <v>10.379510499690175</v>
      </c>
      <c r="AA68" s="159">
        <v>12.586361642024533</v>
      </c>
      <c r="AB68" s="158">
        <v>12.844533976508346</v>
      </c>
      <c r="AC68" s="158">
        <v>13.114549570366698</v>
      </c>
      <c r="AD68" s="158">
        <v>15.356954706989898</v>
      </c>
      <c r="AE68" s="158">
        <v>15.652321016198764</v>
      </c>
      <c r="AF68" s="27">
        <v>15.961246657608184</v>
      </c>
      <c r="AG68" s="74"/>
      <c r="AH68" s="17"/>
      <c r="AI68" s="17"/>
      <c r="AJ68" s="13"/>
      <c r="AK68" s="74"/>
      <c r="AL68" s="74"/>
      <c r="AM68" s="74"/>
      <c r="AN68" s="74"/>
      <c r="AO68" s="74"/>
      <c r="AP68" s="17"/>
      <c r="AQ68" s="17"/>
      <c r="AR68" s="17"/>
      <c r="AS68" s="74"/>
      <c r="AT68" s="74"/>
      <c r="AU68" s="74"/>
      <c r="AV68" s="74"/>
      <c r="AW68" s="74"/>
      <c r="AX68" s="17"/>
      <c r="AY68" s="17"/>
      <c r="AZ68" s="17"/>
      <c r="BA68" s="74"/>
      <c r="BB68" s="74"/>
      <c r="BC68" s="74"/>
      <c r="BD68" s="74"/>
      <c r="BE68" s="74"/>
      <c r="BF68" s="17"/>
      <c r="BG68" s="40"/>
      <c r="BH68" s="57"/>
      <c r="BI68" s="75"/>
      <c r="BJ68" s="76"/>
      <c r="BK68" s="76"/>
      <c r="BL68" s="76"/>
      <c r="BM68" s="76"/>
      <c r="BN68" s="76"/>
      <c r="BO68" s="13"/>
      <c r="BP68" s="13"/>
      <c r="BQ68" s="13"/>
      <c r="BR68" s="13"/>
      <c r="BS68" s="13"/>
      <c r="BT68" s="13"/>
      <c r="BU68" s="13"/>
      <c r="BV68" s="13"/>
      <c r="BW68" s="13"/>
    </row>
    <row r="69" spans="2:75" ht="12.75" customHeight="1">
      <c r="B69" s="13"/>
      <c r="C69" s="13"/>
      <c r="D69" s="13"/>
      <c r="E69" s="17"/>
      <c r="F69" s="35"/>
      <c r="G69" s="35"/>
      <c r="H69" s="35"/>
      <c r="I69" s="35"/>
      <c r="J69" s="35"/>
      <c r="K69" s="35"/>
      <c r="L69" s="35"/>
      <c r="M69" s="35"/>
      <c r="N69" s="35"/>
      <c r="O69" s="35"/>
      <c r="P69" s="35"/>
      <c r="Q69" s="35"/>
      <c r="R69" s="35"/>
      <c r="S69" s="13"/>
      <c r="T69" s="17"/>
      <c r="U69" s="17"/>
      <c r="V69" s="17"/>
      <c r="W69" s="17"/>
      <c r="X69" s="17"/>
      <c r="Y69" s="17"/>
      <c r="Z69" s="88"/>
      <c r="AA69" s="88"/>
      <c r="AB69" s="13"/>
      <c r="AC69" s="17"/>
      <c r="AD69" s="17"/>
      <c r="AE69" s="17"/>
      <c r="AF69" s="17"/>
      <c r="AG69" s="74"/>
      <c r="AH69" s="17"/>
      <c r="AI69" s="17"/>
      <c r="AJ69" s="13"/>
      <c r="AK69" s="74"/>
      <c r="AL69" s="74"/>
      <c r="AM69" s="74"/>
      <c r="AN69" s="74"/>
      <c r="AO69" s="74"/>
      <c r="AP69" s="17"/>
      <c r="AQ69" s="17"/>
      <c r="AR69" s="17"/>
      <c r="AS69" s="74"/>
      <c r="AT69" s="74"/>
      <c r="AU69" s="74"/>
      <c r="AV69" s="74"/>
      <c r="AW69" s="74"/>
      <c r="AX69" s="17"/>
      <c r="AY69" s="17"/>
      <c r="AZ69" s="17"/>
      <c r="BA69" s="74"/>
      <c r="BB69" s="74"/>
      <c r="BC69" s="74"/>
      <c r="BD69" s="74"/>
      <c r="BE69" s="74"/>
      <c r="BF69" s="17"/>
      <c r="BG69" s="40"/>
      <c r="BH69" s="57"/>
      <c r="BI69" s="75"/>
      <c r="BJ69" s="76"/>
      <c r="BK69" s="76"/>
      <c r="BL69" s="76"/>
      <c r="BM69" s="76"/>
      <c r="BN69" s="76"/>
      <c r="BO69" s="13"/>
      <c r="BP69" s="13"/>
      <c r="BQ69" s="13"/>
      <c r="BR69" s="13"/>
      <c r="BS69" s="13"/>
      <c r="BT69" s="13"/>
      <c r="BU69" s="13"/>
      <c r="BV69" s="13"/>
      <c r="BW69" s="13"/>
    </row>
    <row r="70" spans="2:75" ht="25.5" customHeight="1">
      <c r="B70" s="174" t="s">
        <v>34</v>
      </c>
      <c r="C70" s="175" t="s">
        <v>26</v>
      </c>
      <c r="D70" s="54"/>
      <c r="E70" s="162">
        <v>6.62256</v>
      </c>
      <c r="F70" s="163">
        <v>6.62256</v>
      </c>
      <c r="G70" s="163">
        <v>6.62256</v>
      </c>
      <c r="H70" s="163">
        <v>6.62256</v>
      </c>
      <c r="I70" s="163">
        <v>6.62256</v>
      </c>
      <c r="J70" s="163">
        <v>6.62256</v>
      </c>
      <c r="K70" s="163">
        <v>6.62256</v>
      </c>
      <c r="L70" s="163">
        <v>6.62256</v>
      </c>
      <c r="M70" s="163">
        <v>0</v>
      </c>
      <c r="N70" s="163">
        <v>0</v>
      </c>
      <c r="O70" s="163">
        <v>0</v>
      </c>
      <c r="P70" s="163">
        <v>0</v>
      </c>
      <c r="Q70" s="163">
        <v>0</v>
      </c>
      <c r="R70" s="163">
        <v>0</v>
      </c>
      <c r="S70" s="164">
        <v>0</v>
      </c>
      <c r="T70" s="164">
        <v>0</v>
      </c>
      <c r="U70" s="164">
        <v>0</v>
      </c>
      <c r="V70" s="164">
        <v>0</v>
      </c>
      <c r="W70" s="164">
        <v>0</v>
      </c>
      <c r="X70" s="164">
        <v>0</v>
      </c>
      <c r="Y70" s="164">
        <v>0</v>
      </c>
      <c r="Z70" s="165">
        <v>0</v>
      </c>
      <c r="AA70" s="165">
        <v>0</v>
      </c>
      <c r="AB70" s="164">
        <v>0</v>
      </c>
      <c r="AC70" s="164">
        <v>0</v>
      </c>
      <c r="AD70" s="164">
        <v>0</v>
      </c>
      <c r="AE70" s="164">
        <v>0</v>
      </c>
      <c r="AF70" s="209">
        <v>0</v>
      </c>
      <c r="AG70" s="74"/>
      <c r="AH70" s="17"/>
      <c r="AI70" s="17"/>
      <c r="AJ70" s="13"/>
      <c r="AK70" s="74"/>
      <c r="AL70" s="74"/>
      <c r="AM70" s="74"/>
      <c r="AN70" s="74"/>
      <c r="AO70" s="74"/>
      <c r="AP70" s="17"/>
      <c r="AQ70" s="17"/>
      <c r="AR70" s="17"/>
      <c r="AS70" s="74"/>
      <c r="AT70" s="74"/>
      <c r="AU70" s="74"/>
      <c r="AV70" s="74"/>
      <c r="AW70" s="74"/>
      <c r="AX70" s="17"/>
      <c r="AY70" s="17"/>
      <c r="AZ70" s="17"/>
      <c r="BA70" s="74"/>
      <c r="BB70" s="74"/>
      <c r="BC70" s="74"/>
      <c r="BD70" s="74"/>
      <c r="BE70" s="74"/>
      <c r="BF70" s="17"/>
      <c r="BG70" s="40"/>
      <c r="BH70" s="57"/>
      <c r="BI70" s="75"/>
      <c r="BJ70" s="76"/>
      <c r="BK70" s="76"/>
      <c r="BL70" s="76"/>
      <c r="BM70" s="76"/>
      <c r="BN70" s="76"/>
      <c r="BO70" s="13"/>
      <c r="BP70" s="13"/>
      <c r="BQ70" s="13"/>
      <c r="BR70" s="13"/>
      <c r="BS70" s="13"/>
      <c r="BT70" s="13"/>
      <c r="BU70" s="13"/>
      <c r="BV70" s="13"/>
      <c r="BW70" s="13"/>
    </row>
    <row r="71" spans="2:75" ht="12.75" customHeight="1">
      <c r="B71" s="55"/>
      <c r="C71" s="177" t="s">
        <v>27</v>
      </c>
      <c r="D71" s="71"/>
      <c r="E71" s="166">
        <v>0</v>
      </c>
      <c r="F71" s="167">
        <v>0</v>
      </c>
      <c r="G71" s="167">
        <v>0</v>
      </c>
      <c r="H71" s="167">
        <v>0</v>
      </c>
      <c r="I71" s="167">
        <v>0</v>
      </c>
      <c r="J71" s="167">
        <v>0</v>
      </c>
      <c r="K71" s="167">
        <v>0</v>
      </c>
      <c r="L71" s="167">
        <v>0</v>
      </c>
      <c r="M71" s="167">
        <v>9.4608</v>
      </c>
      <c r="N71" s="167">
        <v>9.4608</v>
      </c>
      <c r="O71" s="167">
        <v>9.4608</v>
      </c>
      <c r="P71" s="167">
        <v>9.4608</v>
      </c>
      <c r="Q71" s="167">
        <v>9.4608</v>
      </c>
      <c r="R71" s="167">
        <v>9.4608</v>
      </c>
      <c r="S71" s="168">
        <v>0</v>
      </c>
      <c r="T71" s="168">
        <v>0</v>
      </c>
      <c r="U71" s="168">
        <v>0</v>
      </c>
      <c r="V71" s="168">
        <v>0</v>
      </c>
      <c r="W71" s="168">
        <v>0</v>
      </c>
      <c r="X71" s="168">
        <v>0</v>
      </c>
      <c r="Y71" s="168">
        <v>0</v>
      </c>
      <c r="Z71" s="169">
        <v>0</v>
      </c>
      <c r="AA71" s="169">
        <v>0</v>
      </c>
      <c r="AB71" s="168">
        <v>0</v>
      </c>
      <c r="AC71" s="168">
        <v>0</v>
      </c>
      <c r="AD71" s="168">
        <v>0</v>
      </c>
      <c r="AE71" s="168">
        <v>0</v>
      </c>
      <c r="AF71" s="210">
        <v>0</v>
      </c>
      <c r="AG71" s="74"/>
      <c r="AH71" s="17"/>
      <c r="AI71" s="17"/>
      <c r="AJ71" s="13"/>
      <c r="AK71" s="74"/>
      <c r="AL71" s="74"/>
      <c r="AM71" s="74"/>
      <c r="AN71" s="74"/>
      <c r="AO71" s="74"/>
      <c r="AP71" s="17"/>
      <c r="AQ71" s="17"/>
      <c r="AR71" s="17"/>
      <c r="AS71" s="74"/>
      <c r="AT71" s="74"/>
      <c r="AU71" s="74"/>
      <c r="AV71" s="74"/>
      <c r="AW71" s="74"/>
      <c r="AX71" s="17"/>
      <c r="AY71" s="17"/>
      <c r="AZ71" s="17"/>
      <c r="BA71" s="74"/>
      <c r="BB71" s="74"/>
      <c r="BC71" s="74"/>
      <c r="BD71" s="74"/>
      <c r="BE71" s="74"/>
      <c r="BF71" s="17"/>
      <c r="BG71" s="40"/>
      <c r="BH71" s="57"/>
      <c r="BI71" s="75"/>
      <c r="BJ71" s="76"/>
      <c r="BK71" s="76"/>
      <c r="BL71" s="76"/>
      <c r="BM71" s="76"/>
      <c r="BN71" s="76"/>
      <c r="BO71" s="13"/>
      <c r="BP71" s="13"/>
      <c r="BQ71" s="13"/>
      <c r="BR71" s="13"/>
      <c r="BS71" s="13"/>
      <c r="BT71" s="13"/>
      <c r="BU71" s="13"/>
      <c r="BV71" s="13"/>
      <c r="BW71" s="13"/>
    </row>
    <row r="72" spans="2:75" ht="12.75" customHeight="1">
      <c r="B72" s="55"/>
      <c r="C72" s="177" t="s">
        <v>62</v>
      </c>
      <c r="D72" s="71"/>
      <c r="E72" s="166">
        <v>0</v>
      </c>
      <c r="F72" s="167">
        <v>0</v>
      </c>
      <c r="G72" s="167">
        <v>0</v>
      </c>
      <c r="H72" s="167">
        <v>0</v>
      </c>
      <c r="I72" s="167">
        <v>0</v>
      </c>
      <c r="J72" s="167">
        <v>0</v>
      </c>
      <c r="K72" s="167">
        <v>0</v>
      </c>
      <c r="L72" s="167">
        <v>0</v>
      </c>
      <c r="M72" s="167">
        <v>0</v>
      </c>
      <c r="N72" s="167">
        <v>0</v>
      </c>
      <c r="O72" s="167">
        <v>0</v>
      </c>
      <c r="P72" s="167">
        <v>0</v>
      </c>
      <c r="Q72" s="167">
        <v>0</v>
      </c>
      <c r="R72" s="167">
        <v>0</v>
      </c>
      <c r="S72" s="168">
        <v>21.3744</v>
      </c>
      <c r="T72" s="168">
        <v>21.3744</v>
      </c>
      <c r="U72" s="168">
        <v>21.3744</v>
      </c>
      <c r="V72" s="168">
        <v>21.3744</v>
      </c>
      <c r="W72" s="168">
        <v>21.3744</v>
      </c>
      <c r="X72" s="168">
        <v>21.3744</v>
      </c>
      <c r="Y72" s="168">
        <v>21.3744</v>
      </c>
      <c r="Z72" s="169">
        <v>21.3744</v>
      </c>
      <c r="AA72" s="169">
        <v>21.3744</v>
      </c>
      <c r="AB72" s="168">
        <v>21.3744</v>
      </c>
      <c r="AC72" s="168">
        <v>21.3744</v>
      </c>
      <c r="AD72" s="168">
        <v>21.3744</v>
      </c>
      <c r="AE72" s="168">
        <v>21.3744</v>
      </c>
      <c r="AF72" s="210">
        <v>21.3744</v>
      </c>
      <c r="AG72" s="74"/>
      <c r="AH72" s="17"/>
      <c r="AI72" s="17"/>
      <c r="AJ72" s="13"/>
      <c r="AK72" s="74"/>
      <c r="AL72" s="74"/>
      <c r="AM72" s="74"/>
      <c r="AN72" s="74"/>
      <c r="AO72" s="74"/>
      <c r="AP72" s="17"/>
      <c r="AQ72" s="17"/>
      <c r="AR72" s="17"/>
      <c r="AS72" s="74"/>
      <c r="AT72" s="74"/>
      <c r="AU72" s="74"/>
      <c r="AV72" s="74"/>
      <c r="AW72" s="74"/>
      <c r="AX72" s="17"/>
      <c r="AY72" s="17"/>
      <c r="AZ72" s="17"/>
      <c r="BA72" s="74"/>
      <c r="BB72" s="74"/>
      <c r="BC72" s="74"/>
      <c r="BD72" s="74"/>
      <c r="BE72" s="74"/>
      <c r="BF72" s="17"/>
      <c r="BG72" s="40"/>
      <c r="BH72" s="57"/>
      <c r="BI72" s="75"/>
      <c r="BJ72" s="76"/>
      <c r="BK72" s="76"/>
      <c r="BL72" s="76"/>
      <c r="BM72" s="76"/>
      <c r="BN72" s="76"/>
      <c r="BO72" s="13"/>
      <c r="BP72" s="13"/>
      <c r="BQ72" s="13"/>
      <c r="BR72" s="13"/>
      <c r="BS72" s="13"/>
      <c r="BT72" s="13"/>
      <c r="BU72" s="13"/>
      <c r="BV72" s="13"/>
      <c r="BW72" s="13"/>
    </row>
    <row r="73" spans="2:75" ht="12.75" customHeight="1">
      <c r="B73" s="55"/>
      <c r="C73" s="177" t="s">
        <v>19</v>
      </c>
      <c r="D73" s="71"/>
      <c r="E73" s="166">
        <v>0</v>
      </c>
      <c r="F73" s="167">
        <v>0</v>
      </c>
      <c r="G73" s="167">
        <v>0</v>
      </c>
      <c r="H73" s="167">
        <v>0</v>
      </c>
      <c r="I73" s="167">
        <v>0</v>
      </c>
      <c r="J73" s="167">
        <v>0</v>
      </c>
      <c r="K73" s="167">
        <v>0</v>
      </c>
      <c r="L73" s="167">
        <v>0</v>
      </c>
      <c r="M73" s="167">
        <v>0</v>
      </c>
      <c r="N73" s="167">
        <v>0</v>
      </c>
      <c r="O73" s="167">
        <v>0</v>
      </c>
      <c r="P73" s="167">
        <v>0</v>
      </c>
      <c r="Q73" s="167">
        <v>0</v>
      </c>
      <c r="R73" s="167">
        <v>0</v>
      </c>
      <c r="S73" s="168">
        <v>0</v>
      </c>
      <c r="T73" s="168">
        <v>0</v>
      </c>
      <c r="U73" s="168">
        <v>0</v>
      </c>
      <c r="V73" s="168">
        <v>0</v>
      </c>
      <c r="W73" s="168">
        <v>0</v>
      </c>
      <c r="X73" s="168">
        <v>0</v>
      </c>
      <c r="Y73" s="168">
        <v>0</v>
      </c>
      <c r="Z73" s="169">
        <v>0</v>
      </c>
      <c r="AA73" s="169">
        <v>0</v>
      </c>
      <c r="AB73" s="168">
        <v>0</v>
      </c>
      <c r="AC73" s="168">
        <v>0</v>
      </c>
      <c r="AD73" s="168">
        <v>0</v>
      </c>
      <c r="AE73" s="168">
        <v>0</v>
      </c>
      <c r="AF73" s="210">
        <v>0</v>
      </c>
      <c r="AG73" s="74"/>
      <c r="AH73" s="17"/>
      <c r="AI73" s="17"/>
      <c r="AJ73" s="13"/>
      <c r="AK73" s="74"/>
      <c r="AL73" s="74"/>
      <c r="AM73" s="74"/>
      <c r="AN73" s="74"/>
      <c r="AO73" s="74"/>
      <c r="AP73" s="17"/>
      <c r="AQ73" s="17"/>
      <c r="AR73" s="17"/>
      <c r="AS73" s="74"/>
      <c r="AT73" s="74"/>
      <c r="AU73" s="74"/>
      <c r="AV73" s="74"/>
      <c r="AW73" s="74"/>
      <c r="AX73" s="17"/>
      <c r="AY73" s="17"/>
      <c r="AZ73" s="17"/>
      <c r="BA73" s="74"/>
      <c r="BB73" s="74"/>
      <c r="BC73" s="74"/>
      <c r="BD73" s="74"/>
      <c r="BE73" s="74"/>
      <c r="BF73" s="17"/>
      <c r="BG73" s="40"/>
      <c r="BH73" s="57"/>
      <c r="BI73" s="75"/>
      <c r="BJ73" s="76"/>
      <c r="BK73" s="76"/>
      <c r="BL73" s="76"/>
      <c r="BM73" s="76"/>
      <c r="BN73" s="76"/>
      <c r="BO73" s="13"/>
      <c r="BP73" s="13"/>
      <c r="BQ73" s="13"/>
      <c r="BR73" s="13"/>
      <c r="BS73" s="13"/>
      <c r="BT73" s="13"/>
      <c r="BU73" s="13"/>
      <c r="BV73" s="13"/>
      <c r="BW73" s="13"/>
    </row>
    <row r="74" spans="2:75" ht="12.75" customHeight="1">
      <c r="B74" s="55"/>
      <c r="C74" s="177" t="s">
        <v>18</v>
      </c>
      <c r="D74" s="71"/>
      <c r="E74" s="166">
        <v>0</v>
      </c>
      <c r="F74" s="167">
        <v>0</v>
      </c>
      <c r="G74" s="167">
        <v>0</v>
      </c>
      <c r="H74" s="167">
        <v>2.718451010322629</v>
      </c>
      <c r="I74" s="167">
        <v>4.102635822116108</v>
      </c>
      <c r="J74" s="167">
        <v>6.525534117349652</v>
      </c>
      <c r="K74" s="167">
        <v>9.12548208405232</v>
      </c>
      <c r="L74" s="167">
        <v>11.915489351367524</v>
      </c>
      <c r="M74" s="167">
        <v>4.892381495225698</v>
      </c>
      <c r="N74" s="167">
        <v>7.399604473910994</v>
      </c>
      <c r="O74" s="167">
        <v>10.047987583996974</v>
      </c>
      <c r="P74" s="167">
        <v>12.845488302344426</v>
      </c>
      <c r="Q74" s="167">
        <v>15.800513225105393</v>
      </c>
      <c r="R74" s="167">
        <v>18.921943445367464</v>
      </c>
      <c r="S74" s="168">
        <v>0.4675338663728225</v>
      </c>
      <c r="T74" s="168">
        <v>3.950451531608135</v>
      </c>
      <c r="U74" s="168">
        <v>7.629540557669323</v>
      </c>
      <c r="V74" s="168">
        <v>11.515863760676165</v>
      </c>
      <c r="W74" s="168">
        <v>14.931556357343938</v>
      </c>
      <c r="X74" s="168">
        <v>18.503751529859354</v>
      </c>
      <c r="Y74" s="168">
        <v>22.23965884855525</v>
      </c>
      <c r="Z74" s="169">
        <v>26.14682193424624</v>
      </c>
      <c r="AA74" s="169">
        <v>30.233134031663617</v>
      </c>
      <c r="AB74" s="168">
        <v>34.506854313625034</v>
      </c>
      <c r="AC74" s="168">
        <v>38.97662495045772</v>
      </c>
      <c r="AD74" s="168">
        <v>43.651488980834024</v>
      </c>
      <c r="AE74" s="168">
        <v>48.54090902190026</v>
      </c>
      <c r="AF74" s="210">
        <v>53.654786858381456</v>
      </c>
      <c r="AG74" s="74"/>
      <c r="AH74" s="17"/>
      <c r="AI74" s="17"/>
      <c r="AJ74" s="13"/>
      <c r="AK74" s="74"/>
      <c r="AL74" s="74"/>
      <c r="AM74" s="74"/>
      <c r="AN74" s="74"/>
      <c r="AO74" s="74"/>
      <c r="AP74" s="17"/>
      <c r="AQ74" s="17"/>
      <c r="AR74" s="17"/>
      <c r="AS74" s="74"/>
      <c r="AT74" s="74"/>
      <c r="AU74" s="74"/>
      <c r="AV74" s="74"/>
      <c r="AW74" s="74"/>
      <c r="AX74" s="17"/>
      <c r="AY74" s="17"/>
      <c r="AZ74" s="17"/>
      <c r="BA74" s="74"/>
      <c r="BB74" s="74"/>
      <c r="BC74" s="74"/>
      <c r="BD74" s="74"/>
      <c r="BE74" s="74"/>
      <c r="BF74" s="17"/>
      <c r="BG74" s="40"/>
      <c r="BH74" s="57"/>
      <c r="BI74" s="75"/>
      <c r="BJ74" s="76"/>
      <c r="BK74" s="76"/>
      <c r="BL74" s="76"/>
      <c r="BM74" s="76"/>
      <c r="BN74" s="76"/>
      <c r="BO74" s="13"/>
      <c r="BP74" s="13"/>
      <c r="BQ74" s="13"/>
      <c r="BR74" s="13"/>
      <c r="BS74" s="13"/>
      <c r="BT74" s="13"/>
      <c r="BU74" s="13"/>
      <c r="BV74" s="13"/>
      <c r="BW74" s="13"/>
    </row>
    <row r="75" spans="2:75" ht="12.75" customHeight="1">
      <c r="B75" s="55"/>
      <c r="C75" s="179"/>
      <c r="D75" s="71"/>
      <c r="E75" s="166"/>
      <c r="F75" s="167"/>
      <c r="G75" s="167"/>
      <c r="H75" s="167"/>
      <c r="I75" s="167"/>
      <c r="J75" s="167"/>
      <c r="K75" s="167"/>
      <c r="L75" s="167"/>
      <c r="M75" s="167"/>
      <c r="N75" s="167"/>
      <c r="O75" s="167"/>
      <c r="P75" s="167"/>
      <c r="Q75" s="167"/>
      <c r="R75" s="167"/>
      <c r="S75" s="168"/>
      <c r="T75" s="168"/>
      <c r="U75" s="168"/>
      <c r="V75" s="168"/>
      <c r="W75" s="168"/>
      <c r="X75" s="168"/>
      <c r="Y75" s="168"/>
      <c r="Z75" s="169"/>
      <c r="AA75" s="169"/>
      <c r="AB75" s="168"/>
      <c r="AC75" s="168"/>
      <c r="AD75" s="168"/>
      <c r="AE75" s="168"/>
      <c r="AF75" s="210"/>
      <c r="AG75" s="74"/>
      <c r="AH75" s="17"/>
      <c r="AI75" s="17"/>
      <c r="AJ75" s="13"/>
      <c r="AK75" s="74"/>
      <c r="AL75" s="74"/>
      <c r="AM75" s="74"/>
      <c r="AN75" s="74"/>
      <c r="AO75" s="74"/>
      <c r="AP75" s="17"/>
      <c r="AQ75" s="17"/>
      <c r="AR75" s="17"/>
      <c r="AS75" s="74"/>
      <c r="AT75" s="74"/>
      <c r="AU75" s="74"/>
      <c r="AV75" s="74"/>
      <c r="AW75" s="74"/>
      <c r="AX75" s="17"/>
      <c r="AY75" s="17"/>
      <c r="AZ75" s="17"/>
      <c r="BA75" s="74"/>
      <c r="BB75" s="74"/>
      <c r="BC75" s="74"/>
      <c r="BD75" s="74"/>
      <c r="BE75" s="74"/>
      <c r="BF75" s="17"/>
      <c r="BG75" s="40"/>
      <c r="BH75" s="57"/>
      <c r="BI75" s="75"/>
      <c r="BJ75" s="76"/>
      <c r="BK75" s="76"/>
      <c r="BL75" s="76"/>
      <c r="BM75" s="76"/>
      <c r="BN75" s="76"/>
      <c r="BO75" s="13"/>
      <c r="BP75" s="13"/>
      <c r="BQ75" s="13"/>
      <c r="BR75" s="13"/>
      <c r="BS75" s="13"/>
      <c r="BT75" s="13"/>
      <c r="BU75" s="13"/>
      <c r="BV75" s="13"/>
      <c r="BW75" s="13"/>
    </row>
    <row r="76" spans="2:75" ht="12.75" customHeight="1">
      <c r="B76" s="10"/>
      <c r="C76" s="185" t="s">
        <v>30</v>
      </c>
      <c r="D76" s="73"/>
      <c r="E76" s="170">
        <v>6.62256</v>
      </c>
      <c r="F76" s="171">
        <v>6.62256</v>
      </c>
      <c r="G76" s="171">
        <v>6.62256</v>
      </c>
      <c r="H76" s="171">
        <v>9.341011010322628</v>
      </c>
      <c r="I76" s="171">
        <v>10.725195822116108</v>
      </c>
      <c r="J76" s="171">
        <v>13.148094117349652</v>
      </c>
      <c r="K76" s="171">
        <v>15.74804208405232</v>
      </c>
      <c r="L76" s="171">
        <v>18.538049351367526</v>
      </c>
      <c r="M76" s="171">
        <v>14.353181495225698</v>
      </c>
      <c r="N76" s="171">
        <v>16.860404473910997</v>
      </c>
      <c r="O76" s="171">
        <v>19.508787583996977</v>
      </c>
      <c r="P76" s="171">
        <v>22.306288302344427</v>
      </c>
      <c r="Q76" s="171">
        <v>25.261313225105393</v>
      </c>
      <c r="R76" s="171">
        <v>28.382743445367467</v>
      </c>
      <c r="S76" s="172">
        <v>21.841933866372823</v>
      </c>
      <c r="T76" s="172">
        <v>25.324851531608136</v>
      </c>
      <c r="U76" s="172">
        <v>29.003940557669324</v>
      </c>
      <c r="V76" s="172">
        <v>32.89026376067616</v>
      </c>
      <c r="W76" s="172">
        <v>36.30595635734394</v>
      </c>
      <c r="X76" s="172">
        <v>39.87815152985935</v>
      </c>
      <c r="Y76" s="172">
        <v>43.61405884855525</v>
      </c>
      <c r="Z76" s="173">
        <v>47.52122193424624</v>
      </c>
      <c r="AA76" s="173">
        <v>51.60753403166362</v>
      </c>
      <c r="AB76" s="172">
        <v>55.881254313625035</v>
      </c>
      <c r="AC76" s="172">
        <v>60.35102495045772</v>
      </c>
      <c r="AD76" s="172">
        <v>65.02588898083403</v>
      </c>
      <c r="AE76" s="172">
        <v>69.91530902190027</v>
      </c>
      <c r="AF76" s="211">
        <v>75.02918685838145</v>
      </c>
      <c r="AG76" s="74"/>
      <c r="AH76" s="17"/>
      <c r="AI76" s="17"/>
      <c r="AJ76" s="13"/>
      <c r="AK76" s="74"/>
      <c r="AL76" s="74"/>
      <c r="AM76" s="74"/>
      <c r="AN76" s="74"/>
      <c r="AO76" s="74"/>
      <c r="AP76" s="17"/>
      <c r="AQ76" s="17"/>
      <c r="AR76" s="17"/>
      <c r="AS76" s="74"/>
      <c r="AT76" s="74"/>
      <c r="AU76" s="74"/>
      <c r="AV76" s="74"/>
      <c r="AW76" s="74"/>
      <c r="AX76" s="17"/>
      <c r="AY76" s="17"/>
      <c r="AZ76" s="17"/>
      <c r="BA76" s="74"/>
      <c r="BB76" s="74"/>
      <c r="BC76" s="74"/>
      <c r="BD76" s="74"/>
      <c r="BE76" s="74"/>
      <c r="BF76" s="17"/>
      <c r="BG76" s="40"/>
      <c r="BH76" s="57"/>
      <c r="BI76" s="75"/>
      <c r="BJ76" s="76"/>
      <c r="BK76" s="76"/>
      <c r="BL76" s="76"/>
      <c r="BM76" s="76"/>
      <c r="BN76" s="76"/>
      <c r="BO76" s="13"/>
      <c r="BP76" s="13"/>
      <c r="BQ76" s="13"/>
      <c r="BR76" s="13"/>
      <c r="BS76" s="13"/>
      <c r="BT76" s="13"/>
      <c r="BU76" s="13"/>
      <c r="BV76" s="13"/>
      <c r="BW76" s="13"/>
    </row>
    <row r="77" spans="2:75" ht="12.75" customHeight="1">
      <c r="B77" s="13"/>
      <c r="C77" s="13"/>
      <c r="D77" s="13"/>
      <c r="E77" s="17"/>
      <c r="F77" s="35"/>
      <c r="G77" s="35"/>
      <c r="H77" s="35"/>
      <c r="I77" s="35"/>
      <c r="J77" s="35"/>
      <c r="K77" s="35"/>
      <c r="L77" s="35"/>
      <c r="M77" s="35"/>
      <c r="N77" s="35"/>
      <c r="O77" s="35"/>
      <c r="P77" s="35"/>
      <c r="Q77" s="35"/>
      <c r="R77" s="35"/>
      <c r="S77" s="13"/>
      <c r="T77" s="74"/>
      <c r="U77" s="74"/>
      <c r="V77" s="74"/>
      <c r="W77" s="74"/>
      <c r="X77" s="74"/>
      <c r="Y77" s="17"/>
      <c r="Z77" s="88"/>
      <c r="AA77" s="88"/>
      <c r="AB77" s="13"/>
      <c r="AC77" s="74"/>
      <c r="AD77" s="74"/>
      <c r="AE77" s="74"/>
      <c r="AF77" s="74"/>
      <c r="AG77" s="74"/>
      <c r="AH77" s="17"/>
      <c r="AI77" s="17"/>
      <c r="AJ77" s="13"/>
      <c r="AK77" s="74"/>
      <c r="AL77" s="74"/>
      <c r="AM77" s="74"/>
      <c r="AN77" s="74"/>
      <c r="AO77" s="74"/>
      <c r="AP77" s="17"/>
      <c r="AQ77" s="17"/>
      <c r="AR77" s="17"/>
      <c r="AS77" s="74"/>
      <c r="AT77" s="74"/>
      <c r="AU77" s="74"/>
      <c r="AV77" s="74"/>
      <c r="AW77" s="74"/>
      <c r="AX77" s="17"/>
      <c r="AY77" s="17"/>
      <c r="AZ77" s="17"/>
      <c r="BA77" s="74"/>
      <c r="BB77" s="74"/>
      <c r="BC77" s="74"/>
      <c r="BD77" s="74"/>
      <c r="BE77" s="74"/>
      <c r="BF77" s="17"/>
      <c r="BG77" s="40"/>
      <c r="BH77" s="57"/>
      <c r="BI77" s="75"/>
      <c r="BJ77" s="76"/>
      <c r="BK77" s="76"/>
      <c r="BL77" s="76"/>
      <c r="BM77" s="76"/>
      <c r="BN77" s="76"/>
      <c r="BO77" s="13"/>
      <c r="BP77" s="13"/>
      <c r="BQ77" s="13"/>
      <c r="BR77" s="13"/>
      <c r="BS77" s="13"/>
      <c r="BT77" s="13"/>
      <c r="BU77" s="13"/>
      <c r="BV77" s="13"/>
      <c r="BW77" s="13"/>
    </row>
    <row r="78" spans="2:75" ht="25.5" customHeight="1">
      <c r="B78" s="174" t="s">
        <v>84</v>
      </c>
      <c r="C78" s="175" t="s">
        <v>80</v>
      </c>
      <c r="D78" s="54"/>
      <c r="E78" s="48">
        <v>0.12750263157894737</v>
      </c>
      <c r="F78" s="186">
        <v>0.12750263157894737</v>
      </c>
      <c r="G78" s="186">
        <v>0.12750263157894737</v>
      </c>
      <c r="H78" s="186">
        <v>0.12750263157894737</v>
      </c>
      <c r="I78" s="186">
        <v>0.12750263157894737</v>
      </c>
      <c r="J78" s="186">
        <v>0.12750263157894737</v>
      </c>
      <c r="K78" s="186">
        <v>0.12750263157894737</v>
      </c>
      <c r="L78" s="186">
        <v>0.12750263157894737</v>
      </c>
      <c r="M78" s="186">
        <v>0.12750263157894737</v>
      </c>
      <c r="N78" s="186">
        <v>0.12750263157894737</v>
      </c>
      <c r="O78" s="186">
        <v>0.12750263157894737</v>
      </c>
      <c r="P78" s="186">
        <v>0.12750263157894737</v>
      </c>
      <c r="Q78" s="186">
        <v>0.12750263157894737</v>
      </c>
      <c r="R78" s="186">
        <v>0.12750263157894737</v>
      </c>
      <c r="S78" s="187">
        <v>0.12750263157894737</v>
      </c>
      <c r="T78" s="187">
        <v>0.12750263157894737</v>
      </c>
      <c r="U78" s="187">
        <v>0.12750263157894737</v>
      </c>
      <c r="V78" s="187">
        <v>0.12750263157894737</v>
      </c>
      <c r="W78" s="187">
        <v>0.12750263157894737</v>
      </c>
      <c r="X78" s="187">
        <v>0.12750263157894737</v>
      </c>
      <c r="Y78" s="187">
        <v>0.12750263157894737</v>
      </c>
      <c r="Z78" s="188">
        <v>0.12750263157894737</v>
      </c>
      <c r="AA78" s="188">
        <v>0.12750263157894737</v>
      </c>
      <c r="AB78" s="187">
        <v>0.12750263157894737</v>
      </c>
      <c r="AC78" s="187">
        <v>0.12750263157894737</v>
      </c>
      <c r="AD78" s="187">
        <v>0.12750263157894737</v>
      </c>
      <c r="AE78" s="187">
        <v>0.12750263157894737</v>
      </c>
      <c r="AF78" s="204">
        <v>0.12750263157894737</v>
      </c>
      <c r="AG78" s="74"/>
      <c r="AH78" s="17"/>
      <c r="AI78" s="17"/>
      <c r="AJ78" s="13"/>
      <c r="AK78" s="74"/>
      <c r="AL78" s="74"/>
      <c r="AM78" s="74"/>
      <c r="AN78" s="74"/>
      <c r="AO78" s="74"/>
      <c r="AP78" s="17"/>
      <c r="AQ78" s="17"/>
      <c r="AR78" s="17"/>
      <c r="AS78" s="74"/>
      <c r="AT78" s="74"/>
      <c r="AU78" s="74"/>
      <c r="AV78" s="74"/>
      <c r="AW78" s="74"/>
      <c r="AX78" s="17"/>
      <c r="AY78" s="17"/>
      <c r="AZ78" s="17"/>
      <c r="BA78" s="74"/>
      <c r="BB78" s="74"/>
      <c r="BC78" s="74"/>
      <c r="BD78" s="74"/>
      <c r="BE78" s="74"/>
      <c r="BF78" s="17"/>
      <c r="BG78" s="40"/>
      <c r="BH78" s="57"/>
      <c r="BI78" s="75"/>
      <c r="BJ78" s="76"/>
      <c r="BK78" s="76"/>
      <c r="BL78" s="76"/>
      <c r="BM78" s="76"/>
      <c r="BN78" s="76"/>
      <c r="BO78" s="13"/>
      <c r="BP78" s="13"/>
      <c r="BQ78" s="13"/>
      <c r="BR78" s="13"/>
      <c r="BS78" s="13"/>
      <c r="BT78" s="13"/>
      <c r="BU78" s="13"/>
      <c r="BV78" s="13"/>
      <c r="BW78" s="13"/>
    </row>
    <row r="79" spans="2:75" ht="12.75" customHeight="1">
      <c r="B79" s="55"/>
      <c r="C79" s="177" t="s">
        <v>81</v>
      </c>
      <c r="D79" s="71"/>
      <c r="E79" s="189">
        <v>0.012291694518716579</v>
      </c>
      <c r="F79" s="190">
        <v>0.012291694518716579</v>
      </c>
      <c r="G79" s="190">
        <v>0.012291694518716579</v>
      </c>
      <c r="H79" s="190">
        <v>0.012291694518716579</v>
      </c>
      <c r="I79" s="190">
        <v>0.012291694518716579</v>
      </c>
      <c r="J79" s="190">
        <v>0.012291694518716579</v>
      </c>
      <c r="K79" s="190">
        <v>0.012291694518716579</v>
      </c>
      <c r="L79" s="190">
        <v>0.012291694518716579</v>
      </c>
      <c r="M79" s="190">
        <v>0.012291694518716579</v>
      </c>
      <c r="N79" s="190">
        <v>0.012291694518716579</v>
      </c>
      <c r="O79" s="190">
        <v>0.012291694518716579</v>
      </c>
      <c r="P79" s="190">
        <v>0.012291694518716579</v>
      </c>
      <c r="Q79" s="190">
        <v>0.012291694518716579</v>
      </c>
      <c r="R79" s="190">
        <v>0.012291694518716579</v>
      </c>
      <c r="S79" s="83">
        <v>0.012291694518716579</v>
      </c>
      <c r="T79" s="83">
        <v>0.012291694518716579</v>
      </c>
      <c r="U79" s="83">
        <v>0.012291694518716579</v>
      </c>
      <c r="V79" s="83">
        <v>0.012291694518716579</v>
      </c>
      <c r="W79" s="83">
        <v>0.012291694518716579</v>
      </c>
      <c r="X79" s="83">
        <v>0.012291694518716579</v>
      </c>
      <c r="Y79" s="83">
        <v>0.012291694518716579</v>
      </c>
      <c r="Z79" s="191">
        <v>0.012291694518716579</v>
      </c>
      <c r="AA79" s="191">
        <v>0.012291694518716579</v>
      </c>
      <c r="AB79" s="83">
        <v>0.012291694518716579</v>
      </c>
      <c r="AC79" s="83">
        <v>0.012291694518716579</v>
      </c>
      <c r="AD79" s="83">
        <v>0.012291694518716579</v>
      </c>
      <c r="AE79" s="83">
        <v>0.012291694518716579</v>
      </c>
      <c r="AF79" s="205">
        <v>0.012291694518716579</v>
      </c>
      <c r="AG79" s="74"/>
      <c r="AH79" s="17"/>
      <c r="AI79" s="17"/>
      <c r="AJ79" s="13"/>
      <c r="AK79" s="74"/>
      <c r="AL79" s="74"/>
      <c r="AM79" s="74"/>
      <c r="AN79" s="74"/>
      <c r="AO79" s="74"/>
      <c r="AP79" s="17"/>
      <c r="AQ79" s="17"/>
      <c r="AR79" s="17"/>
      <c r="AS79" s="74"/>
      <c r="AT79" s="74"/>
      <c r="AU79" s="74"/>
      <c r="AV79" s="74"/>
      <c r="AW79" s="74"/>
      <c r="AX79" s="17"/>
      <c r="AY79" s="17"/>
      <c r="AZ79" s="17"/>
      <c r="BA79" s="74"/>
      <c r="BB79" s="74"/>
      <c r="BC79" s="74"/>
      <c r="BD79" s="74"/>
      <c r="BE79" s="74"/>
      <c r="BF79" s="17"/>
      <c r="BG79" s="40"/>
      <c r="BH79" s="57"/>
      <c r="BI79" s="75"/>
      <c r="BJ79" s="76"/>
      <c r="BK79" s="76"/>
      <c r="BL79" s="76"/>
      <c r="BM79" s="76"/>
      <c r="BN79" s="76"/>
      <c r="BO79" s="13"/>
      <c r="BP79" s="13"/>
      <c r="BQ79" s="13"/>
      <c r="BR79" s="13"/>
      <c r="BS79" s="13"/>
      <c r="BT79" s="13"/>
      <c r="BU79" s="13"/>
      <c r="BV79" s="13"/>
      <c r="BW79" s="13"/>
    </row>
    <row r="80" spans="2:75" ht="12.75" customHeight="1">
      <c r="B80" s="55"/>
      <c r="C80" s="177" t="s">
        <v>78</v>
      </c>
      <c r="D80" s="71"/>
      <c r="E80" s="189">
        <v>0</v>
      </c>
      <c r="F80" s="190">
        <v>0</v>
      </c>
      <c r="G80" s="190">
        <v>0</v>
      </c>
      <c r="H80" s="190">
        <v>0</v>
      </c>
      <c r="I80" s="190">
        <v>0</v>
      </c>
      <c r="J80" s="190">
        <v>0</v>
      </c>
      <c r="K80" s="190">
        <v>0</v>
      </c>
      <c r="L80" s="190">
        <v>0</v>
      </c>
      <c r="M80" s="190">
        <v>0</v>
      </c>
      <c r="N80" s="190">
        <v>0</v>
      </c>
      <c r="O80" s="190">
        <v>0</v>
      </c>
      <c r="P80" s="190">
        <v>0</v>
      </c>
      <c r="Q80" s="190">
        <v>0</v>
      </c>
      <c r="R80" s="190">
        <v>0</v>
      </c>
      <c r="S80" s="83">
        <v>0</v>
      </c>
      <c r="T80" s="83">
        <v>0</v>
      </c>
      <c r="U80" s="83">
        <v>0</v>
      </c>
      <c r="V80" s="83">
        <v>0</v>
      </c>
      <c r="W80" s="83">
        <v>0</v>
      </c>
      <c r="X80" s="83">
        <v>0</v>
      </c>
      <c r="Y80" s="83">
        <v>0</v>
      </c>
      <c r="Z80" s="191">
        <v>0</v>
      </c>
      <c r="AA80" s="191">
        <v>0</v>
      </c>
      <c r="AB80" s="83">
        <v>0</v>
      </c>
      <c r="AC80" s="83">
        <v>0</v>
      </c>
      <c r="AD80" s="83">
        <v>0</v>
      </c>
      <c r="AE80" s="83">
        <v>0</v>
      </c>
      <c r="AF80" s="205">
        <v>0</v>
      </c>
      <c r="AG80" s="74"/>
      <c r="AH80" s="17"/>
      <c r="AI80" s="17"/>
      <c r="AJ80" s="13"/>
      <c r="AK80" s="74"/>
      <c r="AL80" s="74"/>
      <c r="AM80" s="74"/>
      <c r="AN80" s="74"/>
      <c r="AO80" s="74"/>
      <c r="AP80" s="17"/>
      <c r="AQ80" s="17"/>
      <c r="AR80" s="17"/>
      <c r="AS80" s="74"/>
      <c r="AT80" s="74"/>
      <c r="AU80" s="74"/>
      <c r="AV80" s="74"/>
      <c r="AW80" s="74"/>
      <c r="AX80" s="17"/>
      <c r="AY80" s="17"/>
      <c r="AZ80" s="17"/>
      <c r="BA80" s="74"/>
      <c r="BB80" s="74"/>
      <c r="BC80" s="74"/>
      <c r="BD80" s="74"/>
      <c r="BE80" s="74"/>
      <c r="BF80" s="17"/>
      <c r="BG80" s="40"/>
      <c r="BH80" s="57"/>
      <c r="BI80" s="75"/>
      <c r="BJ80" s="76"/>
      <c r="BK80" s="76"/>
      <c r="BL80" s="76"/>
      <c r="BM80" s="76"/>
      <c r="BN80" s="76"/>
      <c r="BO80" s="13"/>
      <c r="BP80" s="13"/>
      <c r="BQ80" s="13"/>
      <c r="BR80" s="13"/>
      <c r="BS80" s="13"/>
      <c r="BT80" s="13"/>
      <c r="BU80" s="13"/>
      <c r="BV80" s="13"/>
      <c r="BW80" s="13"/>
    </row>
    <row r="81" spans="2:75" ht="12.75" customHeight="1">
      <c r="B81" s="55"/>
      <c r="C81" s="177" t="s">
        <v>79</v>
      </c>
      <c r="D81" s="71"/>
      <c r="E81" s="189">
        <v>0</v>
      </c>
      <c r="F81" s="190">
        <v>0</v>
      </c>
      <c r="G81" s="190">
        <v>0</v>
      </c>
      <c r="H81" s="190">
        <v>0</v>
      </c>
      <c r="I81" s="190">
        <v>0</v>
      </c>
      <c r="J81" s="190">
        <v>0</v>
      </c>
      <c r="K81" s="190">
        <v>0</v>
      </c>
      <c r="L81" s="190">
        <v>0</v>
      </c>
      <c r="M81" s="190">
        <v>0</v>
      </c>
      <c r="N81" s="190">
        <v>0</v>
      </c>
      <c r="O81" s="190">
        <v>0</v>
      </c>
      <c r="P81" s="190">
        <v>0</v>
      </c>
      <c r="Q81" s="190">
        <v>0</v>
      </c>
      <c r="R81" s="190">
        <v>0</v>
      </c>
      <c r="S81" s="83">
        <v>0</v>
      </c>
      <c r="T81" s="83">
        <v>0</v>
      </c>
      <c r="U81" s="83">
        <v>0</v>
      </c>
      <c r="V81" s="83">
        <v>0</v>
      </c>
      <c r="W81" s="83">
        <v>0</v>
      </c>
      <c r="X81" s="83">
        <v>0</v>
      </c>
      <c r="Y81" s="83">
        <v>0</v>
      </c>
      <c r="Z81" s="191">
        <v>0</v>
      </c>
      <c r="AA81" s="191">
        <v>0</v>
      </c>
      <c r="AB81" s="83">
        <v>0</v>
      </c>
      <c r="AC81" s="83">
        <v>0</v>
      </c>
      <c r="AD81" s="83">
        <v>0</v>
      </c>
      <c r="AE81" s="83">
        <v>0</v>
      </c>
      <c r="AF81" s="205">
        <v>0</v>
      </c>
      <c r="AG81" s="74"/>
      <c r="AH81" s="17"/>
      <c r="AI81" s="17"/>
      <c r="AJ81" s="13"/>
      <c r="AK81" s="74"/>
      <c r="AL81" s="74"/>
      <c r="AM81" s="74"/>
      <c r="AN81" s="74"/>
      <c r="AO81" s="74"/>
      <c r="AP81" s="17"/>
      <c r="AQ81" s="17"/>
      <c r="AR81" s="17"/>
      <c r="AS81" s="74"/>
      <c r="AT81" s="74"/>
      <c r="AU81" s="74"/>
      <c r="AV81" s="74"/>
      <c r="AW81" s="74"/>
      <c r="AX81" s="17"/>
      <c r="AY81" s="17"/>
      <c r="AZ81" s="17"/>
      <c r="BA81" s="74"/>
      <c r="BB81" s="74"/>
      <c r="BC81" s="74"/>
      <c r="BD81" s="74"/>
      <c r="BE81" s="74"/>
      <c r="BF81" s="17"/>
      <c r="BG81" s="40"/>
      <c r="BH81" s="57"/>
      <c r="BI81" s="75"/>
      <c r="BJ81" s="76"/>
      <c r="BK81" s="76"/>
      <c r="BL81" s="76"/>
      <c r="BM81" s="76"/>
      <c r="BN81" s="76"/>
      <c r="BO81" s="13"/>
      <c r="BP81" s="13"/>
      <c r="BQ81" s="13"/>
      <c r="BR81" s="13"/>
      <c r="BS81" s="13"/>
      <c r="BT81" s="13"/>
      <c r="BU81" s="13"/>
      <c r="BV81" s="13"/>
      <c r="BW81" s="13"/>
    </row>
    <row r="82" spans="2:75" ht="12.75" customHeight="1">
      <c r="B82" s="55"/>
      <c r="C82" s="177" t="s">
        <v>83</v>
      </c>
      <c r="D82" s="71"/>
      <c r="E82" s="189">
        <v>0</v>
      </c>
      <c r="F82" s="190">
        <v>0</v>
      </c>
      <c r="G82" s="190">
        <v>0</v>
      </c>
      <c r="H82" s="190">
        <v>0</v>
      </c>
      <c r="I82" s="190">
        <v>0</v>
      </c>
      <c r="J82" s="190">
        <v>0</v>
      </c>
      <c r="K82" s="190">
        <v>0</v>
      </c>
      <c r="L82" s="190">
        <v>0</v>
      </c>
      <c r="M82" s="190">
        <v>0</v>
      </c>
      <c r="N82" s="190">
        <v>0</v>
      </c>
      <c r="O82" s="190">
        <v>0</v>
      </c>
      <c r="P82" s="190">
        <v>0</v>
      </c>
      <c r="Q82" s="190">
        <v>0</v>
      </c>
      <c r="R82" s="190">
        <v>0</v>
      </c>
      <c r="S82" s="83">
        <v>0</v>
      </c>
      <c r="T82" s="83">
        <v>0</v>
      </c>
      <c r="U82" s="83">
        <v>0</v>
      </c>
      <c r="V82" s="83">
        <v>0</v>
      </c>
      <c r="W82" s="83">
        <v>0</v>
      </c>
      <c r="X82" s="83">
        <v>0</v>
      </c>
      <c r="Y82" s="83">
        <v>0</v>
      </c>
      <c r="Z82" s="191">
        <v>0</v>
      </c>
      <c r="AA82" s="191">
        <v>0</v>
      </c>
      <c r="AB82" s="83">
        <v>0</v>
      </c>
      <c r="AC82" s="83">
        <v>0</v>
      </c>
      <c r="AD82" s="83">
        <v>0</v>
      </c>
      <c r="AE82" s="83">
        <v>0</v>
      </c>
      <c r="AF82" s="205">
        <v>0</v>
      </c>
      <c r="AG82" s="74"/>
      <c r="AH82" s="17"/>
      <c r="AI82" s="17"/>
      <c r="AJ82" s="13"/>
      <c r="AK82" s="74"/>
      <c r="AL82" s="74"/>
      <c r="AM82" s="74"/>
      <c r="AN82" s="74"/>
      <c r="AO82" s="74"/>
      <c r="AP82" s="17"/>
      <c r="AQ82" s="17"/>
      <c r="AR82" s="17"/>
      <c r="AS82" s="74"/>
      <c r="AT82" s="74"/>
      <c r="AU82" s="74"/>
      <c r="AV82" s="74"/>
      <c r="AW82" s="74"/>
      <c r="AX82" s="17"/>
      <c r="AY82" s="17"/>
      <c r="AZ82" s="17"/>
      <c r="BA82" s="74"/>
      <c r="BB82" s="74"/>
      <c r="BC82" s="74"/>
      <c r="BD82" s="74"/>
      <c r="BE82" s="74"/>
      <c r="BF82" s="17"/>
      <c r="BG82" s="40"/>
      <c r="BH82" s="57"/>
      <c r="BI82" s="75"/>
      <c r="BJ82" s="76"/>
      <c r="BK82" s="76"/>
      <c r="BL82" s="76"/>
      <c r="BM82" s="76"/>
      <c r="BN82" s="76"/>
      <c r="BO82" s="13"/>
      <c r="BP82" s="13"/>
      <c r="BQ82" s="13"/>
      <c r="BR82" s="13"/>
      <c r="BS82" s="13"/>
      <c r="BT82" s="13"/>
      <c r="BU82" s="13"/>
      <c r="BV82" s="13"/>
      <c r="BW82" s="13"/>
    </row>
    <row r="83" spans="2:75" ht="12.75" customHeight="1">
      <c r="B83" s="10"/>
      <c r="C83" s="185" t="s">
        <v>82</v>
      </c>
      <c r="D83" s="73"/>
      <c r="E83" s="192">
        <v>0</v>
      </c>
      <c r="F83" s="47">
        <v>0</v>
      </c>
      <c r="G83" s="47">
        <v>0</v>
      </c>
      <c r="H83" s="47">
        <v>0</v>
      </c>
      <c r="I83" s="47">
        <v>0</v>
      </c>
      <c r="J83" s="47">
        <v>0</v>
      </c>
      <c r="K83" s="47">
        <v>0</v>
      </c>
      <c r="L83" s="47">
        <v>0</v>
      </c>
      <c r="M83" s="47">
        <v>0</v>
      </c>
      <c r="N83" s="47">
        <v>0</v>
      </c>
      <c r="O83" s="47">
        <v>0</v>
      </c>
      <c r="P83" s="47">
        <v>0</v>
      </c>
      <c r="Q83" s="47">
        <v>0</v>
      </c>
      <c r="R83" s="47">
        <v>0</v>
      </c>
      <c r="S83" s="193">
        <v>0</v>
      </c>
      <c r="T83" s="193">
        <v>0</v>
      </c>
      <c r="U83" s="193">
        <v>0</v>
      </c>
      <c r="V83" s="193">
        <v>0</v>
      </c>
      <c r="W83" s="193">
        <v>0</v>
      </c>
      <c r="X83" s="193">
        <v>0</v>
      </c>
      <c r="Y83" s="193">
        <v>0</v>
      </c>
      <c r="Z83" s="194">
        <v>0</v>
      </c>
      <c r="AA83" s="194">
        <v>0</v>
      </c>
      <c r="AB83" s="193">
        <v>0</v>
      </c>
      <c r="AC83" s="193">
        <v>0</v>
      </c>
      <c r="AD83" s="193">
        <v>0</v>
      </c>
      <c r="AE83" s="193">
        <v>0</v>
      </c>
      <c r="AF83" s="206">
        <v>0</v>
      </c>
      <c r="AG83" s="74"/>
      <c r="AH83" s="17"/>
      <c r="AI83" s="17"/>
      <c r="AJ83" s="13"/>
      <c r="AK83" s="74"/>
      <c r="AL83" s="74"/>
      <c r="AM83" s="74"/>
      <c r="AN83" s="74"/>
      <c r="AO83" s="74"/>
      <c r="AP83" s="17"/>
      <c r="AQ83" s="17"/>
      <c r="AR83" s="17"/>
      <c r="AS83" s="74"/>
      <c r="AT83" s="74"/>
      <c r="AU83" s="74"/>
      <c r="AV83" s="74"/>
      <c r="AW83" s="74"/>
      <c r="AX83" s="17"/>
      <c r="AY83" s="17"/>
      <c r="AZ83" s="17"/>
      <c r="BA83" s="74"/>
      <c r="BB83" s="74"/>
      <c r="BC83" s="74"/>
      <c r="BD83" s="74"/>
      <c r="BE83" s="74"/>
      <c r="BF83" s="17"/>
      <c r="BG83" s="40"/>
      <c r="BH83" s="57"/>
      <c r="BI83" s="75"/>
      <c r="BJ83" s="76"/>
      <c r="BK83" s="76"/>
      <c r="BL83" s="76"/>
      <c r="BM83" s="76"/>
      <c r="BN83" s="76"/>
      <c r="BO83" s="13"/>
      <c r="BP83" s="13"/>
      <c r="BQ83" s="13"/>
      <c r="BR83" s="13"/>
      <c r="BS83" s="13"/>
      <c r="BT83" s="13"/>
      <c r="BU83" s="13"/>
      <c r="BV83" s="13"/>
      <c r="BW83" s="13"/>
    </row>
    <row r="84" spans="2:75" ht="12.75" customHeight="1">
      <c r="B84" s="13"/>
      <c r="C84" s="13"/>
      <c r="D84" s="13"/>
      <c r="E84" s="17"/>
      <c r="F84" s="35"/>
      <c r="G84" s="35"/>
      <c r="H84" s="35"/>
      <c r="I84" s="35"/>
      <c r="J84" s="35"/>
      <c r="K84" s="35"/>
      <c r="L84" s="35"/>
      <c r="M84" s="35"/>
      <c r="N84" s="35"/>
      <c r="O84" s="35"/>
      <c r="P84" s="35"/>
      <c r="Q84" s="35"/>
      <c r="R84" s="35"/>
      <c r="S84" s="13"/>
      <c r="T84" s="74"/>
      <c r="U84" s="74"/>
      <c r="V84" s="74"/>
      <c r="W84" s="74"/>
      <c r="X84" s="74"/>
      <c r="Y84" s="17"/>
      <c r="Z84" s="88"/>
      <c r="AA84" s="88"/>
      <c r="AB84" s="13"/>
      <c r="AC84" s="74"/>
      <c r="AD84" s="74"/>
      <c r="AE84" s="74"/>
      <c r="AF84" s="74"/>
      <c r="AG84" s="74"/>
      <c r="AH84" s="17"/>
      <c r="AI84" s="17"/>
      <c r="AJ84" s="13"/>
      <c r="AK84" s="74"/>
      <c r="AL84" s="74"/>
      <c r="AM84" s="74"/>
      <c r="AN84" s="74"/>
      <c r="AO84" s="74"/>
      <c r="AP84" s="17"/>
      <c r="AQ84" s="17"/>
      <c r="AR84" s="17"/>
      <c r="AS84" s="74"/>
      <c r="AT84" s="74"/>
      <c r="AU84" s="74"/>
      <c r="AV84" s="74"/>
      <c r="AW84" s="74"/>
      <c r="AX84" s="17"/>
      <c r="AY84" s="17"/>
      <c r="AZ84" s="17"/>
      <c r="BA84" s="74"/>
      <c r="BB84" s="74"/>
      <c r="BC84" s="74"/>
      <c r="BD84" s="74"/>
      <c r="BE84" s="74"/>
      <c r="BF84" s="17"/>
      <c r="BG84" s="40"/>
      <c r="BH84" s="57"/>
      <c r="BI84" s="75"/>
      <c r="BJ84" s="76"/>
      <c r="BK84" s="76"/>
      <c r="BL84" s="76"/>
      <c r="BM84" s="76"/>
      <c r="BN84" s="76"/>
      <c r="BO84" s="13"/>
      <c r="BP84" s="13"/>
      <c r="BQ84" s="13"/>
      <c r="BR84" s="13"/>
      <c r="BS84" s="13"/>
      <c r="BT84" s="13"/>
      <c r="BU84" s="13"/>
      <c r="BV84" s="13"/>
      <c r="BW84" s="13"/>
    </row>
    <row r="85" spans="2:75" ht="12.75" customHeight="1">
      <c r="B85" s="13"/>
      <c r="C85" s="13"/>
      <c r="D85" s="13"/>
      <c r="E85" s="17"/>
      <c r="F85" s="35"/>
      <c r="G85" s="35"/>
      <c r="H85" s="35"/>
      <c r="I85" s="35"/>
      <c r="J85" s="35"/>
      <c r="K85" s="35"/>
      <c r="L85" s="35"/>
      <c r="M85" s="35"/>
      <c r="N85" s="35"/>
      <c r="O85" s="35"/>
      <c r="P85" s="35"/>
      <c r="Q85" s="35"/>
      <c r="R85" s="35"/>
      <c r="S85" s="13"/>
      <c r="T85" s="74"/>
      <c r="U85" s="74"/>
      <c r="V85" s="74"/>
      <c r="W85" s="74"/>
      <c r="X85" s="74"/>
      <c r="Y85" s="17"/>
      <c r="Z85" s="88"/>
      <c r="AA85" s="88"/>
      <c r="AB85" s="13"/>
      <c r="AC85" s="74"/>
      <c r="AD85" s="74"/>
      <c r="AE85" s="74"/>
      <c r="AF85" s="74"/>
      <c r="AG85" s="74"/>
      <c r="AH85" s="17"/>
      <c r="AI85" s="17"/>
      <c r="AJ85" s="13"/>
      <c r="AK85" s="74"/>
      <c r="AL85" s="74"/>
      <c r="AM85" s="74"/>
      <c r="AN85" s="74"/>
      <c r="AO85" s="74"/>
      <c r="AP85" s="17"/>
      <c r="AQ85" s="17"/>
      <c r="AR85" s="17"/>
      <c r="AS85" s="74"/>
      <c r="AT85" s="74"/>
      <c r="AU85" s="74"/>
      <c r="AV85" s="74"/>
      <c r="AW85" s="74"/>
      <c r="AX85" s="17"/>
      <c r="AY85" s="17"/>
      <c r="AZ85" s="17"/>
      <c r="BA85" s="74"/>
      <c r="BB85" s="74"/>
      <c r="BC85" s="74"/>
      <c r="BD85" s="74"/>
      <c r="BE85" s="74"/>
      <c r="BF85" s="17"/>
      <c r="BG85" s="40"/>
      <c r="BH85" s="57"/>
      <c r="BI85" s="75"/>
      <c r="BJ85" s="76"/>
      <c r="BK85" s="76"/>
      <c r="BL85" s="76"/>
      <c r="BM85" s="76"/>
      <c r="BN85" s="76"/>
      <c r="BO85" s="13"/>
      <c r="BP85" s="13"/>
      <c r="BQ85" s="13"/>
      <c r="BR85" s="13"/>
      <c r="BS85" s="13"/>
      <c r="BT85" s="13"/>
      <c r="BU85" s="13"/>
      <c r="BV85" s="13"/>
      <c r="BW85" s="13"/>
    </row>
    <row r="86" spans="2:75" ht="12.75" customHeight="1">
      <c r="B86" s="13"/>
      <c r="C86" s="13"/>
      <c r="D86" s="13"/>
      <c r="E86" s="17"/>
      <c r="F86" s="35"/>
      <c r="G86" s="35"/>
      <c r="H86" s="35"/>
      <c r="I86" s="35"/>
      <c r="J86" s="35"/>
      <c r="K86" s="35"/>
      <c r="L86" s="35"/>
      <c r="M86" s="35"/>
      <c r="N86" s="35"/>
      <c r="O86" s="35"/>
      <c r="P86" s="35"/>
      <c r="Q86" s="35"/>
      <c r="R86" s="35"/>
      <c r="S86" s="13"/>
      <c r="T86" s="74"/>
      <c r="U86" s="74"/>
      <c r="V86" s="74"/>
      <c r="W86" s="74"/>
      <c r="X86" s="74"/>
      <c r="Y86" s="17"/>
      <c r="Z86" s="88"/>
      <c r="AA86" s="88"/>
      <c r="AB86" s="13"/>
      <c r="AC86" s="74"/>
      <c r="AD86" s="74"/>
      <c r="AE86" s="74"/>
      <c r="AF86" s="74"/>
      <c r="AG86" s="74"/>
      <c r="AH86" s="17"/>
      <c r="AI86" s="17"/>
      <c r="AJ86" s="13"/>
      <c r="AK86" s="74"/>
      <c r="AL86" s="74"/>
      <c r="AM86" s="74"/>
      <c r="AN86" s="74"/>
      <c r="AO86" s="74"/>
      <c r="AP86" s="17"/>
      <c r="AQ86" s="17"/>
      <c r="AR86" s="17"/>
      <c r="AS86" s="74"/>
      <c r="AT86" s="74"/>
      <c r="AU86" s="74"/>
      <c r="AV86" s="74"/>
      <c r="AW86" s="74"/>
      <c r="AX86" s="17"/>
      <c r="AY86" s="17"/>
      <c r="AZ86" s="17"/>
      <c r="BA86" s="74"/>
      <c r="BB86" s="74"/>
      <c r="BC86" s="74"/>
      <c r="BD86" s="74"/>
      <c r="BE86" s="74"/>
      <c r="BF86" s="17"/>
      <c r="BG86" s="40"/>
      <c r="BH86" s="57"/>
      <c r="BI86" s="75"/>
      <c r="BJ86" s="76"/>
      <c r="BK86" s="76"/>
      <c r="BL86" s="76"/>
      <c r="BM86" s="76"/>
      <c r="BN86" s="76"/>
      <c r="BO86" s="13"/>
      <c r="BP86" s="13"/>
      <c r="BQ86" s="13"/>
      <c r="BR86" s="13"/>
      <c r="BS86" s="13"/>
      <c r="BT86" s="13"/>
      <c r="BU86" s="13"/>
      <c r="BV86" s="13"/>
      <c r="BW86" s="13"/>
    </row>
    <row r="87" spans="2:75" ht="12.75" customHeight="1">
      <c r="B87" s="13"/>
      <c r="C87" s="13"/>
      <c r="D87" s="13"/>
      <c r="E87" s="17"/>
      <c r="F87" s="35"/>
      <c r="G87" s="35"/>
      <c r="H87" s="35"/>
      <c r="I87" s="35"/>
      <c r="J87" s="35"/>
      <c r="K87" s="35"/>
      <c r="L87" s="35"/>
      <c r="M87" s="35"/>
      <c r="N87" s="35"/>
      <c r="O87" s="35"/>
      <c r="P87" s="35"/>
      <c r="Q87" s="35"/>
      <c r="R87" s="35"/>
      <c r="S87" s="13"/>
      <c r="T87" s="74"/>
      <c r="U87" s="74"/>
      <c r="V87" s="74"/>
      <c r="W87" s="74"/>
      <c r="X87" s="74"/>
      <c r="Y87" s="17"/>
      <c r="Z87" s="88"/>
      <c r="AA87" s="88"/>
      <c r="AB87" s="13"/>
      <c r="AC87" s="74"/>
      <c r="AD87" s="74"/>
      <c r="AE87" s="74"/>
      <c r="AF87" s="74"/>
      <c r="AG87" s="74"/>
      <c r="AH87" s="17"/>
      <c r="AI87" s="17"/>
      <c r="AJ87" s="13"/>
      <c r="AK87" s="74"/>
      <c r="AL87" s="74"/>
      <c r="AM87" s="74"/>
      <c r="AN87" s="74"/>
      <c r="AO87" s="74"/>
      <c r="AP87" s="17"/>
      <c r="AQ87" s="17"/>
      <c r="AR87" s="17"/>
      <c r="AS87" s="74"/>
      <c r="AT87" s="74"/>
      <c r="AU87" s="74"/>
      <c r="AV87" s="74"/>
      <c r="AW87" s="74"/>
      <c r="AX87" s="17"/>
      <c r="AY87" s="17"/>
      <c r="AZ87" s="17"/>
      <c r="BA87" s="74"/>
      <c r="BB87" s="74"/>
      <c r="BC87" s="74"/>
      <c r="BD87" s="74"/>
      <c r="BE87" s="74"/>
      <c r="BF87" s="17"/>
      <c r="BG87" s="40"/>
      <c r="BH87" s="57"/>
      <c r="BI87" s="75"/>
      <c r="BJ87" s="76"/>
      <c r="BK87" s="76"/>
      <c r="BL87" s="76"/>
      <c r="BM87" s="76"/>
      <c r="BN87" s="76"/>
      <c r="BO87" s="13"/>
      <c r="BP87" s="13"/>
      <c r="BQ87" s="13"/>
      <c r="BR87" s="13"/>
      <c r="BS87" s="13"/>
      <c r="BT87" s="13"/>
      <c r="BU87" s="13"/>
      <c r="BV87" s="13"/>
      <c r="BW87" s="13"/>
    </row>
    <row r="88" spans="2:75" ht="12.75" customHeight="1">
      <c r="B88" s="13"/>
      <c r="C88" s="13"/>
      <c r="D88" s="13"/>
      <c r="E88" s="17"/>
      <c r="F88" s="35"/>
      <c r="G88" s="35"/>
      <c r="H88" s="35"/>
      <c r="I88" s="35"/>
      <c r="J88" s="35"/>
      <c r="K88" s="35"/>
      <c r="L88" s="35"/>
      <c r="M88" s="35"/>
      <c r="N88" s="35"/>
      <c r="O88" s="35"/>
      <c r="P88" s="35"/>
      <c r="Q88" s="35"/>
      <c r="R88" s="35"/>
      <c r="S88" s="13"/>
      <c r="T88" s="74"/>
      <c r="U88" s="74"/>
      <c r="V88" s="74"/>
      <c r="W88" s="74"/>
      <c r="X88" s="74"/>
      <c r="Y88" s="17"/>
      <c r="Z88" s="88"/>
      <c r="AA88" s="88"/>
      <c r="AB88" s="13"/>
      <c r="AC88" s="74"/>
      <c r="AD88" s="74"/>
      <c r="AE88" s="74"/>
      <c r="AF88" s="74"/>
      <c r="AG88" s="74"/>
      <c r="AH88" s="17"/>
      <c r="AI88" s="17"/>
      <c r="AJ88" s="13"/>
      <c r="AK88" s="74"/>
      <c r="AL88" s="74"/>
      <c r="AM88" s="74"/>
      <c r="AN88" s="74"/>
      <c r="AO88" s="74"/>
      <c r="AP88" s="17"/>
      <c r="AQ88" s="17"/>
      <c r="AR88" s="17"/>
      <c r="AS88" s="74"/>
      <c r="AT88" s="74"/>
      <c r="AU88" s="74"/>
      <c r="AV88" s="74"/>
      <c r="AW88" s="74"/>
      <c r="AX88" s="17"/>
      <c r="AY88" s="17"/>
      <c r="AZ88" s="17"/>
      <c r="BA88" s="74"/>
      <c r="BB88" s="74"/>
      <c r="BC88" s="74"/>
      <c r="BD88" s="74"/>
      <c r="BE88" s="74"/>
      <c r="BF88" s="17"/>
      <c r="BG88" s="40"/>
      <c r="BH88" s="57"/>
      <c r="BI88" s="75"/>
      <c r="BJ88" s="76"/>
      <c r="BK88" s="76"/>
      <c r="BL88" s="76"/>
      <c r="BM88" s="76"/>
      <c r="BN88" s="76"/>
      <c r="BO88" s="13"/>
      <c r="BP88" s="13"/>
      <c r="BQ88" s="13"/>
      <c r="BR88" s="13"/>
      <c r="BS88" s="13"/>
      <c r="BT88" s="13"/>
      <c r="BU88" s="13"/>
      <c r="BV88" s="13"/>
      <c r="BW88" s="13"/>
    </row>
    <row r="89" spans="2:75" ht="12.75" customHeight="1">
      <c r="B89" s="13"/>
      <c r="C89" s="13"/>
      <c r="D89" s="13"/>
      <c r="E89" s="17"/>
      <c r="F89" s="35"/>
      <c r="G89" s="35"/>
      <c r="H89" s="35"/>
      <c r="I89" s="35"/>
      <c r="J89" s="35"/>
      <c r="K89" s="35"/>
      <c r="L89" s="35"/>
      <c r="M89" s="35"/>
      <c r="N89" s="35"/>
      <c r="O89" s="35"/>
      <c r="P89" s="35"/>
      <c r="Q89" s="35"/>
      <c r="R89" s="35"/>
      <c r="S89" s="13"/>
      <c r="T89" s="74"/>
      <c r="U89" s="74"/>
      <c r="V89" s="74"/>
      <c r="W89" s="74"/>
      <c r="X89" s="74"/>
      <c r="Y89" s="17"/>
      <c r="Z89" s="88"/>
      <c r="AA89" s="88"/>
      <c r="AB89" s="13"/>
      <c r="AC89" s="74"/>
      <c r="AD89" s="74"/>
      <c r="AE89" s="74"/>
      <c r="AF89" s="74"/>
      <c r="AG89" s="74"/>
      <c r="AH89" s="17"/>
      <c r="AI89" s="17"/>
      <c r="AJ89" s="13"/>
      <c r="AK89" s="74"/>
      <c r="AL89" s="74"/>
      <c r="AM89" s="74"/>
      <c r="AN89" s="74"/>
      <c r="AO89" s="74"/>
      <c r="AP89" s="17"/>
      <c r="AQ89" s="17"/>
      <c r="AR89" s="17"/>
      <c r="AS89" s="74"/>
      <c r="AT89" s="74"/>
      <c r="AU89" s="74"/>
      <c r="AV89" s="74"/>
      <c r="AW89" s="74"/>
      <c r="AX89" s="17"/>
      <c r="AY89" s="17"/>
      <c r="AZ89" s="17"/>
      <c r="BA89" s="74"/>
      <c r="BB89" s="74"/>
      <c r="BC89" s="74"/>
      <c r="BD89" s="74"/>
      <c r="BE89" s="74"/>
      <c r="BF89" s="17"/>
      <c r="BG89" s="40"/>
      <c r="BH89" s="57"/>
      <c r="BI89" s="75"/>
      <c r="BJ89" s="76"/>
      <c r="BK89" s="76"/>
      <c r="BL89" s="76"/>
      <c r="BM89" s="76"/>
      <c r="BN89" s="76"/>
      <c r="BO89" s="13"/>
      <c r="BP89" s="13"/>
      <c r="BQ89" s="13"/>
      <c r="BR89" s="13"/>
      <c r="BS89" s="13"/>
      <c r="BT89" s="13"/>
      <c r="BU89" s="13"/>
      <c r="BV89" s="13"/>
      <c r="BW89" s="13"/>
    </row>
    <row r="90" spans="2:75" ht="12.75" customHeight="1">
      <c r="B90" s="13"/>
      <c r="C90" s="13"/>
      <c r="D90" s="13"/>
      <c r="E90" s="17"/>
      <c r="F90" s="35"/>
      <c r="G90" s="35"/>
      <c r="H90" s="35"/>
      <c r="I90" s="35"/>
      <c r="J90" s="35"/>
      <c r="K90" s="35"/>
      <c r="L90" s="35"/>
      <c r="M90" s="35"/>
      <c r="N90" s="35"/>
      <c r="O90" s="35"/>
      <c r="P90" s="35"/>
      <c r="Q90" s="35"/>
      <c r="R90" s="35"/>
      <c r="S90" s="13"/>
      <c r="T90" s="74"/>
      <c r="U90" s="74"/>
      <c r="V90" s="74"/>
      <c r="W90" s="74"/>
      <c r="X90" s="74"/>
      <c r="Y90" s="17"/>
      <c r="Z90" s="88"/>
      <c r="AA90" s="88"/>
      <c r="AB90" s="13"/>
      <c r="AC90" s="74"/>
      <c r="AD90" s="74"/>
      <c r="AE90" s="74"/>
      <c r="AF90" s="74"/>
      <c r="AG90" s="74"/>
      <c r="AH90" s="17"/>
      <c r="AI90" s="17"/>
      <c r="AJ90" s="13"/>
      <c r="AK90" s="74"/>
      <c r="AL90" s="74"/>
      <c r="AM90" s="74"/>
      <c r="AN90" s="74"/>
      <c r="AO90" s="74"/>
      <c r="AP90" s="17"/>
      <c r="AQ90" s="17"/>
      <c r="AR90" s="17"/>
      <c r="AS90" s="74"/>
      <c r="AT90" s="74"/>
      <c r="AU90" s="74"/>
      <c r="AV90" s="74"/>
      <c r="AW90" s="74"/>
      <c r="AX90" s="17"/>
      <c r="AY90" s="17"/>
      <c r="AZ90" s="17"/>
      <c r="BA90" s="74"/>
      <c r="BB90" s="74"/>
      <c r="BC90" s="74"/>
      <c r="BD90" s="74"/>
      <c r="BE90" s="74"/>
      <c r="BF90" s="17"/>
      <c r="BG90" s="40"/>
      <c r="BH90" s="57"/>
      <c r="BI90" s="75"/>
      <c r="BJ90" s="76"/>
      <c r="BK90" s="76"/>
      <c r="BL90" s="76"/>
      <c r="BM90" s="76"/>
      <c r="BN90" s="76"/>
      <c r="BO90" s="13"/>
      <c r="BP90" s="13"/>
      <c r="BQ90" s="13"/>
      <c r="BR90" s="13"/>
      <c r="BS90" s="13"/>
      <c r="BT90" s="13"/>
      <c r="BU90" s="13"/>
      <c r="BV90" s="13"/>
      <c r="BW90" s="13"/>
    </row>
    <row r="91" spans="2:75" ht="12.75" customHeight="1">
      <c r="B91" s="13"/>
      <c r="C91" s="13"/>
      <c r="D91" s="13"/>
      <c r="E91" s="17"/>
      <c r="F91" s="35"/>
      <c r="G91" s="35"/>
      <c r="H91" s="35"/>
      <c r="I91" s="35"/>
      <c r="J91" s="35"/>
      <c r="K91" s="35"/>
      <c r="L91" s="35"/>
      <c r="M91" s="35"/>
      <c r="N91" s="35"/>
      <c r="O91" s="35"/>
      <c r="P91" s="35"/>
      <c r="Q91" s="35"/>
      <c r="R91" s="35"/>
      <c r="S91" s="13"/>
      <c r="T91" s="74"/>
      <c r="U91" s="74"/>
      <c r="V91" s="74"/>
      <c r="W91" s="74"/>
      <c r="X91" s="74"/>
      <c r="Y91" s="17"/>
      <c r="Z91" s="88"/>
      <c r="AA91" s="88"/>
      <c r="AB91" s="13"/>
      <c r="AC91" s="74"/>
      <c r="AD91" s="74"/>
      <c r="AE91" s="74"/>
      <c r="AF91" s="74"/>
      <c r="AG91" s="74"/>
      <c r="AH91" s="17"/>
      <c r="AI91" s="17"/>
      <c r="AJ91" s="13"/>
      <c r="AK91" s="74"/>
      <c r="AL91" s="74"/>
      <c r="AM91" s="74"/>
      <c r="AN91" s="74"/>
      <c r="AO91" s="74"/>
      <c r="AP91" s="17"/>
      <c r="AQ91" s="17"/>
      <c r="AR91" s="17"/>
      <c r="AS91" s="74"/>
      <c r="AT91" s="74"/>
      <c r="AU91" s="74"/>
      <c r="AV91" s="74"/>
      <c r="AW91" s="74"/>
      <c r="AX91" s="17"/>
      <c r="AY91" s="17"/>
      <c r="AZ91" s="17"/>
      <c r="BA91" s="74"/>
      <c r="BB91" s="74"/>
      <c r="BC91" s="74"/>
      <c r="BD91" s="74"/>
      <c r="BE91" s="74"/>
      <c r="BF91" s="17"/>
      <c r="BG91" s="40"/>
      <c r="BH91" s="57"/>
      <c r="BI91" s="75"/>
      <c r="BJ91" s="76"/>
      <c r="BK91" s="76"/>
      <c r="BL91" s="76"/>
      <c r="BM91" s="76"/>
      <c r="BN91" s="76"/>
      <c r="BO91" s="13"/>
      <c r="BP91" s="13"/>
      <c r="BQ91" s="13"/>
      <c r="BR91" s="13"/>
      <c r="BS91" s="13"/>
      <c r="BT91" s="13"/>
      <c r="BU91" s="13"/>
      <c r="BV91" s="13"/>
      <c r="BW91" s="13"/>
    </row>
    <row r="92" spans="2:75" ht="12.75" customHeight="1">
      <c r="B92" s="13"/>
      <c r="C92" s="13"/>
      <c r="D92" s="13"/>
      <c r="E92" s="17"/>
      <c r="F92" s="35"/>
      <c r="G92" s="35"/>
      <c r="H92" s="35"/>
      <c r="I92" s="35"/>
      <c r="J92" s="35"/>
      <c r="K92" s="35"/>
      <c r="L92" s="35"/>
      <c r="M92" s="35"/>
      <c r="N92" s="35"/>
      <c r="O92" s="35"/>
      <c r="P92" s="35"/>
      <c r="Q92" s="35"/>
      <c r="R92" s="35"/>
      <c r="S92" s="13"/>
      <c r="T92" s="74"/>
      <c r="U92" s="74"/>
      <c r="V92" s="74"/>
      <c r="W92" s="74"/>
      <c r="X92" s="74"/>
      <c r="Y92" s="17"/>
      <c r="Z92" s="88"/>
      <c r="AA92" s="88"/>
      <c r="AB92" s="13"/>
      <c r="AC92" s="74"/>
      <c r="AD92" s="74"/>
      <c r="AE92" s="74"/>
      <c r="AF92" s="74"/>
      <c r="AG92" s="74"/>
      <c r="AH92" s="17"/>
      <c r="AI92" s="17"/>
      <c r="AJ92" s="13"/>
      <c r="AK92" s="74"/>
      <c r="AL92" s="74"/>
      <c r="AM92" s="74"/>
      <c r="AN92" s="74"/>
      <c r="AO92" s="74"/>
      <c r="AP92" s="17"/>
      <c r="AQ92" s="17"/>
      <c r="AR92" s="17"/>
      <c r="AS92" s="74"/>
      <c r="AT92" s="74"/>
      <c r="AU92" s="74"/>
      <c r="AV92" s="74"/>
      <c r="AW92" s="74"/>
      <c r="AX92" s="17"/>
      <c r="AY92" s="17"/>
      <c r="AZ92" s="17"/>
      <c r="BA92" s="74"/>
      <c r="BB92" s="74"/>
      <c r="BC92" s="74"/>
      <c r="BD92" s="74"/>
      <c r="BE92" s="74"/>
      <c r="BF92" s="17"/>
      <c r="BG92" s="40"/>
      <c r="BH92" s="57"/>
      <c r="BI92" s="75"/>
      <c r="BJ92" s="76"/>
      <c r="BK92" s="76"/>
      <c r="BL92" s="76"/>
      <c r="BM92" s="76"/>
      <c r="BN92" s="76"/>
      <c r="BO92" s="13"/>
      <c r="BP92" s="13"/>
      <c r="BQ92" s="13"/>
      <c r="BR92" s="13"/>
      <c r="BS92" s="13"/>
      <c r="BT92" s="13"/>
      <c r="BU92" s="13"/>
      <c r="BV92" s="13"/>
      <c r="BW92" s="13"/>
    </row>
    <row r="93" spans="2:75" ht="12.75" customHeight="1">
      <c r="B93" s="13"/>
      <c r="C93" s="13"/>
      <c r="D93" s="13"/>
      <c r="E93" s="17"/>
      <c r="F93" s="35"/>
      <c r="G93" s="35"/>
      <c r="H93" s="35"/>
      <c r="I93" s="35"/>
      <c r="J93" s="35"/>
      <c r="K93" s="35"/>
      <c r="L93" s="35"/>
      <c r="M93" s="35"/>
      <c r="N93" s="35"/>
      <c r="O93" s="35"/>
      <c r="P93" s="35"/>
      <c r="Q93" s="35"/>
      <c r="R93" s="35"/>
      <c r="S93" s="13"/>
      <c r="T93" s="74"/>
      <c r="U93" s="74"/>
      <c r="V93" s="74"/>
      <c r="W93" s="74"/>
      <c r="X93" s="74"/>
      <c r="Y93" s="17"/>
      <c r="Z93" s="88"/>
      <c r="AA93" s="88"/>
      <c r="AB93" s="13"/>
      <c r="AC93" s="74"/>
      <c r="AD93" s="74"/>
      <c r="AE93" s="74"/>
      <c r="AF93" s="74"/>
      <c r="AG93" s="74"/>
      <c r="AH93" s="17"/>
      <c r="AI93" s="17"/>
      <c r="AJ93" s="13"/>
      <c r="AK93" s="74"/>
      <c r="AL93" s="74"/>
      <c r="AM93" s="74"/>
      <c r="AN93" s="74"/>
      <c r="AO93" s="74"/>
      <c r="AP93" s="17"/>
      <c r="AQ93" s="17"/>
      <c r="AR93" s="17"/>
      <c r="AS93" s="74"/>
      <c r="AT93" s="74"/>
      <c r="AU93" s="74"/>
      <c r="AV93" s="74"/>
      <c r="AW93" s="74"/>
      <c r="AX93" s="17"/>
      <c r="AY93" s="17"/>
      <c r="AZ93" s="17"/>
      <c r="BA93" s="74"/>
      <c r="BB93" s="74"/>
      <c r="BC93" s="74"/>
      <c r="BD93" s="74"/>
      <c r="BE93" s="74"/>
      <c r="BF93" s="17"/>
      <c r="BG93" s="40"/>
      <c r="BH93" s="57"/>
      <c r="BI93" s="75"/>
      <c r="BJ93" s="76"/>
      <c r="BK93" s="76"/>
      <c r="BL93" s="76"/>
      <c r="BM93" s="76"/>
      <c r="BN93" s="76"/>
      <c r="BO93" s="13"/>
      <c r="BP93" s="13"/>
      <c r="BQ93" s="13"/>
      <c r="BR93" s="13"/>
      <c r="BS93" s="13"/>
      <c r="BT93" s="13"/>
      <c r="BU93" s="13"/>
      <c r="BV93" s="13"/>
      <c r="BW93" s="13"/>
    </row>
    <row r="94" spans="2:75" ht="12.75" customHeight="1">
      <c r="B94" s="13"/>
      <c r="C94" s="13"/>
      <c r="D94" s="13"/>
      <c r="E94" s="17"/>
      <c r="F94" s="35"/>
      <c r="G94" s="35"/>
      <c r="H94" s="35"/>
      <c r="I94" s="35"/>
      <c r="J94" s="35"/>
      <c r="K94" s="35"/>
      <c r="L94" s="35"/>
      <c r="M94" s="35"/>
      <c r="N94" s="35"/>
      <c r="O94" s="35"/>
      <c r="P94" s="35"/>
      <c r="Q94" s="35"/>
      <c r="R94" s="35"/>
      <c r="S94" s="13"/>
      <c r="T94" s="74"/>
      <c r="U94" s="74"/>
      <c r="V94" s="74"/>
      <c r="W94" s="74"/>
      <c r="X94" s="74"/>
      <c r="Y94" s="17"/>
      <c r="Z94" s="88"/>
      <c r="AA94" s="88"/>
      <c r="AB94" s="13"/>
      <c r="AC94" s="74"/>
      <c r="AD94" s="74"/>
      <c r="AE94" s="74"/>
      <c r="AF94" s="74"/>
      <c r="AG94" s="74"/>
      <c r="AH94" s="17"/>
      <c r="AI94" s="17"/>
      <c r="AJ94" s="13"/>
      <c r="AK94" s="74"/>
      <c r="AL94" s="74"/>
      <c r="AM94" s="74"/>
      <c r="AN94" s="74"/>
      <c r="AO94" s="74"/>
      <c r="AP94" s="17"/>
      <c r="AQ94" s="17"/>
      <c r="AR94" s="17"/>
      <c r="AS94" s="74"/>
      <c r="AT94" s="74"/>
      <c r="AU94" s="74"/>
      <c r="AV94" s="74"/>
      <c r="AW94" s="74"/>
      <c r="AX94" s="17"/>
      <c r="AY94" s="17"/>
      <c r="AZ94" s="17"/>
      <c r="BA94" s="74"/>
      <c r="BB94" s="74"/>
      <c r="BC94" s="74"/>
      <c r="BD94" s="74"/>
      <c r="BE94" s="74"/>
      <c r="BF94" s="17"/>
      <c r="BG94" s="40"/>
      <c r="BH94" s="57"/>
      <c r="BI94" s="75"/>
      <c r="BJ94" s="76"/>
      <c r="BK94" s="76"/>
      <c r="BL94" s="76"/>
      <c r="BM94" s="76"/>
      <c r="BN94" s="76"/>
      <c r="BO94" s="13"/>
      <c r="BP94" s="13"/>
      <c r="BQ94" s="13"/>
      <c r="BR94" s="13"/>
      <c r="BS94" s="13"/>
      <c r="BT94" s="13"/>
      <c r="BU94" s="13"/>
      <c r="BV94" s="13"/>
      <c r="BW94" s="13"/>
    </row>
    <row r="95" spans="2:75" ht="12.75" customHeight="1">
      <c r="B95" s="13"/>
      <c r="C95" s="13"/>
      <c r="D95" s="13"/>
      <c r="E95" s="17"/>
      <c r="F95" s="35"/>
      <c r="G95" s="35"/>
      <c r="H95" s="35"/>
      <c r="I95" s="35"/>
      <c r="J95" s="35"/>
      <c r="K95" s="35"/>
      <c r="L95" s="35"/>
      <c r="M95" s="35"/>
      <c r="N95" s="35"/>
      <c r="O95" s="35"/>
      <c r="P95" s="35"/>
      <c r="Q95" s="35"/>
      <c r="R95" s="35"/>
      <c r="S95" s="13"/>
      <c r="T95" s="74"/>
      <c r="U95" s="74"/>
      <c r="V95" s="74"/>
      <c r="W95" s="74"/>
      <c r="X95" s="74"/>
      <c r="Y95" s="17"/>
      <c r="Z95" s="88"/>
      <c r="AA95" s="88"/>
      <c r="AB95" s="13"/>
      <c r="AC95" s="74"/>
      <c r="AD95" s="74"/>
      <c r="AE95" s="74"/>
      <c r="AF95" s="74"/>
      <c r="AG95" s="74"/>
      <c r="AH95" s="17"/>
      <c r="AI95" s="17"/>
      <c r="AJ95" s="13"/>
      <c r="AK95" s="74"/>
      <c r="AL95" s="74"/>
      <c r="AM95" s="74"/>
      <c r="AN95" s="74"/>
      <c r="AO95" s="74"/>
      <c r="AP95" s="17"/>
      <c r="AQ95" s="17"/>
      <c r="AR95" s="17"/>
      <c r="AS95" s="74"/>
      <c r="AT95" s="74"/>
      <c r="AU95" s="74"/>
      <c r="AV95" s="74"/>
      <c r="AW95" s="74"/>
      <c r="AX95" s="17"/>
      <c r="AY95" s="17"/>
      <c r="AZ95" s="17"/>
      <c r="BA95" s="74"/>
      <c r="BB95" s="74"/>
      <c r="BC95" s="74"/>
      <c r="BD95" s="74"/>
      <c r="BE95" s="74"/>
      <c r="BF95" s="17"/>
      <c r="BG95" s="40"/>
      <c r="BH95" s="57"/>
      <c r="BI95" s="75"/>
      <c r="BJ95" s="76"/>
      <c r="BK95" s="76"/>
      <c r="BL95" s="76"/>
      <c r="BM95" s="76"/>
      <c r="BN95" s="76"/>
      <c r="BO95" s="13"/>
      <c r="BP95" s="13"/>
      <c r="BQ95" s="13"/>
      <c r="BR95" s="13"/>
      <c r="BS95" s="13"/>
      <c r="BT95" s="13"/>
      <c r="BU95" s="13"/>
      <c r="BV95" s="13"/>
      <c r="BW95" s="13"/>
    </row>
    <row r="96" spans="5:66" s="13" customFormat="1" ht="12.75" customHeight="1">
      <c r="E96" s="17"/>
      <c r="F96" s="35"/>
      <c r="G96" s="35"/>
      <c r="H96" s="35"/>
      <c r="I96" s="35"/>
      <c r="J96" s="35"/>
      <c r="K96" s="35"/>
      <c r="L96" s="35"/>
      <c r="M96" s="35"/>
      <c r="N96" s="35"/>
      <c r="O96" s="35"/>
      <c r="P96" s="35"/>
      <c r="Q96" s="35"/>
      <c r="R96" s="35"/>
      <c r="T96" s="74"/>
      <c r="U96" s="74"/>
      <c r="V96" s="74"/>
      <c r="W96" s="74"/>
      <c r="X96" s="74"/>
      <c r="Y96" s="17"/>
      <c r="Z96" s="88"/>
      <c r="AA96" s="88"/>
      <c r="AC96" s="74"/>
      <c r="AD96" s="74"/>
      <c r="AE96" s="74"/>
      <c r="AF96" s="74"/>
      <c r="AG96" s="74"/>
      <c r="AH96" s="17"/>
      <c r="AI96" s="17"/>
      <c r="AK96" s="74"/>
      <c r="AL96" s="74"/>
      <c r="AM96" s="74"/>
      <c r="AN96" s="74"/>
      <c r="AO96" s="74"/>
      <c r="AP96" s="17"/>
      <c r="AQ96" s="17"/>
      <c r="AR96" s="17"/>
      <c r="AS96" s="74"/>
      <c r="AT96" s="74"/>
      <c r="AU96" s="74"/>
      <c r="AV96" s="74"/>
      <c r="AW96" s="74"/>
      <c r="AX96" s="17"/>
      <c r="AY96" s="17"/>
      <c r="AZ96" s="17"/>
      <c r="BA96" s="74"/>
      <c r="BB96" s="74"/>
      <c r="BC96" s="74"/>
      <c r="BD96" s="74"/>
      <c r="BE96" s="74"/>
      <c r="BF96" s="17"/>
      <c r="BG96" s="17"/>
      <c r="BH96" s="17"/>
      <c r="BI96" s="76"/>
      <c r="BJ96" s="76"/>
      <c r="BK96" s="76"/>
      <c r="BL96" s="76"/>
      <c r="BM96" s="76"/>
      <c r="BN96" s="76"/>
    </row>
    <row r="97" spans="5:66" s="13" customFormat="1" ht="12.75" customHeight="1">
      <c r="E97" s="17"/>
      <c r="F97" s="35"/>
      <c r="G97" s="35"/>
      <c r="H97" s="35"/>
      <c r="I97" s="35"/>
      <c r="J97" s="35"/>
      <c r="K97" s="35"/>
      <c r="L97" s="35"/>
      <c r="M97" s="35"/>
      <c r="N97" s="35"/>
      <c r="O97" s="35"/>
      <c r="P97" s="35"/>
      <c r="Q97" s="35"/>
      <c r="R97" s="35"/>
      <c r="T97" s="74"/>
      <c r="U97" s="74"/>
      <c r="V97" s="74"/>
      <c r="W97" s="74"/>
      <c r="X97" s="74"/>
      <c r="Y97" s="17"/>
      <c r="Z97" s="88"/>
      <c r="AA97" s="88"/>
      <c r="AC97" s="74"/>
      <c r="AD97" s="74"/>
      <c r="AE97" s="74"/>
      <c r="AF97" s="74"/>
      <c r="AG97" s="74"/>
      <c r="AH97" s="17"/>
      <c r="AI97" s="17"/>
      <c r="AK97" s="74"/>
      <c r="AL97" s="74"/>
      <c r="AM97" s="74"/>
      <c r="AN97" s="74"/>
      <c r="AO97" s="74"/>
      <c r="AP97" s="17"/>
      <c r="AQ97" s="17"/>
      <c r="AR97" s="17"/>
      <c r="AS97" s="74"/>
      <c r="AT97" s="74"/>
      <c r="AU97" s="74"/>
      <c r="AV97" s="74"/>
      <c r="AW97" s="74"/>
      <c r="AX97" s="17"/>
      <c r="AY97" s="17"/>
      <c r="AZ97" s="17"/>
      <c r="BA97" s="74"/>
      <c r="BB97" s="74"/>
      <c r="BC97" s="74"/>
      <c r="BD97" s="74"/>
      <c r="BE97" s="74"/>
      <c r="BF97" s="17"/>
      <c r="BG97" s="17"/>
      <c r="BH97" s="17"/>
      <c r="BI97" s="76"/>
      <c r="BJ97" s="76"/>
      <c r="BK97" s="76"/>
      <c r="BL97" s="76"/>
      <c r="BM97" s="76"/>
      <c r="BN97" s="76"/>
    </row>
    <row r="98" spans="5:66" s="13" customFormat="1" ht="12.75" customHeight="1">
      <c r="E98" s="17"/>
      <c r="F98" s="35"/>
      <c r="G98" s="35"/>
      <c r="H98" s="35"/>
      <c r="I98" s="35"/>
      <c r="J98" s="35"/>
      <c r="K98" s="35"/>
      <c r="L98" s="35"/>
      <c r="M98" s="35"/>
      <c r="N98" s="35"/>
      <c r="O98" s="35"/>
      <c r="P98" s="35"/>
      <c r="Q98" s="35"/>
      <c r="R98" s="35"/>
      <c r="T98" s="74"/>
      <c r="U98" s="74"/>
      <c r="V98" s="74"/>
      <c r="W98" s="74"/>
      <c r="X98" s="74"/>
      <c r="Y98" s="17"/>
      <c r="Z98" s="88"/>
      <c r="AA98" s="88"/>
      <c r="AC98" s="74"/>
      <c r="AD98" s="74"/>
      <c r="AE98" s="74"/>
      <c r="AF98" s="74"/>
      <c r="AG98" s="74"/>
      <c r="AH98" s="17"/>
      <c r="AI98" s="17"/>
      <c r="AK98" s="74"/>
      <c r="AL98" s="74"/>
      <c r="AM98" s="74"/>
      <c r="AN98" s="74"/>
      <c r="AO98" s="74"/>
      <c r="AP98" s="17"/>
      <c r="AQ98" s="17"/>
      <c r="AR98" s="17"/>
      <c r="AS98" s="74"/>
      <c r="AT98" s="74"/>
      <c r="AU98" s="74"/>
      <c r="AV98" s="74"/>
      <c r="AW98" s="74"/>
      <c r="AX98" s="17"/>
      <c r="AY98" s="17"/>
      <c r="AZ98" s="17"/>
      <c r="BA98" s="74"/>
      <c r="BB98" s="74"/>
      <c r="BC98" s="74"/>
      <c r="BD98" s="74"/>
      <c r="BE98" s="74"/>
      <c r="BF98" s="17"/>
      <c r="BG98" s="17"/>
      <c r="BH98" s="17"/>
      <c r="BI98" s="76"/>
      <c r="BJ98" s="76"/>
      <c r="BK98" s="76"/>
      <c r="BL98" s="76"/>
      <c r="BM98" s="76"/>
      <c r="BN98" s="76"/>
    </row>
    <row r="99" spans="5:66" s="13" customFormat="1" ht="12.75" customHeight="1">
      <c r="E99" s="17"/>
      <c r="F99" s="35"/>
      <c r="G99" s="35"/>
      <c r="H99" s="35"/>
      <c r="I99" s="35"/>
      <c r="J99" s="35"/>
      <c r="K99" s="35"/>
      <c r="L99" s="35"/>
      <c r="M99" s="35"/>
      <c r="N99" s="35"/>
      <c r="O99" s="35"/>
      <c r="P99" s="35"/>
      <c r="Q99" s="35"/>
      <c r="R99" s="35"/>
      <c r="T99" s="74"/>
      <c r="U99" s="74"/>
      <c r="V99" s="74"/>
      <c r="W99" s="74"/>
      <c r="X99" s="74"/>
      <c r="Y99" s="17"/>
      <c r="Z99" s="88"/>
      <c r="AA99" s="88"/>
      <c r="AC99" s="74"/>
      <c r="AD99" s="74"/>
      <c r="AE99" s="74"/>
      <c r="AF99" s="74"/>
      <c r="AG99" s="74"/>
      <c r="AH99" s="17"/>
      <c r="AI99" s="17"/>
      <c r="AK99" s="74"/>
      <c r="AL99" s="74"/>
      <c r="AM99" s="74"/>
      <c r="AN99" s="74"/>
      <c r="AO99" s="74"/>
      <c r="AP99" s="17"/>
      <c r="AQ99" s="17"/>
      <c r="AR99" s="17"/>
      <c r="AS99" s="74"/>
      <c r="AT99" s="74"/>
      <c r="AU99" s="74"/>
      <c r="AV99" s="74"/>
      <c r="AW99" s="74"/>
      <c r="AX99" s="17"/>
      <c r="AY99" s="17"/>
      <c r="AZ99" s="17"/>
      <c r="BA99" s="74"/>
      <c r="BB99" s="74"/>
      <c r="BC99" s="74"/>
      <c r="BD99" s="74"/>
      <c r="BE99" s="74"/>
      <c r="BF99" s="17"/>
      <c r="BG99" s="17"/>
      <c r="BH99" s="17"/>
      <c r="BI99" s="76"/>
      <c r="BJ99" s="76"/>
      <c r="BK99" s="76"/>
      <c r="BL99" s="76"/>
      <c r="BM99" s="76"/>
      <c r="BN99" s="76"/>
    </row>
    <row r="100" spans="5:66" s="13" customFormat="1" ht="12.75" customHeight="1">
      <c r="E100" s="17"/>
      <c r="F100" s="35"/>
      <c r="G100" s="35"/>
      <c r="H100" s="35"/>
      <c r="I100" s="35"/>
      <c r="J100" s="35"/>
      <c r="K100" s="35"/>
      <c r="L100" s="35"/>
      <c r="M100" s="35"/>
      <c r="N100" s="35"/>
      <c r="O100" s="35"/>
      <c r="P100" s="35"/>
      <c r="Q100" s="35"/>
      <c r="R100" s="35"/>
      <c r="T100" s="74"/>
      <c r="U100" s="74"/>
      <c r="V100" s="74"/>
      <c r="W100" s="74"/>
      <c r="X100" s="74"/>
      <c r="Y100" s="17"/>
      <c r="Z100" s="88"/>
      <c r="AA100" s="88"/>
      <c r="AC100" s="74"/>
      <c r="AD100" s="74"/>
      <c r="AE100" s="74"/>
      <c r="AF100" s="74"/>
      <c r="AG100" s="74"/>
      <c r="AH100" s="17"/>
      <c r="AI100" s="17"/>
      <c r="AK100" s="74"/>
      <c r="AL100" s="74"/>
      <c r="AM100" s="74"/>
      <c r="AN100" s="74"/>
      <c r="AO100" s="74"/>
      <c r="AP100" s="17"/>
      <c r="AQ100" s="17"/>
      <c r="AR100" s="17"/>
      <c r="AS100" s="74"/>
      <c r="AT100" s="74"/>
      <c r="AU100" s="74"/>
      <c r="AV100" s="74"/>
      <c r="AW100" s="74"/>
      <c r="AX100" s="17"/>
      <c r="AY100" s="17"/>
      <c r="AZ100" s="17"/>
      <c r="BA100" s="74"/>
      <c r="BB100" s="74"/>
      <c r="BC100" s="74"/>
      <c r="BD100" s="74"/>
      <c r="BE100" s="74"/>
      <c r="BF100" s="17"/>
      <c r="BG100" s="17"/>
      <c r="BH100" s="17"/>
      <c r="BI100" s="76"/>
      <c r="BJ100" s="76"/>
      <c r="BK100" s="76"/>
      <c r="BL100" s="76"/>
      <c r="BM100" s="76"/>
      <c r="BN100" s="76"/>
    </row>
    <row r="101" spans="5:66" s="13" customFormat="1" ht="12.75" customHeight="1">
      <c r="E101" s="17"/>
      <c r="F101" s="35"/>
      <c r="G101" s="35"/>
      <c r="H101" s="35"/>
      <c r="I101" s="35"/>
      <c r="J101" s="35"/>
      <c r="K101" s="35"/>
      <c r="L101" s="35"/>
      <c r="M101" s="35"/>
      <c r="N101" s="35"/>
      <c r="O101" s="35"/>
      <c r="P101" s="35"/>
      <c r="Q101" s="35"/>
      <c r="R101" s="35"/>
      <c r="T101" s="74"/>
      <c r="U101" s="74"/>
      <c r="V101" s="74"/>
      <c r="W101" s="74"/>
      <c r="X101" s="74"/>
      <c r="Y101" s="17"/>
      <c r="Z101" s="88"/>
      <c r="AA101" s="88"/>
      <c r="AC101" s="74"/>
      <c r="AD101" s="74"/>
      <c r="AE101" s="74"/>
      <c r="AF101" s="74"/>
      <c r="AG101" s="74"/>
      <c r="AH101" s="17"/>
      <c r="AI101" s="17"/>
      <c r="AK101" s="74"/>
      <c r="AL101" s="74"/>
      <c r="AM101" s="74"/>
      <c r="AN101" s="74"/>
      <c r="AO101" s="74"/>
      <c r="AP101" s="17"/>
      <c r="AQ101" s="17"/>
      <c r="AR101" s="17"/>
      <c r="AS101" s="74"/>
      <c r="AT101" s="74"/>
      <c r="AU101" s="74"/>
      <c r="AV101" s="74"/>
      <c r="AW101" s="74"/>
      <c r="AX101" s="17"/>
      <c r="AY101" s="17"/>
      <c r="AZ101" s="17"/>
      <c r="BA101" s="74"/>
      <c r="BB101" s="74"/>
      <c r="BC101" s="74"/>
      <c r="BD101" s="74"/>
      <c r="BE101" s="74"/>
      <c r="BF101" s="17"/>
      <c r="BG101" s="17"/>
      <c r="BH101" s="17"/>
      <c r="BI101" s="76"/>
      <c r="BJ101" s="76"/>
      <c r="BK101" s="76"/>
      <c r="BL101" s="76"/>
      <c r="BM101" s="76"/>
      <c r="BN101" s="76"/>
    </row>
    <row r="102" spans="5:66" s="13" customFormat="1" ht="12.75" customHeight="1">
      <c r="E102" s="17"/>
      <c r="F102" s="35"/>
      <c r="G102" s="35"/>
      <c r="H102" s="35"/>
      <c r="I102" s="35"/>
      <c r="J102" s="35"/>
      <c r="K102" s="35"/>
      <c r="L102" s="35"/>
      <c r="M102" s="35"/>
      <c r="N102" s="35"/>
      <c r="O102" s="35"/>
      <c r="P102" s="35"/>
      <c r="Q102" s="35"/>
      <c r="R102" s="35"/>
      <c r="T102" s="74"/>
      <c r="U102" s="74"/>
      <c r="V102" s="74"/>
      <c r="W102" s="74"/>
      <c r="X102" s="74"/>
      <c r="Y102" s="17"/>
      <c r="Z102" s="88"/>
      <c r="AA102" s="88"/>
      <c r="AC102" s="74"/>
      <c r="AD102" s="74"/>
      <c r="AE102" s="74"/>
      <c r="AF102" s="74"/>
      <c r="AG102" s="74"/>
      <c r="AH102" s="17"/>
      <c r="AI102" s="17"/>
      <c r="AK102" s="74"/>
      <c r="AL102" s="74"/>
      <c r="AM102" s="74"/>
      <c r="AN102" s="74"/>
      <c r="AO102" s="74"/>
      <c r="AP102" s="17"/>
      <c r="AQ102" s="17"/>
      <c r="AR102" s="17"/>
      <c r="AS102" s="74"/>
      <c r="AT102" s="74"/>
      <c r="AU102" s="74"/>
      <c r="AV102" s="74"/>
      <c r="AW102" s="74"/>
      <c r="AX102" s="17"/>
      <c r="AY102" s="17"/>
      <c r="AZ102" s="17"/>
      <c r="BA102" s="74"/>
      <c r="BB102" s="74"/>
      <c r="BC102" s="74"/>
      <c r="BD102" s="74"/>
      <c r="BE102" s="74"/>
      <c r="BF102" s="17"/>
      <c r="BG102" s="17"/>
      <c r="BH102" s="17"/>
      <c r="BI102" s="76"/>
      <c r="BJ102" s="76"/>
      <c r="BK102" s="76"/>
      <c r="BL102" s="76"/>
      <c r="BM102" s="76"/>
      <c r="BN102" s="76"/>
    </row>
    <row r="103" spans="29:69" s="13" customFormat="1" ht="12.75">
      <c r="AC103" s="221"/>
      <c r="AD103" s="221"/>
      <c r="AE103" s="221"/>
      <c r="AF103" s="221"/>
      <c r="AG103" s="221"/>
      <c r="BQ103" s="196"/>
    </row>
    <row r="104" spans="2:73" s="13" customFormat="1" ht="39.75" customHeight="1">
      <c r="B104" s="89"/>
      <c r="C104" s="89"/>
      <c r="D104" s="89"/>
      <c r="E104" s="92"/>
      <c r="BN104" s="222"/>
      <c r="BS104" s="223"/>
      <c r="BT104" s="223"/>
      <c r="BU104" s="223"/>
    </row>
    <row r="105" spans="2:73" s="13" customFormat="1" ht="12.75" customHeight="1">
      <c r="B105" s="69"/>
      <c r="C105" s="69"/>
      <c r="D105" s="69"/>
      <c r="E105" s="94"/>
      <c r="BN105" s="222"/>
      <c r="BS105" s="224"/>
      <c r="BT105" s="224"/>
      <c r="BU105" s="224"/>
    </row>
    <row r="106" spans="2:73" s="13" customFormat="1" ht="12.75">
      <c r="B106" s="91"/>
      <c r="C106" s="91"/>
      <c r="D106" s="91"/>
      <c r="AA106" s="93"/>
      <c r="AC106" s="93"/>
      <c r="AD106" s="93"/>
      <c r="AE106" s="93"/>
      <c r="AF106" s="93"/>
      <c r="AG106" s="93"/>
      <c r="AI106" s="93"/>
      <c r="AS106" s="95"/>
      <c r="AT106" s="95"/>
      <c r="AU106" s="95"/>
      <c r="AV106" s="95"/>
      <c r="AW106" s="95"/>
      <c r="AX106" s="95"/>
      <c r="AY106" s="95"/>
      <c r="BA106" s="95"/>
      <c r="BB106" s="95"/>
      <c r="BC106" s="95"/>
      <c r="BD106" s="95"/>
      <c r="BE106" s="95"/>
      <c r="BG106" s="95"/>
      <c r="BK106" s="93"/>
      <c r="BM106" s="95"/>
      <c r="BN106" s="95"/>
      <c r="BQ106" s="17"/>
      <c r="BS106" s="225"/>
      <c r="BT106" s="95"/>
      <c r="BU106" s="161"/>
    </row>
    <row r="107" spans="1:73" s="13" customFormat="1" ht="12.75">
      <c r="A107" s="12"/>
      <c r="B107" s="91"/>
      <c r="C107" s="91"/>
      <c r="D107" s="91"/>
      <c r="AA107" s="93"/>
      <c r="AC107" s="93"/>
      <c r="AD107" s="93"/>
      <c r="AE107" s="93"/>
      <c r="AF107" s="93"/>
      <c r="AG107" s="93"/>
      <c r="AI107" s="93"/>
      <c r="AS107" s="95"/>
      <c r="AT107" s="95"/>
      <c r="AU107" s="95"/>
      <c r="AV107" s="95"/>
      <c r="AW107" s="95"/>
      <c r="AX107" s="95"/>
      <c r="AY107" s="95"/>
      <c r="BA107" s="95"/>
      <c r="BB107" s="95"/>
      <c r="BC107" s="95"/>
      <c r="BD107" s="95"/>
      <c r="BE107" s="95"/>
      <c r="BG107" s="95"/>
      <c r="BK107" s="93"/>
      <c r="BM107" s="95"/>
      <c r="BN107" s="95"/>
      <c r="BQ107" s="17"/>
      <c r="BS107" s="225"/>
      <c r="BT107" s="95"/>
      <c r="BU107" s="161"/>
    </row>
    <row r="108" spans="1:73" s="13" customFormat="1" ht="12.75">
      <c r="A108" s="12"/>
      <c r="B108" s="91"/>
      <c r="C108" s="91"/>
      <c r="D108" s="91"/>
      <c r="AA108" s="93"/>
      <c r="AC108" s="93"/>
      <c r="AD108" s="93"/>
      <c r="AE108" s="93"/>
      <c r="AF108" s="93"/>
      <c r="AG108" s="93"/>
      <c r="AI108" s="93"/>
      <c r="AS108" s="95"/>
      <c r="AT108" s="95"/>
      <c r="AU108" s="95"/>
      <c r="AV108" s="95"/>
      <c r="AW108" s="95"/>
      <c r="AX108" s="95"/>
      <c r="AY108" s="95"/>
      <c r="BA108" s="95"/>
      <c r="BB108" s="95"/>
      <c r="BC108" s="95"/>
      <c r="BD108" s="95"/>
      <c r="BE108" s="95"/>
      <c r="BG108" s="95"/>
      <c r="BK108" s="93"/>
      <c r="BM108" s="95"/>
      <c r="BN108" s="95"/>
      <c r="BQ108" s="17"/>
      <c r="BS108" s="225"/>
      <c r="BT108" s="95"/>
      <c r="BU108" s="161"/>
    </row>
    <row r="109" spans="1:73" s="13" customFormat="1" ht="12.75">
      <c r="A109" s="12"/>
      <c r="B109" s="91"/>
      <c r="C109" s="91"/>
      <c r="D109" s="91"/>
      <c r="AA109" s="93"/>
      <c r="AC109" s="93"/>
      <c r="AD109" s="93"/>
      <c r="AE109" s="93"/>
      <c r="AF109" s="93"/>
      <c r="AG109" s="93"/>
      <c r="AI109" s="93"/>
      <c r="AS109" s="95"/>
      <c r="AT109" s="95"/>
      <c r="AU109" s="95"/>
      <c r="AV109" s="95"/>
      <c r="AW109" s="95"/>
      <c r="AX109" s="95"/>
      <c r="AY109" s="95"/>
      <c r="BA109" s="95"/>
      <c r="BB109" s="95"/>
      <c r="BC109" s="95"/>
      <c r="BD109" s="95"/>
      <c r="BE109" s="95"/>
      <c r="BG109" s="95"/>
      <c r="BK109" s="93"/>
      <c r="BM109" s="95"/>
      <c r="BN109" s="95"/>
      <c r="BQ109" s="17"/>
      <c r="BS109" s="225"/>
      <c r="BT109" s="95"/>
      <c r="BU109" s="161"/>
    </row>
    <row r="110" spans="1:71" s="13" customFormat="1" ht="12.75">
      <c r="A110" s="12"/>
      <c r="B110" s="91"/>
      <c r="C110" s="91"/>
      <c r="D110" s="91"/>
      <c r="AA110" s="93"/>
      <c r="AC110" s="93"/>
      <c r="AD110" s="93"/>
      <c r="AE110" s="93"/>
      <c r="AF110" s="93"/>
      <c r="AG110" s="93"/>
      <c r="AI110" s="93"/>
      <c r="AS110" s="95"/>
      <c r="AT110" s="95"/>
      <c r="AU110" s="95"/>
      <c r="AV110" s="95"/>
      <c r="AW110" s="95"/>
      <c r="AX110" s="95"/>
      <c r="AY110" s="95"/>
      <c r="BA110" s="95"/>
      <c r="BB110" s="95"/>
      <c r="BC110" s="95"/>
      <c r="BD110" s="95"/>
      <c r="BE110" s="95"/>
      <c r="BG110" s="95"/>
      <c r="BK110" s="93"/>
      <c r="BM110" s="95"/>
      <c r="BN110" s="95"/>
      <c r="BQ110" s="17"/>
      <c r="BS110" s="226"/>
    </row>
    <row r="111" spans="1:73" s="13" customFormat="1" ht="12.75">
      <c r="A111" s="12"/>
      <c r="B111" s="91"/>
      <c r="C111" s="91"/>
      <c r="D111" s="91"/>
      <c r="AA111" s="93"/>
      <c r="AC111" s="93"/>
      <c r="AD111" s="93"/>
      <c r="AE111" s="93"/>
      <c r="AF111" s="93"/>
      <c r="AG111" s="93"/>
      <c r="AI111" s="93"/>
      <c r="AS111" s="95"/>
      <c r="AT111" s="95"/>
      <c r="AU111" s="95"/>
      <c r="AV111" s="95"/>
      <c r="AW111" s="95"/>
      <c r="AX111" s="95"/>
      <c r="AY111" s="95"/>
      <c r="BA111" s="95"/>
      <c r="BB111" s="95"/>
      <c r="BC111" s="95"/>
      <c r="BD111" s="95"/>
      <c r="BE111" s="95"/>
      <c r="BG111" s="95"/>
      <c r="BK111" s="93"/>
      <c r="BM111" s="95"/>
      <c r="BN111" s="95"/>
      <c r="BQ111" s="17"/>
      <c r="BT111" s="12"/>
      <c r="BU111" s="12"/>
    </row>
    <row r="112" spans="1:72" s="13" customFormat="1" ht="12.75">
      <c r="A112" s="12"/>
      <c r="B112" s="91"/>
      <c r="C112" s="91"/>
      <c r="D112" s="91"/>
      <c r="AA112" s="93"/>
      <c r="AC112" s="93"/>
      <c r="AD112" s="93"/>
      <c r="AE112" s="93"/>
      <c r="AF112" s="93"/>
      <c r="AG112" s="93"/>
      <c r="AI112" s="93"/>
      <c r="AS112" s="95"/>
      <c r="AT112" s="95"/>
      <c r="AU112" s="95"/>
      <c r="AV112" s="95"/>
      <c r="AW112" s="95"/>
      <c r="AX112" s="95"/>
      <c r="AY112" s="95"/>
      <c r="BA112" s="95"/>
      <c r="BB112" s="95"/>
      <c r="BC112" s="95"/>
      <c r="BD112" s="95"/>
      <c r="BE112" s="95"/>
      <c r="BG112" s="95"/>
      <c r="BK112" s="93"/>
      <c r="BM112" s="95"/>
      <c r="BN112" s="95"/>
      <c r="BQ112" s="17"/>
      <c r="BT112" s="11"/>
    </row>
    <row r="113" spans="1:72" s="13" customFormat="1" ht="12.75">
      <c r="A113" s="12"/>
      <c r="B113" s="91"/>
      <c r="C113" s="91"/>
      <c r="D113" s="91"/>
      <c r="AA113" s="93"/>
      <c r="AC113" s="93"/>
      <c r="AD113" s="93"/>
      <c r="AE113" s="93"/>
      <c r="AF113" s="93"/>
      <c r="AG113" s="93"/>
      <c r="AI113" s="93"/>
      <c r="AS113" s="95"/>
      <c r="AT113" s="95"/>
      <c r="AU113" s="95"/>
      <c r="AV113" s="95"/>
      <c r="AW113" s="95"/>
      <c r="AX113" s="95"/>
      <c r="AY113" s="95"/>
      <c r="BA113" s="95"/>
      <c r="BB113" s="95"/>
      <c r="BC113" s="95"/>
      <c r="BD113" s="95"/>
      <c r="BE113" s="95"/>
      <c r="BG113" s="95"/>
      <c r="BK113" s="93"/>
      <c r="BM113" s="95"/>
      <c r="BN113" s="95"/>
      <c r="BQ113" s="17"/>
      <c r="BT113" s="12"/>
    </row>
    <row r="114" spans="1:66" s="13" customFormat="1" ht="12.75">
      <c r="A114" s="12"/>
      <c r="B114" s="91"/>
      <c r="C114" s="91"/>
      <c r="D114" s="91"/>
      <c r="AA114" s="93"/>
      <c r="AC114" s="93"/>
      <c r="AD114" s="93"/>
      <c r="AE114" s="93"/>
      <c r="AF114" s="93"/>
      <c r="AG114" s="93"/>
      <c r="AI114" s="93"/>
      <c r="AS114" s="95"/>
      <c r="AT114" s="95"/>
      <c r="AU114" s="95"/>
      <c r="AV114" s="95"/>
      <c r="AW114" s="95"/>
      <c r="AX114" s="95"/>
      <c r="AY114" s="95"/>
      <c r="BA114" s="95"/>
      <c r="BB114" s="95"/>
      <c r="BC114" s="95"/>
      <c r="BD114" s="95"/>
      <c r="BE114" s="95"/>
      <c r="BG114" s="95"/>
      <c r="BK114" s="93"/>
      <c r="BM114" s="95"/>
      <c r="BN114" s="95"/>
    </row>
    <row r="115" spans="1:66" s="13" customFormat="1" ht="12.75">
      <c r="A115" s="12"/>
      <c r="B115" s="91"/>
      <c r="C115" s="91"/>
      <c r="D115" s="91"/>
      <c r="AA115" s="93"/>
      <c r="AC115" s="93"/>
      <c r="AD115" s="93"/>
      <c r="AE115" s="93"/>
      <c r="AF115" s="93"/>
      <c r="AG115" s="93"/>
      <c r="AI115" s="93"/>
      <c r="AS115" s="95"/>
      <c r="AT115" s="95"/>
      <c r="AU115" s="95"/>
      <c r="AV115" s="95"/>
      <c r="AW115" s="95"/>
      <c r="AX115" s="95"/>
      <c r="AY115" s="95"/>
      <c r="BA115" s="95"/>
      <c r="BB115" s="95"/>
      <c r="BC115" s="95"/>
      <c r="BD115" s="95"/>
      <c r="BE115" s="95"/>
      <c r="BG115" s="95"/>
      <c r="BK115" s="93"/>
      <c r="BM115" s="95"/>
      <c r="BN115" s="95"/>
    </row>
    <row r="116" spans="1:66" s="13" customFormat="1" ht="12.75">
      <c r="A116" s="12"/>
      <c r="B116" s="91"/>
      <c r="C116" s="91"/>
      <c r="D116" s="91"/>
      <c r="AA116" s="93"/>
      <c r="AC116" s="93"/>
      <c r="AD116" s="93"/>
      <c r="AE116" s="93"/>
      <c r="AF116" s="93"/>
      <c r="AG116" s="93"/>
      <c r="AI116" s="93"/>
      <c r="AS116" s="95"/>
      <c r="AT116" s="95"/>
      <c r="AU116" s="95"/>
      <c r="AV116" s="95"/>
      <c r="AW116" s="95"/>
      <c r="AX116" s="95"/>
      <c r="AY116" s="95"/>
      <c r="BA116" s="95"/>
      <c r="BB116" s="95"/>
      <c r="BC116" s="95"/>
      <c r="BD116" s="95"/>
      <c r="BE116" s="95"/>
      <c r="BG116" s="95"/>
      <c r="BK116" s="93"/>
      <c r="BM116" s="95"/>
      <c r="BN116" s="95"/>
    </row>
    <row r="117" spans="1:66" s="13" customFormat="1" ht="12.75">
      <c r="A117" s="12"/>
      <c r="B117" s="91"/>
      <c r="C117" s="91"/>
      <c r="D117" s="91"/>
      <c r="AA117" s="93"/>
      <c r="AC117" s="93"/>
      <c r="AD117" s="93"/>
      <c r="AE117" s="93"/>
      <c r="AF117" s="93"/>
      <c r="AG117" s="93"/>
      <c r="AI117" s="93"/>
      <c r="AS117" s="95"/>
      <c r="AT117" s="95"/>
      <c r="AU117" s="95"/>
      <c r="AV117" s="95"/>
      <c r="AW117" s="95"/>
      <c r="AX117" s="95"/>
      <c r="AY117" s="95"/>
      <c r="BA117" s="95"/>
      <c r="BB117" s="95"/>
      <c r="BC117" s="95"/>
      <c r="BD117" s="95"/>
      <c r="BE117" s="95"/>
      <c r="BG117" s="95"/>
      <c r="BK117" s="93"/>
      <c r="BM117" s="95"/>
      <c r="BN117" s="95"/>
    </row>
    <row r="118" spans="1:66" s="13" customFormat="1" ht="12.75">
      <c r="A118" s="12"/>
      <c r="B118" s="91"/>
      <c r="C118" s="91"/>
      <c r="D118" s="91"/>
      <c r="AA118" s="93"/>
      <c r="AC118" s="93"/>
      <c r="AD118" s="93"/>
      <c r="AE118" s="93"/>
      <c r="AF118" s="93"/>
      <c r="AG118" s="93"/>
      <c r="AI118" s="93"/>
      <c r="AS118" s="95"/>
      <c r="AT118" s="95"/>
      <c r="AU118" s="95"/>
      <c r="AV118" s="95"/>
      <c r="AW118" s="95"/>
      <c r="AX118" s="95"/>
      <c r="AY118" s="95"/>
      <c r="BA118" s="95"/>
      <c r="BB118" s="95"/>
      <c r="BC118" s="95"/>
      <c r="BD118" s="95"/>
      <c r="BE118" s="95"/>
      <c r="BG118" s="95"/>
      <c r="BK118" s="93"/>
      <c r="BM118" s="95"/>
      <c r="BN118" s="95"/>
    </row>
    <row r="119" spans="1:66" s="13" customFormat="1" ht="12.75">
      <c r="A119" s="12"/>
      <c r="B119" s="91"/>
      <c r="C119" s="91"/>
      <c r="D119" s="91"/>
      <c r="AA119" s="93"/>
      <c r="AC119" s="93"/>
      <c r="AD119" s="93"/>
      <c r="AE119" s="93"/>
      <c r="AF119" s="93"/>
      <c r="AG119" s="93"/>
      <c r="AI119" s="93"/>
      <c r="AS119" s="95"/>
      <c r="AT119" s="95"/>
      <c r="AU119" s="95"/>
      <c r="AV119" s="95"/>
      <c r="AW119" s="95"/>
      <c r="AX119" s="95"/>
      <c r="AY119" s="95"/>
      <c r="BA119" s="95"/>
      <c r="BB119" s="95"/>
      <c r="BC119" s="95"/>
      <c r="BD119" s="95"/>
      <c r="BE119" s="95"/>
      <c r="BG119" s="95"/>
      <c r="BK119" s="93"/>
      <c r="BM119" s="95"/>
      <c r="BN119" s="95"/>
    </row>
    <row r="120" spans="1:66" s="13" customFormat="1" ht="12.75">
      <c r="A120" s="12"/>
      <c r="B120" s="91"/>
      <c r="C120" s="91"/>
      <c r="D120" s="91"/>
      <c r="AA120" s="93"/>
      <c r="AC120" s="93"/>
      <c r="AD120" s="93"/>
      <c r="AE120" s="93"/>
      <c r="AF120" s="93"/>
      <c r="AG120" s="93"/>
      <c r="AI120" s="93"/>
      <c r="AS120" s="95"/>
      <c r="AT120" s="95"/>
      <c r="AU120" s="95"/>
      <c r="AV120" s="95"/>
      <c r="AW120" s="95"/>
      <c r="AX120" s="95"/>
      <c r="AY120" s="95"/>
      <c r="BA120" s="95"/>
      <c r="BB120" s="95"/>
      <c r="BC120" s="95"/>
      <c r="BD120" s="95"/>
      <c r="BE120" s="95"/>
      <c r="BG120" s="95"/>
      <c r="BK120" s="93"/>
      <c r="BM120" s="95"/>
      <c r="BN120" s="95"/>
    </row>
    <row r="121" spans="1:66" s="13" customFormat="1" ht="12.75">
      <c r="A121" s="12"/>
      <c r="B121" s="91"/>
      <c r="C121" s="91"/>
      <c r="D121" s="91"/>
      <c r="AA121" s="93"/>
      <c r="AC121" s="93"/>
      <c r="AD121" s="93"/>
      <c r="AE121" s="93"/>
      <c r="AF121" s="93"/>
      <c r="AG121" s="93"/>
      <c r="AI121" s="93"/>
      <c r="AS121" s="95"/>
      <c r="AT121" s="95"/>
      <c r="AU121" s="95"/>
      <c r="AV121" s="95"/>
      <c r="AW121" s="95"/>
      <c r="AX121" s="95"/>
      <c r="AY121" s="95"/>
      <c r="BA121" s="95"/>
      <c r="BB121" s="95"/>
      <c r="BC121" s="95"/>
      <c r="BD121" s="95"/>
      <c r="BE121" s="95"/>
      <c r="BG121" s="95"/>
      <c r="BK121" s="93"/>
      <c r="BM121" s="95"/>
      <c r="BN121" s="95"/>
    </row>
    <row r="122" spans="1:66" s="13" customFormat="1" ht="12.75">
      <c r="A122" s="12"/>
      <c r="B122" s="91"/>
      <c r="C122" s="91"/>
      <c r="D122" s="91"/>
      <c r="AA122" s="93"/>
      <c r="AC122" s="93"/>
      <c r="AD122" s="93"/>
      <c r="AE122" s="93"/>
      <c r="AF122" s="93"/>
      <c r="AG122" s="93"/>
      <c r="AI122" s="93"/>
      <c r="AS122" s="95"/>
      <c r="AT122" s="95"/>
      <c r="AU122" s="95"/>
      <c r="AV122" s="95"/>
      <c r="AW122" s="95"/>
      <c r="AX122" s="95"/>
      <c r="AY122" s="95"/>
      <c r="BA122" s="95"/>
      <c r="BB122" s="95"/>
      <c r="BC122" s="95"/>
      <c r="BD122" s="95"/>
      <c r="BE122" s="95"/>
      <c r="BG122" s="95"/>
      <c r="BK122" s="93"/>
      <c r="BM122" s="95"/>
      <c r="BN122" s="95"/>
    </row>
    <row r="123" spans="1:66" s="13" customFormat="1" ht="12.75">
      <c r="A123" s="12"/>
      <c r="B123" s="91"/>
      <c r="C123" s="91"/>
      <c r="D123" s="91"/>
      <c r="AA123" s="93"/>
      <c r="AC123" s="93"/>
      <c r="AD123" s="93"/>
      <c r="AE123" s="93"/>
      <c r="AF123" s="93"/>
      <c r="AG123" s="93"/>
      <c r="AI123" s="93"/>
      <c r="AS123" s="95"/>
      <c r="AT123" s="95"/>
      <c r="AU123" s="95"/>
      <c r="AV123" s="95"/>
      <c r="AW123" s="95"/>
      <c r="AX123" s="95"/>
      <c r="AY123" s="95"/>
      <c r="BA123" s="95"/>
      <c r="BB123" s="95"/>
      <c r="BC123" s="95"/>
      <c r="BD123" s="95"/>
      <c r="BE123" s="95"/>
      <c r="BG123" s="95"/>
      <c r="BK123" s="93"/>
      <c r="BM123" s="95"/>
      <c r="BN123" s="95"/>
    </row>
    <row r="124" spans="1:66" s="13" customFormat="1" ht="12.75">
      <c r="A124" s="12"/>
      <c r="B124" s="91"/>
      <c r="C124" s="91"/>
      <c r="D124" s="91"/>
      <c r="AA124" s="93"/>
      <c r="AC124" s="93"/>
      <c r="AD124" s="93"/>
      <c r="AE124" s="93"/>
      <c r="AF124" s="93"/>
      <c r="AG124" s="93"/>
      <c r="AI124" s="93"/>
      <c r="AS124" s="95"/>
      <c r="AT124" s="95"/>
      <c r="AU124" s="95"/>
      <c r="AV124" s="95"/>
      <c r="AW124" s="95"/>
      <c r="AX124" s="95"/>
      <c r="AY124" s="95"/>
      <c r="BA124" s="95"/>
      <c r="BB124" s="95"/>
      <c r="BC124" s="95"/>
      <c r="BD124" s="95"/>
      <c r="BE124" s="95"/>
      <c r="BG124" s="95"/>
      <c r="BK124" s="93"/>
      <c r="BM124" s="95"/>
      <c r="BN124" s="95"/>
    </row>
    <row r="125" spans="1:66" s="13" customFormat="1" ht="12.75">
      <c r="A125" s="12"/>
      <c r="B125" s="91"/>
      <c r="C125" s="91"/>
      <c r="D125" s="91"/>
      <c r="AA125" s="93"/>
      <c r="AC125" s="93"/>
      <c r="AD125" s="93"/>
      <c r="AE125" s="93"/>
      <c r="AF125" s="93"/>
      <c r="AG125" s="93"/>
      <c r="AI125" s="93"/>
      <c r="AS125" s="95"/>
      <c r="AT125" s="95"/>
      <c r="AU125" s="95"/>
      <c r="AV125" s="95"/>
      <c r="AW125" s="95"/>
      <c r="AX125" s="95"/>
      <c r="AY125" s="95"/>
      <c r="BA125" s="95"/>
      <c r="BB125" s="95"/>
      <c r="BC125" s="95"/>
      <c r="BD125" s="95"/>
      <c r="BE125" s="95"/>
      <c r="BG125" s="95"/>
      <c r="BK125" s="93"/>
      <c r="BM125" s="95"/>
      <c r="BN125" s="95"/>
    </row>
    <row r="126" spans="1:66" s="13" customFormat="1" ht="12.75">
      <c r="A126" s="12"/>
      <c r="B126" s="91"/>
      <c r="C126" s="91"/>
      <c r="D126" s="91"/>
      <c r="AA126" s="93"/>
      <c r="AC126" s="93"/>
      <c r="AD126" s="93"/>
      <c r="AE126" s="93"/>
      <c r="AF126" s="93"/>
      <c r="AG126" s="93"/>
      <c r="AI126" s="93"/>
      <c r="AS126" s="95"/>
      <c r="AT126" s="95"/>
      <c r="AU126" s="95"/>
      <c r="AV126" s="95"/>
      <c r="AW126" s="95"/>
      <c r="AX126" s="95"/>
      <c r="AY126" s="95"/>
      <c r="BA126" s="95"/>
      <c r="BB126" s="95"/>
      <c r="BC126" s="95"/>
      <c r="BD126" s="95"/>
      <c r="BE126" s="95"/>
      <c r="BG126" s="95"/>
      <c r="BK126" s="93"/>
      <c r="BM126" s="95"/>
      <c r="BN126" s="95"/>
    </row>
    <row r="127" spans="1:66" s="13" customFormat="1" ht="12.75">
      <c r="A127" s="12"/>
      <c r="B127" s="91"/>
      <c r="C127" s="91"/>
      <c r="D127" s="91"/>
      <c r="AA127" s="93"/>
      <c r="AC127" s="93"/>
      <c r="AD127" s="93"/>
      <c r="AE127" s="93"/>
      <c r="AF127" s="93"/>
      <c r="AG127" s="93"/>
      <c r="AI127" s="93"/>
      <c r="AS127" s="95"/>
      <c r="AT127" s="95"/>
      <c r="AU127" s="95"/>
      <c r="AV127" s="95"/>
      <c r="AW127" s="95"/>
      <c r="AX127" s="95"/>
      <c r="AY127" s="95"/>
      <c r="BA127" s="95"/>
      <c r="BB127" s="95"/>
      <c r="BC127" s="95"/>
      <c r="BD127" s="95"/>
      <c r="BE127" s="95"/>
      <c r="BG127" s="95"/>
      <c r="BK127" s="93"/>
      <c r="BM127" s="95"/>
      <c r="BN127" s="95"/>
    </row>
    <row r="128" spans="1:66" s="13" customFormat="1" ht="12.75">
      <c r="A128" s="12"/>
      <c r="B128" s="91"/>
      <c r="C128" s="91"/>
      <c r="D128" s="91"/>
      <c r="AA128" s="93"/>
      <c r="AC128" s="93"/>
      <c r="AD128" s="93"/>
      <c r="AE128" s="93"/>
      <c r="AF128" s="93"/>
      <c r="AG128" s="93"/>
      <c r="AI128" s="93"/>
      <c r="AS128" s="95"/>
      <c r="AT128" s="95"/>
      <c r="AU128" s="95"/>
      <c r="AV128" s="95"/>
      <c r="AW128" s="95"/>
      <c r="AX128" s="95"/>
      <c r="AY128" s="95"/>
      <c r="BA128" s="95"/>
      <c r="BB128" s="95"/>
      <c r="BC128" s="95"/>
      <c r="BD128" s="95"/>
      <c r="BE128" s="95"/>
      <c r="BG128" s="95"/>
      <c r="BK128" s="93"/>
      <c r="BM128" s="95"/>
      <c r="BN128" s="95"/>
    </row>
    <row r="129" spans="1:66" s="13" customFormat="1" ht="12.75">
      <c r="A129" s="12"/>
      <c r="B129" s="91"/>
      <c r="C129" s="91"/>
      <c r="D129" s="91"/>
      <c r="AA129" s="93"/>
      <c r="AC129" s="93"/>
      <c r="AD129" s="93"/>
      <c r="AE129" s="93"/>
      <c r="AF129" s="93"/>
      <c r="AG129" s="93"/>
      <c r="AI129" s="93"/>
      <c r="AS129" s="95"/>
      <c r="AT129" s="95"/>
      <c r="AU129" s="95"/>
      <c r="AV129" s="95"/>
      <c r="AW129" s="95"/>
      <c r="AX129" s="95"/>
      <c r="AY129" s="95"/>
      <c r="BA129" s="95"/>
      <c r="BB129" s="95"/>
      <c r="BC129" s="95"/>
      <c r="BD129" s="95"/>
      <c r="BE129" s="95"/>
      <c r="BG129" s="95"/>
      <c r="BK129" s="93"/>
      <c r="BM129" s="95"/>
      <c r="BN129" s="95"/>
    </row>
    <row r="130" spans="1:66" s="13" customFormat="1" ht="12.75">
      <c r="A130" s="12"/>
      <c r="B130" s="91"/>
      <c r="C130" s="91"/>
      <c r="D130" s="91"/>
      <c r="AA130" s="93"/>
      <c r="AC130" s="93"/>
      <c r="AD130" s="93"/>
      <c r="AE130" s="93"/>
      <c r="AF130" s="93"/>
      <c r="AG130" s="93"/>
      <c r="AI130" s="93"/>
      <c r="AS130" s="95"/>
      <c r="AT130" s="95"/>
      <c r="AU130" s="95"/>
      <c r="AV130" s="95"/>
      <c r="AW130" s="95"/>
      <c r="AX130" s="95"/>
      <c r="AY130" s="95"/>
      <c r="BA130" s="95"/>
      <c r="BB130" s="95"/>
      <c r="BC130" s="95"/>
      <c r="BD130" s="95"/>
      <c r="BE130" s="95"/>
      <c r="BG130" s="95"/>
      <c r="BK130" s="93"/>
      <c r="BM130" s="95"/>
      <c r="BN130" s="95"/>
    </row>
    <row r="131" spans="1:66" s="13" customFormat="1" ht="12.75">
      <c r="A131" s="12"/>
      <c r="B131" s="91"/>
      <c r="C131" s="91"/>
      <c r="D131" s="91"/>
      <c r="AA131" s="93"/>
      <c r="AC131" s="93"/>
      <c r="AD131" s="93"/>
      <c r="AE131" s="93"/>
      <c r="AF131" s="93"/>
      <c r="AG131" s="93"/>
      <c r="AI131" s="93"/>
      <c r="AS131" s="95"/>
      <c r="AT131" s="95"/>
      <c r="AU131" s="95"/>
      <c r="AV131" s="95"/>
      <c r="AW131" s="95"/>
      <c r="AX131" s="95"/>
      <c r="AY131" s="95"/>
      <c r="BA131" s="95"/>
      <c r="BB131" s="95"/>
      <c r="BC131" s="95"/>
      <c r="BD131" s="95"/>
      <c r="BE131" s="95"/>
      <c r="BG131" s="95"/>
      <c r="BK131" s="93"/>
      <c r="BM131" s="95"/>
      <c r="BN131" s="95"/>
    </row>
    <row r="132" spans="1:66" s="13" customFormat="1" ht="12.75">
      <c r="A132" s="12"/>
      <c r="B132" s="91"/>
      <c r="C132" s="91"/>
      <c r="D132" s="91"/>
      <c r="AA132" s="93"/>
      <c r="AC132" s="93"/>
      <c r="AD132" s="93"/>
      <c r="AE132" s="93"/>
      <c r="AF132" s="93"/>
      <c r="AG132" s="93"/>
      <c r="AI132" s="93"/>
      <c r="AS132" s="95"/>
      <c r="AT132" s="95"/>
      <c r="AU132" s="95"/>
      <c r="AV132" s="95"/>
      <c r="AW132" s="95"/>
      <c r="AX132" s="95"/>
      <c r="AY132" s="95"/>
      <c r="BA132" s="95"/>
      <c r="BB132" s="95"/>
      <c r="BC132" s="95"/>
      <c r="BD132" s="95"/>
      <c r="BE132" s="95"/>
      <c r="BG132" s="95"/>
      <c r="BK132" s="93"/>
      <c r="BM132" s="95"/>
      <c r="BN132" s="95"/>
    </row>
    <row r="133" spans="1:66" s="13" customFormat="1" ht="12.75">
      <c r="A133" s="12"/>
      <c r="B133" s="91"/>
      <c r="C133" s="91"/>
      <c r="D133" s="91"/>
      <c r="AA133" s="93"/>
      <c r="AC133" s="93"/>
      <c r="AD133" s="93"/>
      <c r="AE133" s="93"/>
      <c r="AF133" s="93"/>
      <c r="AG133" s="93"/>
      <c r="AI133" s="93"/>
      <c r="AS133" s="95"/>
      <c r="AT133" s="95"/>
      <c r="AU133" s="95"/>
      <c r="AV133" s="95"/>
      <c r="AW133" s="95"/>
      <c r="AX133" s="95"/>
      <c r="AY133" s="95"/>
      <c r="BA133" s="95"/>
      <c r="BB133" s="95"/>
      <c r="BC133" s="95"/>
      <c r="BD133" s="95"/>
      <c r="BE133" s="95"/>
      <c r="BG133" s="95"/>
      <c r="BK133" s="93"/>
      <c r="BM133" s="95"/>
      <c r="BN133" s="95"/>
    </row>
    <row r="134" spans="3:5" s="13" customFormat="1" ht="12.75">
      <c r="C134" s="227"/>
      <c r="D134" s="227"/>
      <c r="E134" s="227"/>
    </row>
    <row r="135" s="13" customFormat="1" ht="12.75"/>
    <row r="136" s="13" customFormat="1" ht="12.75"/>
    <row r="137" s="13" customFormat="1" ht="12.75"/>
    <row r="138" s="13" customFormat="1" ht="12.75"/>
    <row r="139" s="13" customFormat="1" ht="12.75"/>
    <row r="140" s="13" customFormat="1" ht="12.75"/>
    <row r="141" s="13" customFormat="1" ht="12.75"/>
    <row r="142" s="13" customFormat="1" ht="12.75"/>
    <row r="143" s="13" customFormat="1" ht="12.75"/>
    <row r="144" s="13" customFormat="1" ht="12.75"/>
    <row r="145" s="13" customFormat="1" ht="12.75"/>
    <row r="146" s="13" customFormat="1" ht="12.75"/>
    <row r="147" s="13" customFormat="1" ht="12.75"/>
    <row r="148" s="13" customFormat="1" ht="12.75"/>
    <row r="149" s="13" customFormat="1" ht="12.75"/>
    <row r="150" s="13" customFormat="1" ht="12.75"/>
    <row r="151" s="13" customFormat="1" ht="12.75"/>
    <row r="152" s="13" customFormat="1" ht="12.75"/>
    <row r="153" s="13" customFormat="1" ht="12.75"/>
    <row r="154" s="13" customFormat="1" ht="12.75"/>
    <row r="155" s="13" customFormat="1" ht="12.75"/>
    <row r="156" s="13" customFormat="1" ht="12.75"/>
    <row r="157" s="13" customFormat="1" ht="12.75"/>
    <row r="158" s="13" customFormat="1" ht="12.75"/>
    <row r="159" s="13" customFormat="1" ht="12.75"/>
    <row r="160" s="13" customFormat="1" ht="12.75"/>
    <row r="161" s="13" customFormat="1" ht="12.75"/>
    <row r="162" s="13" customFormat="1" ht="12.75"/>
    <row r="163" s="13" customFormat="1" ht="12.75"/>
    <row r="164" s="13" customFormat="1" ht="12.75"/>
    <row r="165" s="13" customFormat="1" ht="12.75"/>
    <row r="166" s="13" customFormat="1" ht="12.75"/>
    <row r="167" s="13" customFormat="1" ht="12.75"/>
    <row r="168" s="13" customFormat="1" ht="12.75"/>
    <row r="169" s="13" customFormat="1" ht="12.75"/>
    <row r="170" s="13" customFormat="1" ht="12.75"/>
  </sheetData>
  <mergeCells count="4">
    <mergeCell ref="Z9:Z10"/>
    <mergeCell ref="AA9:AA10"/>
    <mergeCell ref="B43:C43"/>
    <mergeCell ref="B44:C44"/>
  </mergeCells>
  <printOptions/>
  <pageMargins left="0.24" right="0.24" top="0.37" bottom="0.55" header="0.25" footer="0.22"/>
  <pageSetup horizontalDpi="300" verticalDpi="300" orientation="landscape" paperSize="9" scale="82" r:id="rId4"/>
  <headerFooter alignWithMargins="0">
    <oddFooter>&amp;LIPF
&amp;D|&amp;T&amp;C&amp;P of &amp;N&amp;R&amp;F/&amp;A</oddFooter>
  </headerFooter>
  <colBreaks count="1" manualBreakCount="1">
    <brk id="28" min="5" max="39" man="1"/>
  </colBreaks>
  <drawing r:id="rId3"/>
  <legacyDrawing r:id="rId2"/>
</worksheet>
</file>

<file path=xl/worksheets/sheet8.xml><?xml version="1.0" encoding="utf-8"?>
<worksheet xmlns="http://schemas.openxmlformats.org/spreadsheetml/2006/main" xmlns:r="http://schemas.openxmlformats.org/officeDocument/2006/relationships">
  <sheetPr codeName="Sheet11"/>
  <dimension ref="B2:BB51"/>
  <sheetViews>
    <sheetView workbookViewId="0" topLeftCell="A1">
      <selection activeCell="A1" sqref="A1"/>
    </sheetView>
  </sheetViews>
  <sheetFormatPr defaultColWidth="9.33203125" defaultRowHeight="12.75"/>
  <cols>
    <col min="1" max="1" width="3.83203125" style="391" customWidth="1"/>
    <col min="2" max="2" width="90.66015625" style="391" customWidth="1"/>
    <col min="3" max="3" width="12.66015625" style="391" customWidth="1"/>
    <col min="4" max="4" width="15.83203125" style="416" customWidth="1"/>
    <col min="5" max="54" width="9.33203125" style="396" customWidth="1"/>
    <col min="55" max="16384" width="9.33203125" style="391" customWidth="1"/>
  </cols>
  <sheetData>
    <row r="2" spans="2:5" ht="12.75">
      <c r="B2" s="392"/>
      <c r="C2" s="393"/>
      <c r="D2" s="394"/>
      <c r="E2" s="395"/>
    </row>
    <row r="3" spans="2:54" ht="12.75">
      <c r="B3" s="397" t="s">
        <v>197</v>
      </c>
      <c r="C3" s="398"/>
      <c r="D3" s="399"/>
      <c r="E3" s="400"/>
      <c r="BB3" s="391"/>
    </row>
    <row r="4" spans="2:54" ht="12.75">
      <c r="B4" s="397"/>
      <c r="C4" s="398"/>
      <c r="D4" s="399"/>
      <c r="E4" s="400"/>
      <c r="BB4" s="391"/>
    </row>
    <row r="5" spans="2:54" ht="12.75">
      <c r="B5" s="401" t="s">
        <v>198</v>
      </c>
      <c r="C5" s="402"/>
      <c r="D5" s="403"/>
      <c r="E5" s="400"/>
      <c r="BB5" s="391"/>
    </row>
    <row r="6" spans="2:54" ht="12.75">
      <c r="B6" s="404" t="s">
        <v>199</v>
      </c>
      <c r="C6" s="403"/>
      <c r="D6" s="403"/>
      <c r="E6" s="400"/>
      <c r="BB6" s="391"/>
    </row>
    <row r="7" spans="2:54" ht="12.75">
      <c r="B7" s="404" t="s">
        <v>200</v>
      </c>
      <c r="C7" s="403"/>
      <c r="D7" s="405">
        <v>26</v>
      </c>
      <c r="E7" s="400"/>
      <c r="BB7" s="391"/>
    </row>
    <row r="8" spans="2:54" ht="12.75">
      <c r="B8" s="404" t="s">
        <v>201</v>
      </c>
      <c r="C8" s="403"/>
      <c r="D8" s="405">
        <v>21</v>
      </c>
      <c r="E8" s="400"/>
      <c r="BB8" s="391"/>
    </row>
    <row r="9" spans="2:54" ht="12.75">
      <c r="B9" s="404" t="s">
        <v>202</v>
      </c>
      <c r="C9" s="403"/>
      <c r="D9" s="405">
        <v>5</v>
      </c>
      <c r="E9" s="400"/>
      <c r="BB9" s="391"/>
    </row>
    <row r="10" spans="2:54" ht="12.75">
      <c r="B10" s="404" t="s">
        <v>203</v>
      </c>
      <c r="C10" s="403"/>
      <c r="D10" s="405">
        <v>75</v>
      </c>
      <c r="E10" s="400"/>
      <c r="BB10" s="391"/>
    </row>
    <row r="11" spans="2:54" ht="12.75">
      <c r="B11" s="404"/>
      <c r="C11" s="403"/>
      <c r="D11" s="403"/>
      <c r="E11" s="400"/>
      <c r="BB11" s="391"/>
    </row>
    <row r="12" spans="2:53" s="406" customFormat="1" ht="12.75">
      <c r="B12" s="407" t="s">
        <v>204</v>
      </c>
      <c r="C12" s="408"/>
      <c r="D12" s="403">
        <f>SUM(D7:D10)</f>
        <v>127</v>
      </c>
      <c r="E12" s="400"/>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row>
    <row r="13" spans="2:53" s="406" customFormat="1" ht="12.75">
      <c r="B13" s="407"/>
      <c r="C13" s="408"/>
      <c r="D13" s="403"/>
      <c r="E13" s="400"/>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row>
    <row r="14" spans="2:53" s="406" customFormat="1" ht="12.75">
      <c r="B14" s="407" t="s">
        <v>205</v>
      </c>
      <c r="C14" s="408"/>
      <c r="D14" s="403">
        <f>D12*12</f>
        <v>1524</v>
      </c>
      <c r="E14" s="400"/>
      <c r="F14" s="396"/>
      <c r="G14" s="396"/>
      <c r="H14" s="396"/>
      <c r="I14" s="396"/>
      <c r="J14" s="396"/>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409"/>
      <c r="AL14" s="409"/>
      <c r="AM14" s="409"/>
      <c r="AN14" s="409"/>
      <c r="AO14" s="409"/>
      <c r="AP14" s="409"/>
      <c r="AQ14" s="409"/>
      <c r="AR14" s="409"/>
      <c r="AS14" s="409"/>
      <c r="AT14" s="409"/>
      <c r="AU14" s="409"/>
      <c r="AV14" s="409"/>
      <c r="AW14" s="409"/>
      <c r="AX14" s="409"/>
      <c r="AY14" s="409"/>
      <c r="AZ14" s="409"/>
      <c r="BA14" s="409"/>
    </row>
    <row r="15" spans="2:54" ht="12.75">
      <c r="B15" s="404"/>
      <c r="C15" s="403"/>
      <c r="D15" s="403"/>
      <c r="E15" s="400"/>
      <c r="BB15" s="391"/>
    </row>
    <row r="16" spans="2:54" ht="12.75">
      <c r="B16" s="404" t="s">
        <v>206</v>
      </c>
      <c r="C16" s="403"/>
      <c r="D16" s="403"/>
      <c r="E16" s="400"/>
      <c r="BB16" s="391"/>
    </row>
    <row r="17" spans="2:54" ht="12.75">
      <c r="B17" s="410"/>
      <c r="C17" s="403"/>
      <c r="D17" s="403"/>
      <c r="E17" s="400"/>
      <c r="BB17" s="391"/>
    </row>
    <row r="18" spans="2:53" s="406" customFormat="1" ht="12.75">
      <c r="B18" s="404" t="s">
        <v>207</v>
      </c>
      <c r="C18" s="408"/>
      <c r="D18" s="408"/>
      <c r="E18" s="400"/>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row>
    <row r="19" spans="2:54" ht="25.5">
      <c r="B19" s="627" t="s">
        <v>208</v>
      </c>
      <c r="C19" s="411">
        <f>6.1/110</f>
        <v>0.05545454545454545</v>
      </c>
      <c r="D19" s="403"/>
      <c r="E19" s="400"/>
      <c r="BB19" s="391"/>
    </row>
    <row r="20" spans="2:53" s="406" customFormat="1" ht="12.75">
      <c r="B20" s="412"/>
      <c r="C20" s="413"/>
      <c r="D20" s="414"/>
      <c r="E20" s="415"/>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396"/>
      <c r="AS20" s="396"/>
      <c r="AT20" s="396"/>
      <c r="AU20" s="396"/>
      <c r="AV20" s="396"/>
      <c r="AW20" s="396"/>
      <c r="AX20" s="396"/>
      <c r="AY20" s="396"/>
      <c r="AZ20" s="396"/>
      <c r="BA20" s="396"/>
    </row>
    <row r="22" ht="12.75">
      <c r="B22" s="417"/>
    </row>
    <row r="23" ht="12.75">
      <c r="E23" s="418"/>
    </row>
    <row r="24" spans="2:5" ht="12.75">
      <c r="B24" s="419"/>
      <c r="C24" s="420" t="s">
        <v>209</v>
      </c>
      <c r="D24" s="421"/>
      <c r="E24" s="422"/>
    </row>
    <row r="25" spans="2:5" ht="12.75">
      <c r="B25" s="423" t="s">
        <v>210</v>
      </c>
      <c r="C25" s="424" t="s">
        <v>211</v>
      </c>
      <c r="D25" s="425" t="s">
        <v>77</v>
      </c>
      <c r="E25" s="426" t="s">
        <v>212</v>
      </c>
    </row>
    <row r="26" spans="2:5" ht="12.75">
      <c r="B26" s="427"/>
      <c r="C26" s="424"/>
      <c r="D26" s="425"/>
      <c r="E26" s="426"/>
    </row>
    <row r="27" spans="2:5" ht="12.75">
      <c r="B27" s="428" t="s">
        <v>213</v>
      </c>
      <c r="C27" s="429">
        <v>26</v>
      </c>
      <c r="D27" s="430">
        <f>C27*D$31</f>
        <v>1.9407979407979408</v>
      </c>
      <c r="E27" s="431">
        <f>D27*12</f>
        <v>23.28957528957529</v>
      </c>
    </row>
    <row r="28" spans="2:5" ht="12.75">
      <c r="B28" s="428" t="s">
        <v>214</v>
      </c>
      <c r="C28" s="429">
        <v>5</v>
      </c>
      <c r="D28" s="430">
        <f>C28*D$31</f>
        <v>0.3732303732303732</v>
      </c>
      <c r="E28" s="431">
        <f>D28*12</f>
        <v>4.478764478764479</v>
      </c>
    </row>
    <row r="29" spans="2:5" ht="12.75">
      <c r="B29" s="428" t="s">
        <v>215</v>
      </c>
      <c r="C29" s="429">
        <v>75</v>
      </c>
      <c r="D29" s="430">
        <f>C29*D$31</f>
        <v>5.598455598455598</v>
      </c>
      <c r="E29" s="431">
        <f>D29*12</f>
        <v>67.18146718146718</v>
      </c>
    </row>
    <row r="30" spans="2:5" ht="12.75">
      <c r="B30" s="432"/>
      <c r="C30" s="433"/>
      <c r="D30" s="430"/>
      <c r="E30" s="431"/>
    </row>
    <row r="31" spans="2:5" ht="12.75">
      <c r="B31" s="434" t="s">
        <v>216</v>
      </c>
      <c r="C31" s="435"/>
      <c r="D31" s="436">
        <f>580/7770</f>
        <v>0.07464607464607464</v>
      </c>
      <c r="E31" s="437">
        <f>SUM(E27:E29)</f>
        <v>94.94980694980696</v>
      </c>
    </row>
    <row r="33" spans="2:4" ht="12.75">
      <c r="B33" s="438"/>
      <c r="C33" s="438"/>
      <c r="D33" s="439"/>
    </row>
    <row r="34" spans="2:5" ht="12.75">
      <c r="B34" s="440" t="s">
        <v>217</v>
      </c>
      <c r="C34" s="440"/>
      <c r="D34" s="441">
        <v>88000</v>
      </c>
      <c r="E34" s="395">
        <v>137000</v>
      </c>
    </row>
    <row r="35" spans="2:5" ht="12.75">
      <c r="B35" s="391" t="s">
        <v>218</v>
      </c>
      <c r="C35" s="442" t="s">
        <v>219</v>
      </c>
      <c r="D35" s="443">
        <v>92</v>
      </c>
      <c r="E35" s="400">
        <v>92</v>
      </c>
    </row>
    <row r="36" spans="2:5" ht="12.75">
      <c r="B36" s="391" t="s">
        <v>220</v>
      </c>
      <c r="C36" s="442" t="s">
        <v>221</v>
      </c>
      <c r="D36" s="444">
        <f>D34/D35</f>
        <v>956.5217391304348</v>
      </c>
      <c r="E36" s="415">
        <f>E34/E35</f>
        <v>1489.1304347826087</v>
      </c>
    </row>
    <row r="37" spans="2:4" ht="12.75">
      <c r="B37" s="440"/>
      <c r="C37" s="440"/>
      <c r="D37" s="439"/>
    </row>
    <row r="38" spans="2:4" ht="12.75">
      <c r="B38" s="442"/>
      <c r="C38" s="442" t="s">
        <v>222</v>
      </c>
      <c r="D38" s="445">
        <v>213000000</v>
      </c>
    </row>
    <row r="39" spans="2:4" ht="12.75">
      <c r="B39" s="442"/>
      <c r="C39" s="442" t="s">
        <v>223</v>
      </c>
      <c r="D39" s="446">
        <v>684000</v>
      </c>
    </row>
    <row r="40" spans="2:4" ht="12.75">
      <c r="B40" s="440"/>
      <c r="C40" s="442" t="s">
        <v>221</v>
      </c>
      <c r="D40" s="447">
        <f>D38/D39</f>
        <v>311.4035087719298</v>
      </c>
    </row>
    <row r="41" spans="2:4" ht="12.75">
      <c r="B41" s="442"/>
      <c r="C41" s="442" t="s">
        <v>224</v>
      </c>
      <c r="D41" s="448">
        <f>D40/1000</f>
        <v>0.3114035087719298</v>
      </c>
    </row>
    <row r="42" spans="2:4" ht="12.75">
      <c r="B42" s="442"/>
      <c r="C42" s="442"/>
      <c r="D42" s="439"/>
    </row>
    <row r="43" spans="2:4" ht="12.75">
      <c r="B43" s="442"/>
      <c r="C43" s="442"/>
      <c r="D43" s="439"/>
    </row>
    <row r="44" spans="2:4" ht="12.75">
      <c r="B44" s="442"/>
      <c r="C44" s="442"/>
      <c r="D44" s="439"/>
    </row>
    <row r="47" ht="12.75">
      <c r="B47" s="406"/>
    </row>
    <row r="48" ht="12.75">
      <c r="B48" s="442"/>
    </row>
    <row r="49" ht="12.75">
      <c r="B49" s="442"/>
    </row>
    <row r="50" ht="12.75">
      <c r="B50" s="442"/>
    </row>
    <row r="51" ht="12.75">
      <c r="B51" s="442"/>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2"/>
  <dimension ref="B2:AI131"/>
  <sheetViews>
    <sheetView workbookViewId="0" topLeftCell="A1">
      <selection activeCell="L12" sqref="L12"/>
    </sheetView>
  </sheetViews>
  <sheetFormatPr defaultColWidth="9.33203125" defaultRowHeight="12.75"/>
  <cols>
    <col min="1" max="4" width="9.33203125" style="13" customWidth="1"/>
    <col min="5" max="5" width="43.16015625" style="13" customWidth="1"/>
    <col min="6" max="6" width="9.33203125" style="13" customWidth="1"/>
    <col min="7" max="7" width="11.66015625" style="13" customWidth="1"/>
    <col min="8" max="8" width="22.5" style="13" customWidth="1"/>
    <col min="9" max="9" width="13.66015625" style="13" bestFit="1" customWidth="1"/>
    <col min="10" max="10" width="11.5" style="13" bestFit="1" customWidth="1"/>
    <col min="11" max="11" width="11.83203125" style="13" bestFit="1" customWidth="1"/>
    <col min="12" max="12" width="10.83203125" style="13" bestFit="1" customWidth="1"/>
    <col min="13" max="16" width="10.66015625" style="13" bestFit="1" customWidth="1"/>
    <col min="17" max="17" width="10.83203125" style="13" bestFit="1" customWidth="1"/>
    <col min="18" max="19" width="10.66015625" style="13" bestFit="1" customWidth="1"/>
    <col min="20" max="20" width="11.5" style="13" bestFit="1" customWidth="1"/>
    <col min="21" max="21" width="10.83203125" style="13" bestFit="1" customWidth="1"/>
    <col min="22" max="28" width="10.66015625" style="13" bestFit="1" customWidth="1"/>
    <col min="29" max="29" width="11.83203125" style="13" bestFit="1" customWidth="1"/>
    <col min="30" max="31" width="10.83203125" style="13" bestFit="1" customWidth="1"/>
    <col min="32" max="32" width="12" style="13" bestFit="1" customWidth="1"/>
    <col min="33" max="34" width="10.83203125" style="13" bestFit="1" customWidth="1"/>
    <col min="35" max="16384" width="9.33203125" style="13" customWidth="1"/>
  </cols>
  <sheetData>
    <row r="1" ht="12.75"/>
    <row r="2" ht="12.75">
      <c r="B2" s="196" t="s">
        <v>167</v>
      </c>
    </row>
    <row r="3" ht="13.5" thickBot="1"/>
    <row r="4" spans="3:13" ht="12.75" customHeight="1">
      <c r="C4" s="671" t="s">
        <v>141</v>
      </c>
      <c r="D4" s="672"/>
      <c r="E4" s="630"/>
      <c r="G4" s="361"/>
      <c r="H4" s="361"/>
      <c r="I4" s="673"/>
      <c r="J4" s="673"/>
      <c r="K4" s="673"/>
      <c r="L4" s="673"/>
      <c r="M4" s="372"/>
    </row>
    <row r="5" spans="3:13" ht="12.75">
      <c r="C5" s="674" t="s">
        <v>142</v>
      </c>
      <c r="D5" s="675"/>
      <c r="E5" s="577">
        <f>IRR(I69:AH69,-0.9)</f>
        <v>0.337948598997988</v>
      </c>
      <c r="G5" s="259"/>
      <c r="H5" s="358"/>
      <c r="I5" s="359"/>
      <c r="J5" s="360"/>
      <c r="K5" s="360"/>
      <c r="L5" s="360"/>
      <c r="M5" s="372"/>
    </row>
    <row r="6" spans="3:13" ht="12.75">
      <c r="C6" s="572" t="s">
        <v>143</v>
      </c>
      <c r="D6" s="573"/>
      <c r="E6" s="577">
        <f>IRR(I82:AB82,-0.3)</f>
        <v>0.20975540889651242</v>
      </c>
      <c r="G6" s="361"/>
      <c r="H6" s="361"/>
      <c r="I6" s="362"/>
      <c r="J6" s="363"/>
      <c r="K6" s="363"/>
      <c r="L6" s="363"/>
      <c r="M6" s="372"/>
    </row>
    <row r="7" spans="3:13" ht="12.75">
      <c r="C7" s="572" t="s">
        <v>144</v>
      </c>
      <c r="D7" s="573"/>
      <c r="E7" s="577">
        <f>IRR(I89:AB89,-0.3)</f>
        <v>0.0979832844651728</v>
      </c>
      <c r="G7" s="361"/>
      <c r="H7" s="361"/>
      <c r="I7" s="362"/>
      <c r="J7" s="364"/>
      <c r="K7" s="363"/>
      <c r="L7" s="365"/>
      <c r="M7" s="372"/>
    </row>
    <row r="8" spans="3:13" ht="12.75">
      <c r="C8" s="572" t="s">
        <v>145</v>
      </c>
      <c r="D8" s="573"/>
      <c r="E8" s="577">
        <f>IRR(I95:AB95,-0.3)</f>
        <v>0.12581697683626725</v>
      </c>
      <c r="G8" s="361"/>
      <c r="H8" s="361"/>
      <c r="I8" s="362"/>
      <c r="J8" s="363"/>
      <c r="K8" s="363"/>
      <c r="L8" s="365"/>
      <c r="M8" s="358"/>
    </row>
    <row r="9" spans="3:13" ht="12.75">
      <c r="C9" s="572" t="s">
        <v>146</v>
      </c>
      <c r="D9" s="573"/>
      <c r="E9" s="577">
        <f>IRR(I101:AB101,-0.2)</f>
        <v>0.4403066190906991</v>
      </c>
      <c r="G9" s="358"/>
      <c r="H9" s="358"/>
      <c r="I9" s="362"/>
      <c r="J9" s="365"/>
      <c r="K9" s="365"/>
      <c r="L9" s="365"/>
      <c r="M9" s="358"/>
    </row>
    <row r="10" spans="3:13" ht="12.75">
      <c r="C10" s="572" t="s">
        <v>147</v>
      </c>
      <c r="D10" s="573"/>
      <c r="E10" s="577">
        <f>IRR(I108:AB108,-0.2)</f>
        <v>0.5929125139200122</v>
      </c>
      <c r="G10" s="358"/>
      <c r="H10" s="358"/>
      <c r="I10" s="358"/>
      <c r="J10" s="366"/>
      <c r="K10" s="366"/>
      <c r="L10" s="366"/>
      <c r="M10" s="358"/>
    </row>
    <row r="11" spans="3:13" ht="12.75">
      <c r="C11" s="572" t="s">
        <v>148</v>
      </c>
      <c r="D11" s="573"/>
      <c r="E11" s="577">
        <f>IRR(I115:AB115,-0.2)</f>
        <v>0.7165761814114349</v>
      </c>
      <c r="G11" s="358"/>
      <c r="H11" s="358"/>
      <c r="I11" s="676"/>
      <c r="J11" s="676"/>
      <c r="K11" s="676"/>
      <c r="L11" s="676"/>
      <c r="M11" s="358"/>
    </row>
    <row r="12" spans="3:13" ht="13.5" thickBot="1">
      <c r="C12" s="574" t="s">
        <v>149</v>
      </c>
      <c r="D12" s="575"/>
      <c r="E12" s="631">
        <f>IRR(I122:AB122,-0.3)</f>
        <v>-0.15503149688674348</v>
      </c>
      <c r="G12" s="233"/>
      <c r="H12" s="358"/>
      <c r="I12" s="367"/>
      <c r="J12" s="368"/>
      <c r="K12" s="368"/>
      <c r="L12" s="368"/>
      <c r="M12" s="358"/>
    </row>
    <row r="13" spans="7:13" ht="12.75">
      <c r="G13" s="358"/>
      <c r="H13" s="369"/>
      <c r="I13" s="369"/>
      <c r="J13" s="363"/>
      <c r="K13" s="370"/>
      <c r="L13" s="363"/>
      <c r="M13" s="358"/>
    </row>
    <row r="14" spans="7:13" ht="12.75">
      <c r="G14" s="358"/>
      <c r="H14" s="369"/>
      <c r="I14" s="369"/>
      <c r="J14" s="363"/>
      <c r="K14" s="371"/>
      <c r="L14" s="363"/>
      <c r="M14" s="358"/>
    </row>
    <row r="15" spans="7:13" ht="12.75">
      <c r="G15" s="358"/>
      <c r="H15" s="369"/>
      <c r="I15" s="369"/>
      <c r="J15" s="365"/>
      <c r="K15" s="365"/>
      <c r="L15" s="363"/>
      <c r="M15" s="358"/>
    </row>
    <row r="16" ht="12.75"/>
    <row r="17" ht="12.75"/>
    <row r="18" ht="12.75"/>
    <row r="19" spans="3:35" ht="12.75">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row>
    <row r="20" spans="3:35" ht="12.75">
      <c r="C20" s="320" t="s">
        <v>150</v>
      </c>
      <c r="D20" s="2"/>
      <c r="E20" s="2"/>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2"/>
    </row>
    <row r="21" spans="3:35" ht="12.75">
      <c r="C21" s="1"/>
      <c r="D21" s="2"/>
      <c r="E21" s="80" t="s">
        <v>151</v>
      </c>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2"/>
    </row>
    <row r="22" spans="3:35" ht="12.75">
      <c r="C22" s="318" t="s">
        <v>57</v>
      </c>
      <c r="D22" s="317"/>
      <c r="E22" s="317"/>
      <c r="F22" s="238">
        <v>2005</v>
      </c>
      <c r="G22" s="238">
        <v>2006</v>
      </c>
      <c r="H22" s="238">
        <v>2007</v>
      </c>
      <c r="I22" s="238">
        <v>2008</v>
      </c>
      <c r="J22" s="238">
        <v>2009</v>
      </c>
      <c r="K22" s="238">
        <v>2010</v>
      </c>
      <c r="L22" s="238">
        <v>2011</v>
      </c>
      <c r="M22" s="238">
        <v>2012</v>
      </c>
      <c r="N22" s="238">
        <v>2013</v>
      </c>
      <c r="O22" s="238">
        <v>2014</v>
      </c>
      <c r="P22" s="238">
        <v>2015</v>
      </c>
      <c r="Q22" s="238">
        <v>2016</v>
      </c>
      <c r="R22" s="238">
        <v>2017</v>
      </c>
      <c r="S22" s="238">
        <v>2018</v>
      </c>
      <c r="T22" s="238">
        <v>2019</v>
      </c>
      <c r="U22" s="238">
        <v>2020</v>
      </c>
      <c r="V22" s="238">
        <v>2021</v>
      </c>
      <c r="W22" s="238">
        <v>2022</v>
      </c>
      <c r="X22" s="238">
        <v>2023</v>
      </c>
      <c r="Y22" s="238">
        <v>2024</v>
      </c>
      <c r="Z22" s="238">
        <v>2025</v>
      </c>
      <c r="AA22" s="238">
        <v>2026</v>
      </c>
      <c r="AB22" s="238">
        <v>2027</v>
      </c>
      <c r="AC22" s="238">
        <v>2028</v>
      </c>
      <c r="AD22" s="238">
        <v>2029</v>
      </c>
      <c r="AE22" s="238">
        <v>2030</v>
      </c>
      <c r="AF22" s="238">
        <v>2031</v>
      </c>
      <c r="AG22" s="238">
        <v>2032</v>
      </c>
      <c r="AH22" s="238">
        <v>2033</v>
      </c>
      <c r="AI22" s="22"/>
    </row>
    <row r="23" spans="3:35" ht="12.75">
      <c r="C23" s="318"/>
      <c r="D23" s="317"/>
      <c r="E23" s="317"/>
      <c r="F23" s="238">
        <v>-3</v>
      </c>
      <c r="G23" s="238">
        <v>-2</v>
      </c>
      <c r="H23" s="238">
        <v>-1</v>
      </c>
      <c r="I23" s="238">
        <v>0</v>
      </c>
      <c r="J23" s="238">
        <v>1</v>
      </c>
      <c r="K23" s="238">
        <v>2</v>
      </c>
      <c r="L23" s="238">
        <v>3</v>
      </c>
      <c r="M23" s="238">
        <v>4</v>
      </c>
      <c r="N23" s="238">
        <v>5</v>
      </c>
      <c r="O23" s="238">
        <v>6</v>
      </c>
      <c r="P23" s="238">
        <v>7</v>
      </c>
      <c r="Q23" s="238">
        <v>8</v>
      </c>
      <c r="R23" s="238">
        <v>9</v>
      </c>
      <c r="S23" s="238">
        <v>10</v>
      </c>
      <c r="T23" s="238">
        <v>11</v>
      </c>
      <c r="U23" s="238">
        <v>12</v>
      </c>
      <c r="V23" s="238">
        <v>13</v>
      </c>
      <c r="W23" s="238">
        <v>14</v>
      </c>
      <c r="X23" s="238">
        <v>15</v>
      </c>
      <c r="Y23" s="238">
        <v>16</v>
      </c>
      <c r="Z23" s="238">
        <v>17</v>
      </c>
      <c r="AA23" s="238">
        <v>18</v>
      </c>
      <c r="AB23" s="238">
        <v>19</v>
      </c>
      <c r="AC23" s="238">
        <v>20</v>
      </c>
      <c r="AD23" s="238">
        <v>21</v>
      </c>
      <c r="AE23" s="238">
        <v>22</v>
      </c>
      <c r="AF23" s="238">
        <v>23</v>
      </c>
      <c r="AG23" s="238">
        <v>24</v>
      </c>
      <c r="AH23" s="238">
        <v>25</v>
      </c>
      <c r="AI23" s="22"/>
    </row>
    <row r="24" spans="3:35" ht="12.75">
      <c r="C24" s="321"/>
      <c r="D24" s="316" t="s">
        <v>152</v>
      </c>
      <c r="E24" s="319"/>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2"/>
    </row>
    <row r="25" spans="3:35" ht="12.75">
      <c r="C25" s="318"/>
      <c r="D25" s="317"/>
      <c r="E25" s="317"/>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2"/>
    </row>
    <row r="26" spans="3:35" ht="12.75">
      <c r="C26" s="589"/>
      <c r="D26" s="590" t="s">
        <v>118</v>
      </c>
      <c r="E26" s="357"/>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2"/>
    </row>
    <row r="27" spans="3:35" ht="12.75">
      <c r="C27" s="668"/>
      <c r="D27" s="669"/>
      <c r="E27" s="324" t="s">
        <v>133</v>
      </c>
      <c r="F27" s="239" t="s">
        <v>61</v>
      </c>
      <c r="G27" s="239">
        <f>Planting!E22</f>
        <v>205.87727272727273</v>
      </c>
      <c r="H27" s="239">
        <f>Planting!F22</f>
        <v>219.984450901571</v>
      </c>
      <c r="I27" s="239">
        <f>Planting!G22</f>
        <v>234.67627487080114</v>
      </c>
      <c r="J27" s="239">
        <f>Planting!H22</f>
        <v>248.12194145659473</v>
      </c>
      <c r="K27" s="239">
        <f>Planting!I22</f>
        <v>262.0582077788629</v>
      </c>
      <c r="L27" s="239">
        <f>Planting!J22</f>
        <v>286.45246180220647</v>
      </c>
      <c r="M27" s="239">
        <f>Planting!K22</f>
        <v>312.62928947672805</v>
      </c>
      <c r="N27" s="239">
        <f>Planting!L22</f>
        <v>340.7196745084701</v>
      </c>
      <c r="O27" s="239">
        <f>Planting!M22</f>
        <v>364.6175347501895</v>
      </c>
      <c r="P27" s="239">
        <f>Planting!N22</f>
        <v>389.8607875749301</v>
      </c>
      <c r="Q27" s="239">
        <f>Planting!O22</f>
        <v>416.525270547932</v>
      </c>
      <c r="R27" s="239">
        <f>Planting!P22</f>
        <v>444.6911012343067</v>
      </c>
      <c r="S27" s="239">
        <f>Planting!Q22</f>
        <v>474.442919027465</v>
      </c>
      <c r="T27" s="239">
        <f>Planting!R22</f>
        <v>505.8701406566233</v>
      </c>
      <c r="U27" s="239">
        <f>Planting!S22</f>
        <v>539.0672301479808</v>
      </c>
      <c r="V27" s="239">
        <f>Planting!T22</f>
        <v>574.1339840580748</v>
      </c>
      <c r="W27" s="239">
        <f>Planting!U22</f>
        <v>611.1758328442128</v>
      </c>
      <c r="X27" s="239">
        <f>Planting!V22</f>
        <v>650.3041592859238</v>
      </c>
      <c r="Y27" s="239">
        <f>Planting!W22</f>
        <v>684.69407694474</v>
      </c>
      <c r="Z27" s="239">
        <f>Planting!X22</f>
        <v>720.6596957372132</v>
      </c>
      <c r="AA27" s="239">
        <f>Planting!Y22</f>
        <v>758.2736031468726</v>
      </c>
      <c r="AB27" s="239">
        <f>Planting!Z22</f>
        <v>797.6117499483626</v>
      </c>
      <c r="AC27" s="239">
        <f>Planting!AA22</f>
        <v>838.7536070040888</v>
      </c>
      <c r="AD27" s="239">
        <f>Planting!AB22</f>
        <v>881.7823294180577</v>
      </c>
      <c r="AE27" s="239">
        <f>Planting!AC22</f>
        <v>926.7849283944496</v>
      </c>
      <c r="AF27" s="239">
        <f>Planting!AD22</f>
        <v>973.852451164983</v>
      </c>
      <c r="AG27" s="239">
        <f>Planting!AE22</f>
        <v>1023.0801693664604</v>
      </c>
      <c r="AH27" s="239">
        <f>Planting!AF22</f>
        <v>1074.5677762680305</v>
      </c>
      <c r="AI27" s="22"/>
    </row>
    <row r="28" spans="3:35" ht="12.75">
      <c r="C28" s="668"/>
      <c r="D28" s="669"/>
      <c r="E28" s="324" t="s">
        <v>134</v>
      </c>
      <c r="F28" s="239" t="s">
        <v>61</v>
      </c>
      <c r="G28" s="239">
        <f>Planting!E21</f>
        <v>42.73085776821767</v>
      </c>
      <c r="H28" s="239">
        <f>Planting!F21</f>
        <v>45.6588731634643</v>
      </c>
      <c r="I28" s="239">
        <f>Planting!G21</f>
        <v>48.70823471789148</v>
      </c>
      <c r="J28" s="239">
        <f>Planting!H21</f>
        <v>50.5793259655485</v>
      </c>
      <c r="K28" s="239">
        <f>Planting!I21</f>
        <v>53.42021521910936</v>
      </c>
      <c r="L28" s="239">
        <f>Planting!J21</f>
        <v>58.392951280619386</v>
      </c>
      <c r="M28" s="239">
        <f>Planting!K21</f>
        <v>63.72906259718037</v>
      </c>
      <c r="N28" s="239">
        <f>Planting!L21</f>
        <v>69.45525002211149</v>
      </c>
      <c r="O28" s="239">
        <f>Planting!M21</f>
        <v>71.76380387934766</v>
      </c>
      <c r="P28" s="239">
        <f>Planting!N21</f>
        <v>76.73216571699932</v>
      </c>
      <c r="Q28" s="239">
        <f>Planting!O21</f>
        <v>81.98025321759016</v>
      </c>
      <c r="R28" s="239">
        <f>Planting!P21</f>
        <v>87.52383507209628</v>
      </c>
      <c r="S28" s="239">
        <f>Planting!Q21</f>
        <v>93.37956995501989</v>
      </c>
      <c r="T28" s="239">
        <f>Planting!R21</f>
        <v>99.565056813223</v>
      </c>
      <c r="U28" s="239">
        <f>Planting!S21</f>
        <v>106.09888799952388</v>
      </c>
      <c r="V28" s="239">
        <f>Planting!T21</f>
        <v>113.00070541215456</v>
      </c>
      <c r="W28" s="239">
        <f>Planting!U21</f>
        <v>120.29125981030799</v>
      </c>
      <c r="X28" s="239">
        <f>Planting!V21</f>
        <v>127.99247348565657</v>
      </c>
      <c r="Y28" s="239">
        <f>Planting!W21</f>
        <v>130.26904051460045</v>
      </c>
      <c r="Z28" s="239">
        <f>Planting!X21</f>
        <v>137.11181425746065</v>
      </c>
      <c r="AA28" s="239">
        <f>Planting!Y21</f>
        <v>144.26818933540193</v>
      </c>
      <c r="AB28" s="239">
        <f>Planting!Z21</f>
        <v>151.7526160480142</v>
      </c>
      <c r="AC28" s="239">
        <f>Planting!AA21</f>
        <v>159.58021442239132</v>
      </c>
      <c r="AD28" s="239">
        <f>Planting!AB21</f>
        <v>167.76680544483594</v>
      </c>
      <c r="AE28" s="239">
        <f>Planting!AC21</f>
        <v>176.32894375845694</v>
      </c>
      <c r="AF28" s="239">
        <f>Planting!AD21</f>
        <v>185.2839518959252</v>
      </c>
      <c r="AG28" s="239">
        <f>Planting!AE21</f>
        <v>194.64995611995062</v>
      </c>
      <c r="AH28" s="239">
        <f>Planting!AF21</f>
        <v>204.44592394749438</v>
      </c>
      <c r="AI28" s="22"/>
    </row>
    <row r="29" spans="3:35" ht="12.75">
      <c r="C29" s="269"/>
      <c r="D29" s="268"/>
      <c r="E29" s="324"/>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2"/>
    </row>
    <row r="30" spans="3:35" ht="18" customHeight="1">
      <c r="C30" s="269"/>
      <c r="D30" s="667" t="s">
        <v>58</v>
      </c>
      <c r="E30" s="667"/>
      <c r="F30" s="239" t="s">
        <v>61</v>
      </c>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2"/>
    </row>
    <row r="31" spans="3:35" ht="12.75">
      <c r="C31" s="668"/>
      <c r="D31" s="669"/>
      <c r="E31" s="324" t="s">
        <v>119</v>
      </c>
      <c r="F31" s="239" t="s">
        <v>61</v>
      </c>
      <c r="G31" s="239">
        <f>G27*(1+Assumptions!H$9)</f>
        <v>209.99481818181818</v>
      </c>
      <c r="H31" s="239">
        <f>H27*(1+Assumptions!H$9)</f>
        <v>224.3841399196024</v>
      </c>
      <c r="I31" s="239">
        <f>I27*(1+Assumptions!H$9)</f>
        <v>239.36980036821717</v>
      </c>
      <c r="J31" s="239">
        <f>J27*(1+Assumptions!H$9)</f>
        <v>253.08438028572664</v>
      </c>
      <c r="K31" s="239">
        <f>K27*(1+Assumptions!H$9)</f>
        <v>267.29937193444016</v>
      </c>
      <c r="L31" s="239">
        <f>L27*(1+Assumptions!H$9)</f>
        <v>292.1815110382506</v>
      </c>
      <c r="M31" s="239">
        <f>M27*(1+Assumptions!H$9)</f>
        <v>318.8818752662626</v>
      </c>
      <c r="N31" s="239">
        <f>N27*(1+Assumptions!H$9)</f>
        <v>347.53406799863956</v>
      </c>
      <c r="O31" s="239">
        <f>O27*(1+Assumptions!H$9)</f>
        <v>371.9098854451933</v>
      </c>
      <c r="P31" s="239">
        <f>P27*(1+Assumptions!H$9)</f>
        <v>397.6580033264287</v>
      </c>
      <c r="Q31" s="239">
        <f>Q27*(1+Assumptions!H$9)</f>
        <v>424.85577595889066</v>
      </c>
      <c r="R31" s="239">
        <f>R27*(1+Assumptions!H$9)</f>
        <v>453.58492325899283</v>
      </c>
      <c r="S31" s="239">
        <f>S27*(1+Assumptions!H$9)</f>
        <v>483.9317774080143</v>
      </c>
      <c r="T31" s="239">
        <f>T27*(1+Assumptions!H$9)</f>
        <v>515.9875434697558</v>
      </c>
      <c r="U31" s="239">
        <f>U27*(1+Assumptions!H$9)</f>
        <v>549.8485747509404</v>
      </c>
      <c r="V31" s="239">
        <f>V27*(1+Assumptions!H$9)</f>
        <v>585.6166637392363</v>
      </c>
      <c r="W31" s="239">
        <f>W27*(1+Assumptions!H$9)</f>
        <v>623.399349501097</v>
      </c>
      <c r="X31" s="239">
        <f>X27*(1+Assumptions!H$9)</f>
        <v>663.3102424716423</v>
      </c>
      <c r="Y31" s="239">
        <f>Y27*(1+Assumptions!H$9)</f>
        <v>698.3879584836349</v>
      </c>
      <c r="Z31" s="239">
        <f>Z27*(1+Assumptions!H$9)</f>
        <v>735.0728896519574</v>
      </c>
      <c r="AA31" s="239">
        <f>AA27*(1+Assumptions!H$9)</f>
        <v>773.4390752098101</v>
      </c>
      <c r="AB31" s="239">
        <f>AB27*(1+Assumptions!H$9)</f>
        <v>813.5639849473298</v>
      </c>
      <c r="AC31" s="239">
        <f>AC27*(1+Assumptions!H$9)</f>
        <v>855.5286791441706</v>
      </c>
      <c r="AD31" s="239">
        <f>AD27*(1+Assumptions!H$9)</f>
        <v>899.4179760064188</v>
      </c>
      <c r="AE31" s="239">
        <f>AE27*(1+Assumptions!H$9)</f>
        <v>945.3206269623386</v>
      </c>
      <c r="AF31" s="239">
        <f>AF27*(1+Assumptions!H$9)</f>
        <v>993.3295001882826</v>
      </c>
      <c r="AG31" s="239">
        <f>AG27*(1+Assumptions!H$9)</f>
        <v>1043.5417727537897</v>
      </c>
      <c r="AH31" s="239">
        <f>AH27*(1+Assumptions!H$9)</f>
        <v>1096.059131793391</v>
      </c>
      <c r="AI31" s="22"/>
    </row>
    <row r="32" spans="3:35" ht="12.75">
      <c r="C32" s="668"/>
      <c r="D32" s="669"/>
      <c r="E32" s="324" t="s">
        <v>132</v>
      </c>
      <c r="F32" s="261" t="s">
        <v>61</v>
      </c>
      <c r="G32" s="239">
        <f>G28*(1+Assumptions!H$9)</f>
        <v>43.58547492358202</v>
      </c>
      <c r="H32" s="239">
        <f>H28*(1+Assumptions!H$9)</f>
        <v>46.572050626733585</v>
      </c>
      <c r="I32" s="239">
        <f>I28*(1+Assumptions!H$9)</f>
        <v>49.68239941224931</v>
      </c>
      <c r="J32" s="239">
        <f>J28*(1+Assumptions!H$9)</f>
        <v>51.59091248485947</v>
      </c>
      <c r="K32" s="239">
        <f>K28*(1+Assumptions!H$9)</f>
        <v>54.48861952349155</v>
      </c>
      <c r="L32" s="239">
        <f>L28*(1+Assumptions!H$9)</f>
        <v>59.56081030623177</v>
      </c>
      <c r="M32" s="239">
        <f>M28*(1+Assumptions!H$9)</f>
        <v>65.00364384912397</v>
      </c>
      <c r="N32" s="239">
        <f>N28*(1+Assumptions!H$9)</f>
        <v>70.84435502255371</v>
      </c>
      <c r="O32" s="239">
        <f>O28*(1+Assumptions!H$9)</f>
        <v>73.19907995693461</v>
      </c>
      <c r="P32" s="239">
        <f>P28*(1+Assumptions!H$9)</f>
        <v>78.2668090313393</v>
      </c>
      <c r="Q32" s="239">
        <f>Q28*(1+Assumptions!H$9)</f>
        <v>83.61985828194196</v>
      </c>
      <c r="R32" s="239">
        <f>R28*(1+Assumptions!H$9)</f>
        <v>89.2743117735382</v>
      </c>
      <c r="S32" s="239">
        <f>S28*(1+Assumptions!H$9)</f>
        <v>95.2471613541203</v>
      </c>
      <c r="T32" s="239">
        <f>T28*(1+Assumptions!H$9)</f>
        <v>101.55635794948746</v>
      </c>
      <c r="U32" s="239">
        <f>U28*(1+Assumptions!H$9)</f>
        <v>108.22086575951437</v>
      </c>
      <c r="V32" s="239">
        <f>V28*(1+Assumptions!H$9)</f>
        <v>115.26071952039766</v>
      </c>
      <c r="W32" s="239">
        <f>W28*(1+Assumptions!H$9)</f>
        <v>122.69708500651416</v>
      </c>
      <c r="X32" s="239">
        <f>X28*(1+Assumptions!H$9)</f>
        <v>130.5523229553697</v>
      </c>
      <c r="Y32" s="239">
        <f>Y28*(1+Assumptions!H$9)</f>
        <v>132.87442132489247</v>
      </c>
      <c r="Z32" s="239">
        <f>Z28*(1+Assumptions!H$9)</f>
        <v>139.85405054260985</v>
      </c>
      <c r="AA32" s="239">
        <f>AA28*(1+Assumptions!H$9)</f>
        <v>147.15355312210997</v>
      </c>
      <c r="AB32" s="239">
        <f>AB28*(1+Assumptions!H$9)</f>
        <v>154.7876683689745</v>
      </c>
      <c r="AC32" s="239">
        <f>AC28*(1+Assumptions!H$9)</f>
        <v>162.77181871083914</v>
      </c>
      <c r="AD32" s="239">
        <f>AD28*(1+Assumptions!H$9)</f>
        <v>171.12214155373266</v>
      </c>
      <c r="AE32" s="239">
        <f>AE28*(1+Assumptions!H$9)</f>
        <v>179.8555226336261</v>
      </c>
      <c r="AF32" s="239">
        <f>AF28*(1+Assumptions!H$9)</f>
        <v>188.98963093384373</v>
      </c>
      <c r="AG32" s="239">
        <f>AG28*(1+Assumptions!H$9)</f>
        <v>198.54295524234962</v>
      </c>
      <c r="AH32" s="239">
        <f>AH28*(1+Assumptions!H$9)</f>
        <v>208.53484242644427</v>
      </c>
      <c r="AI32" s="22"/>
    </row>
    <row r="33" spans="3:35" ht="12.75">
      <c r="C33" s="269"/>
      <c r="D33" s="268"/>
      <c r="E33" s="324"/>
      <c r="F33" s="261"/>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2"/>
    </row>
    <row r="34" spans="3:35" ht="12.75">
      <c r="C34" s="269"/>
      <c r="D34" s="667" t="s">
        <v>59</v>
      </c>
      <c r="E34" s="667"/>
      <c r="F34" s="261"/>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2"/>
    </row>
    <row r="35" spans="3:35" ht="12.75">
      <c r="C35" s="668"/>
      <c r="D35" s="669"/>
      <c r="E35" s="324" t="s">
        <v>124</v>
      </c>
      <c r="F35" s="239" t="s">
        <v>61</v>
      </c>
      <c r="G35" s="243">
        <f>G27*(1+Assumptions!H$10)</f>
        <v>209.99481818181818</v>
      </c>
      <c r="H35" s="243">
        <f>H27*(1+Assumptions!H$10)</f>
        <v>224.3841399196024</v>
      </c>
      <c r="I35" s="243">
        <f>I27*(1+Assumptions!H$10)</f>
        <v>239.36980036821717</v>
      </c>
      <c r="J35" s="243">
        <f>J27*(1+Assumptions!H$10)</f>
        <v>253.08438028572664</v>
      </c>
      <c r="K35" s="243">
        <f>K27*(1+Assumptions!H$10)</f>
        <v>267.29937193444016</v>
      </c>
      <c r="L35" s="243">
        <f>L27*(1+Assumptions!H$10)</f>
        <v>292.1815110382506</v>
      </c>
      <c r="M35" s="243">
        <f>M27*(1+Assumptions!H$10)</f>
        <v>318.8818752662626</v>
      </c>
      <c r="N35" s="243">
        <f>N27*(1+Assumptions!H$10)</f>
        <v>347.53406799863956</v>
      </c>
      <c r="O35" s="243">
        <f>O27*(1+Assumptions!H$10)</f>
        <v>371.9098854451933</v>
      </c>
      <c r="P35" s="243">
        <f>P27*(1+Assumptions!H$10)</f>
        <v>397.6580033264287</v>
      </c>
      <c r="Q35" s="243">
        <f>Q27*(1+Assumptions!H$10)</f>
        <v>424.85577595889066</v>
      </c>
      <c r="R35" s="243">
        <f>R27*(1+Assumptions!H$10)</f>
        <v>453.58492325899283</v>
      </c>
      <c r="S35" s="243">
        <f>S27*(1+Assumptions!H$10)</f>
        <v>483.9317774080143</v>
      </c>
      <c r="T35" s="243">
        <f>T27*(1+Assumptions!H$10)</f>
        <v>515.9875434697558</v>
      </c>
      <c r="U35" s="243">
        <f>U27*(1+Assumptions!H$10)</f>
        <v>549.8485747509404</v>
      </c>
      <c r="V35" s="243">
        <f>V27*(1+Assumptions!H$10)</f>
        <v>585.6166637392363</v>
      </c>
      <c r="W35" s="243">
        <f>W27*(1+Assumptions!H$10)</f>
        <v>623.399349501097</v>
      </c>
      <c r="X35" s="243">
        <f>X27*(1+Assumptions!H$10)</f>
        <v>663.3102424716423</v>
      </c>
      <c r="Y35" s="243">
        <f>Y27*(1+Assumptions!H$10)</f>
        <v>698.3879584836349</v>
      </c>
      <c r="Z35" s="243">
        <f>Z27*(1+Assumptions!H$10)</f>
        <v>735.0728896519574</v>
      </c>
      <c r="AA35" s="243">
        <f>AA27*(1+Assumptions!H$10)</f>
        <v>773.4390752098101</v>
      </c>
      <c r="AB35" s="243">
        <f>AB27*(1+Assumptions!H$10)</f>
        <v>813.5639849473298</v>
      </c>
      <c r="AC35" s="243">
        <f>AC27*(1+Assumptions!H$10)</f>
        <v>855.5286791441706</v>
      </c>
      <c r="AD35" s="243">
        <f>AD27*(1+Assumptions!H$10)</f>
        <v>899.4179760064188</v>
      </c>
      <c r="AE35" s="243">
        <f>AE27*(1+Assumptions!H$10)</f>
        <v>945.3206269623386</v>
      </c>
      <c r="AF35" s="243">
        <f>AF27*(1+Assumptions!H$10)</f>
        <v>993.3295001882826</v>
      </c>
      <c r="AG35" s="243">
        <f>AG27*(1+Assumptions!H$10)</f>
        <v>1043.5417727537897</v>
      </c>
      <c r="AH35" s="243">
        <f>AH27*(1+Assumptions!H$10)</f>
        <v>1096.059131793391</v>
      </c>
      <c r="AI35" s="22"/>
    </row>
    <row r="36" spans="3:35" ht="12.75">
      <c r="C36" s="668"/>
      <c r="D36" s="669"/>
      <c r="E36" s="324" t="s">
        <v>125</v>
      </c>
      <c r="F36" s="261" t="s">
        <v>61</v>
      </c>
      <c r="G36" s="261">
        <f>G28*(1+Assumptions!H$9)</f>
        <v>43.58547492358202</v>
      </c>
      <c r="H36" s="261">
        <f>H28*(1+Assumptions!H$9)</f>
        <v>46.572050626733585</v>
      </c>
      <c r="I36" s="261">
        <f>I28*(1+Assumptions!H$9)</f>
        <v>49.68239941224931</v>
      </c>
      <c r="J36" s="261">
        <f>J28*(1+Assumptions!H$9)</f>
        <v>51.59091248485947</v>
      </c>
      <c r="K36" s="261">
        <f>K28*(1+Assumptions!H$9)</f>
        <v>54.48861952349155</v>
      </c>
      <c r="L36" s="261">
        <f>L28*(1+Assumptions!H$9)</f>
        <v>59.56081030623177</v>
      </c>
      <c r="M36" s="261">
        <f>M28*(1+Assumptions!H$9)</f>
        <v>65.00364384912397</v>
      </c>
      <c r="N36" s="261">
        <f>N28*(1+Assumptions!H$9)</f>
        <v>70.84435502255371</v>
      </c>
      <c r="O36" s="261">
        <f>O28*(1+Assumptions!H$9)</f>
        <v>73.19907995693461</v>
      </c>
      <c r="P36" s="261">
        <f>P28*(1+Assumptions!H$9)</f>
        <v>78.2668090313393</v>
      </c>
      <c r="Q36" s="261">
        <f>Q28*(1+Assumptions!H$9)</f>
        <v>83.61985828194196</v>
      </c>
      <c r="R36" s="261">
        <f>R28*(1+Assumptions!H$9)</f>
        <v>89.2743117735382</v>
      </c>
      <c r="S36" s="261">
        <f>S28*(1+Assumptions!H$9)</f>
        <v>95.2471613541203</v>
      </c>
      <c r="T36" s="261">
        <f>T28*(1+Assumptions!H$9)</f>
        <v>101.55635794948746</v>
      </c>
      <c r="U36" s="261">
        <f>U28*(1+Assumptions!H$9)</f>
        <v>108.22086575951437</v>
      </c>
      <c r="V36" s="261">
        <f>V28*(1+Assumptions!H$9)</f>
        <v>115.26071952039766</v>
      </c>
      <c r="W36" s="261">
        <f>W28*(1+Assumptions!H$9)</f>
        <v>122.69708500651416</v>
      </c>
      <c r="X36" s="261">
        <f>X28*(1+Assumptions!H$9)</f>
        <v>130.5523229553697</v>
      </c>
      <c r="Y36" s="261">
        <f>Y28*(1+Assumptions!H$9)</f>
        <v>132.87442132489247</v>
      </c>
      <c r="Z36" s="261">
        <f>Z28*(1+Assumptions!H$9)</f>
        <v>139.85405054260985</v>
      </c>
      <c r="AA36" s="261">
        <f>AA28*(1+Assumptions!H$9)</f>
        <v>147.15355312210997</v>
      </c>
      <c r="AB36" s="261">
        <f>AB28*(1+Assumptions!H$9)</f>
        <v>154.7876683689745</v>
      </c>
      <c r="AC36" s="261">
        <f>AC28*(1+Assumptions!H$9)</f>
        <v>162.77181871083914</v>
      </c>
      <c r="AD36" s="261">
        <f>AD28*(1+Assumptions!H$9)</f>
        <v>171.12214155373266</v>
      </c>
      <c r="AE36" s="261">
        <f>AE28*(1+Assumptions!H$9)</f>
        <v>179.8555226336261</v>
      </c>
      <c r="AF36" s="261">
        <f>AF28*(1+Assumptions!H$9)</f>
        <v>188.98963093384373</v>
      </c>
      <c r="AG36" s="261">
        <f>AG28*(1+Assumptions!H$9)</f>
        <v>198.54295524234962</v>
      </c>
      <c r="AH36" s="261">
        <f>AH28*(1+Assumptions!H$9)</f>
        <v>208.53484242644427</v>
      </c>
      <c r="AI36" s="22"/>
    </row>
    <row r="37" spans="3:35" ht="12.75">
      <c r="C37" s="269"/>
      <c r="D37" s="268"/>
      <c r="E37" s="324"/>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2"/>
    </row>
    <row r="38" spans="3:35" ht="12.75">
      <c r="C38" s="269"/>
      <c r="D38" s="667" t="s">
        <v>60</v>
      </c>
      <c r="E38" s="667"/>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2"/>
    </row>
    <row r="39" spans="3:35" ht="12.75" customHeight="1">
      <c r="C39" s="322"/>
      <c r="D39" s="323"/>
      <c r="E39" s="324" t="s">
        <v>126</v>
      </c>
      <c r="F39" s="261" t="s">
        <v>120</v>
      </c>
      <c r="G39" s="597">
        <v>0</v>
      </c>
      <c r="H39" s="597">
        <f aca="true" t="shared" si="0" ref="H39:AH39">VLOOKUP(H22,ppatable,5)</f>
        <v>10</v>
      </c>
      <c r="I39" s="597">
        <f t="shared" si="0"/>
        <v>10</v>
      </c>
      <c r="J39" s="597">
        <f t="shared" si="0"/>
        <v>10</v>
      </c>
      <c r="K39" s="597">
        <f t="shared" si="0"/>
        <v>10</v>
      </c>
      <c r="L39" s="597">
        <f t="shared" si="0"/>
        <v>2</v>
      </c>
      <c r="M39" s="597">
        <f t="shared" si="0"/>
        <v>2</v>
      </c>
      <c r="N39" s="597">
        <f t="shared" si="0"/>
        <v>2</v>
      </c>
      <c r="O39" s="597">
        <f t="shared" si="0"/>
        <v>2</v>
      </c>
      <c r="P39" s="597">
        <f t="shared" si="0"/>
        <v>2</v>
      </c>
      <c r="Q39" s="597">
        <f t="shared" si="0"/>
        <v>2</v>
      </c>
      <c r="R39" s="597">
        <f t="shared" si="0"/>
        <v>2</v>
      </c>
      <c r="S39" s="597">
        <f t="shared" si="0"/>
        <v>2</v>
      </c>
      <c r="T39" s="597">
        <f t="shared" si="0"/>
        <v>2</v>
      </c>
      <c r="U39" s="597">
        <f t="shared" si="0"/>
        <v>2</v>
      </c>
      <c r="V39" s="597">
        <f t="shared" si="0"/>
        <v>2</v>
      </c>
      <c r="W39" s="597">
        <f t="shared" si="0"/>
        <v>2</v>
      </c>
      <c r="X39" s="597">
        <f t="shared" si="0"/>
        <v>2</v>
      </c>
      <c r="Y39" s="597">
        <f t="shared" si="0"/>
        <v>2</v>
      </c>
      <c r="Z39" s="597">
        <f t="shared" si="0"/>
        <v>2</v>
      </c>
      <c r="AA39" s="597">
        <f t="shared" si="0"/>
        <v>2</v>
      </c>
      <c r="AB39" s="597">
        <f t="shared" si="0"/>
        <v>2</v>
      </c>
      <c r="AC39" s="597">
        <f t="shared" si="0"/>
        <v>2</v>
      </c>
      <c r="AD39" s="597">
        <f t="shared" si="0"/>
        <v>2</v>
      </c>
      <c r="AE39" s="597">
        <f t="shared" si="0"/>
        <v>2</v>
      </c>
      <c r="AF39" s="597">
        <f t="shared" si="0"/>
        <v>2</v>
      </c>
      <c r="AG39" s="597">
        <f t="shared" si="0"/>
        <v>2</v>
      </c>
      <c r="AH39" s="597">
        <f t="shared" si="0"/>
        <v>2</v>
      </c>
      <c r="AI39" s="22"/>
    </row>
    <row r="40" spans="3:35" ht="12.75">
      <c r="C40" s="322"/>
      <c r="D40" s="323"/>
      <c r="E40" s="324" t="s">
        <v>127</v>
      </c>
      <c r="F40" s="595" t="s">
        <v>61</v>
      </c>
      <c r="G40" s="595">
        <f>Assumptions!H33</f>
        <v>25.5</v>
      </c>
      <c r="H40" s="595">
        <f aca="true" t="shared" si="1" ref="H40:AH40">G40*(1+H39/100)</f>
        <v>28.05</v>
      </c>
      <c r="I40" s="595">
        <f t="shared" si="1"/>
        <v>30.855000000000004</v>
      </c>
      <c r="J40" s="595">
        <f t="shared" si="1"/>
        <v>33.94050000000001</v>
      </c>
      <c r="K40" s="595">
        <f t="shared" si="1"/>
        <v>37.334550000000014</v>
      </c>
      <c r="L40" s="595">
        <f t="shared" si="1"/>
        <v>38.08124100000001</v>
      </c>
      <c r="M40" s="595">
        <f t="shared" si="1"/>
        <v>38.842865820000014</v>
      </c>
      <c r="N40" s="595">
        <f t="shared" si="1"/>
        <v>39.61972313640001</v>
      </c>
      <c r="O40" s="595">
        <f t="shared" si="1"/>
        <v>40.41211759912801</v>
      </c>
      <c r="P40" s="595">
        <f t="shared" si="1"/>
        <v>41.220359951110574</v>
      </c>
      <c r="Q40" s="595">
        <f t="shared" si="1"/>
        <v>42.044767150132785</v>
      </c>
      <c r="R40" s="595">
        <f t="shared" si="1"/>
        <v>42.88566249313544</v>
      </c>
      <c r="S40" s="595">
        <f t="shared" si="1"/>
        <v>43.743375742998154</v>
      </c>
      <c r="T40" s="595">
        <f t="shared" si="1"/>
        <v>44.61824325785812</v>
      </c>
      <c r="U40" s="595">
        <f t="shared" si="1"/>
        <v>45.51060812301528</v>
      </c>
      <c r="V40" s="595">
        <f t="shared" si="1"/>
        <v>46.420820285475585</v>
      </c>
      <c r="W40" s="595">
        <f t="shared" si="1"/>
        <v>47.3492366911851</v>
      </c>
      <c r="X40" s="595">
        <f t="shared" si="1"/>
        <v>48.2962214250088</v>
      </c>
      <c r="Y40" s="595">
        <f t="shared" si="1"/>
        <v>49.26214585350898</v>
      </c>
      <c r="Z40" s="595">
        <f t="shared" si="1"/>
        <v>50.247388770579164</v>
      </c>
      <c r="AA40" s="595">
        <f t="shared" si="1"/>
        <v>51.25233654599075</v>
      </c>
      <c r="AB40" s="595">
        <f t="shared" si="1"/>
        <v>52.27738327691057</v>
      </c>
      <c r="AC40" s="595">
        <f t="shared" si="1"/>
        <v>53.322930942448785</v>
      </c>
      <c r="AD40" s="595">
        <f t="shared" si="1"/>
        <v>54.38938956129776</v>
      </c>
      <c r="AE40" s="595">
        <f t="shared" si="1"/>
        <v>55.47717735252372</v>
      </c>
      <c r="AF40" s="595">
        <f t="shared" si="1"/>
        <v>56.586720899574196</v>
      </c>
      <c r="AG40" s="595">
        <f t="shared" si="1"/>
        <v>57.718455317565684</v>
      </c>
      <c r="AH40" s="595">
        <f t="shared" si="1"/>
        <v>58.872824423917</v>
      </c>
      <c r="AI40" s="22"/>
    </row>
    <row r="41" spans="3:35" ht="12.75">
      <c r="C41" s="322"/>
      <c r="D41" s="323"/>
      <c r="E41" s="324" t="s">
        <v>128</v>
      </c>
      <c r="F41" s="594" t="s">
        <v>61</v>
      </c>
      <c r="G41" s="595">
        <f>Assumptions!H34</f>
        <v>3685.5</v>
      </c>
      <c r="H41" s="596">
        <f aca="true" t="shared" si="2" ref="H41:AH41">G41*(1+H39/100)</f>
        <v>4054.05</v>
      </c>
      <c r="I41" s="596">
        <f t="shared" si="2"/>
        <v>4459.455000000001</v>
      </c>
      <c r="J41" s="596">
        <f t="shared" si="2"/>
        <v>4905.400500000002</v>
      </c>
      <c r="K41" s="596">
        <f t="shared" si="2"/>
        <v>5395.940550000002</v>
      </c>
      <c r="L41" s="596">
        <f t="shared" si="2"/>
        <v>5503.8593610000025</v>
      </c>
      <c r="M41" s="596">
        <f t="shared" si="2"/>
        <v>5613.936548220003</v>
      </c>
      <c r="N41" s="596">
        <f t="shared" si="2"/>
        <v>5726.215279184403</v>
      </c>
      <c r="O41" s="596">
        <f t="shared" si="2"/>
        <v>5840.739584768091</v>
      </c>
      <c r="P41" s="596">
        <f t="shared" si="2"/>
        <v>5957.554376463453</v>
      </c>
      <c r="Q41" s="596">
        <f t="shared" si="2"/>
        <v>6076.705463992722</v>
      </c>
      <c r="R41" s="596">
        <f t="shared" si="2"/>
        <v>6198.239573272576</v>
      </c>
      <c r="S41" s="596">
        <f t="shared" si="2"/>
        <v>6322.204364738028</v>
      </c>
      <c r="T41" s="596">
        <f t="shared" si="2"/>
        <v>6448.648452032789</v>
      </c>
      <c r="U41" s="596">
        <f t="shared" si="2"/>
        <v>6577.621421073444</v>
      </c>
      <c r="V41" s="596">
        <f t="shared" si="2"/>
        <v>6709.173849494913</v>
      </c>
      <c r="W41" s="596">
        <f t="shared" si="2"/>
        <v>6843.357326484812</v>
      </c>
      <c r="X41" s="596">
        <f t="shared" si="2"/>
        <v>6980.2244730145085</v>
      </c>
      <c r="Y41" s="596">
        <f t="shared" si="2"/>
        <v>7119.828962474799</v>
      </c>
      <c r="Z41" s="596">
        <f t="shared" si="2"/>
        <v>7262.225541724295</v>
      </c>
      <c r="AA41" s="596">
        <f t="shared" si="2"/>
        <v>7407.470052558781</v>
      </c>
      <c r="AB41" s="596">
        <f t="shared" si="2"/>
        <v>7555.619453609957</v>
      </c>
      <c r="AC41" s="596">
        <f t="shared" si="2"/>
        <v>7706.731842682157</v>
      </c>
      <c r="AD41" s="596">
        <f t="shared" si="2"/>
        <v>7860.8664795358</v>
      </c>
      <c r="AE41" s="596">
        <f t="shared" si="2"/>
        <v>8018.083809126516</v>
      </c>
      <c r="AF41" s="596">
        <f t="shared" si="2"/>
        <v>8178.4454853090465</v>
      </c>
      <c r="AG41" s="596">
        <f t="shared" si="2"/>
        <v>8342.014395015227</v>
      </c>
      <c r="AH41" s="596">
        <f t="shared" si="2"/>
        <v>8508.854682915531</v>
      </c>
      <c r="AI41" s="22"/>
    </row>
    <row r="42" spans="3:35" ht="12.75">
      <c r="C42" s="322"/>
      <c r="D42" s="323"/>
      <c r="E42" s="324"/>
      <c r="F42" s="594"/>
      <c r="G42" s="595"/>
      <c r="H42" s="596"/>
      <c r="I42" s="596"/>
      <c r="J42" s="596"/>
      <c r="K42" s="596"/>
      <c r="L42" s="596"/>
      <c r="M42" s="596"/>
      <c r="N42" s="596"/>
      <c r="O42" s="596"/>
      <c r="P42" s="596"/>
      <c r="Q42" s="596"/>
      <c r="R42" s="596"/>
      <c r="S42" s="596"/>
      <c r="T42" s="596"/>
      <c r="U42" s="596"/>
      <c r="V42" s="596"/>
      <c r="W42" s="596"/>
      <c r="X42" s="596"/>
      <c r="Y42" s="596"/>
      <c r="Z42" s="596"/>
      <c r="AA42" s="596"/>
      <c r="AB42" s="596"/>
      <c r="AC42" s="596"/>
      <c r="AD42" s="596"/>
      <c r="AE42" s="596"/>
      <c r="AF42" s="596"/>
      <c r="AG42" s="596"/>
      <c r="AH42" s="596"/>
      <c r="AI42" s="22"/>
    </row>
    <row r="43" spans="3:35" ht="12.75">
      <c r="C43" s="322"/>
      <c r="D43" s="667" t="s">
        <v>59</v>
      </c>
      <c r="E43" s="667"/>
      <c r="F43" s="594" t="s">
        <v>61</v>
      </c>
      <c r="G43" s="595"/>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596"/>
      <c r="AG43" s="596"/>
      <c r="AH43" s="596"/>
      <c r="AI43" s="22"/>
    </row>
    <row r="44" spans="3:35" ht="12.75" customHeight="1">
      <c r="C44" s="322"/>
      <c r="D44" s="323"/>
      <c r="E44" s="324" t="s">
        <v>129</v>
      </c>
      <c r="F44" s="261" t="s">
        <v>61</v>
      </c>
      <c r="G44" s="261"/>
      <c r="H44" s="262"/>
      <c r="I44" s="261"/>
      <c r="J44" s="261"/>
      <c r="K44" s="261"/>
      <c r="L44" s="261">
        <f>IF(L36&lt;mvacap,L35,mvacap*8.76*LF0913*pfactor)*(1-unserved)</f>
        <v>286.3378808174856</v>
      </c>
      <c r="M44" s="261">
        <f>IF(M36&lt;mvacap,M35,mvacap*8.76*LF0913*pfactor)*(1-unserved)</f>
        <v>312.5042377609374</v>
      </c>
      <c r="N44" s="261">
        <f>IF(N36&lt;mvacap,N35,mvacap*8.76*LF0913*pfactor)*(1-unserved)</f>
        <v>340.58338663866675</v>
      </c>
      <c r="O44" s="261">
        <f aca="true" t="shared" si="3" ref="O44:X44">IF(O36&lt;mvacap,O35,mvacap*8.76*LF1423*pfactor)*(1-unserved)</f>
        <v>364.4716877362894</v>
      </c>
      <c r="P44" s="261">
        <f t="shared" si="3"/>
        <v>389.7048432599001</v>
      </c>
      <c r="Q44" s="261">
        <f t="shared" si="3"/>
        <v>416.3586604397128</v>
      </c>
      <c r="R44" s="261">
        <f t="shared" si="3"/>
        <v>444.513224793813</v>
      </c>
      <c r="S44" s="261">
        <f t="shared" si="3"/>
        <v>474.253141859854</v>
      </c>
      <c r="T44" s="261">
        <f t="shared" si="3"/>
        <v>505.66779260036066</v>
      </c>
      <c r="U44" s="261">
        <f t="shared" si="3"/>
        <v>538.8516032559216</v>
      </c>
      <c r="V44" s="261">
        <f t="shared" si="3"/>
        <v>573.9043304644515</v>
      </c>
      <c r="W44" s="261">
        <f t="shared" si="3"/>
        <v>610.9313625110751</v>
      </c>
      <c r="X44" s="261">
        <f t="shared" si="3"/>
        <v>650.0440376222094</v>
      </c>
      <c r="Y44" s="261">
        <f aca="true" t="shared" si="4" ref="Y44:AH44">IF(Y36&lt;mvacap,Y35,mvacap*8.76*LF2434*pfactor)*(1-unserved)</f>
        <v>684.4201993139621</v>
      </c>
      <c r="Z44" s="261">
        <f t="shared" si="4"/>
        <v>720.3714318589183</v>
      </c>
      <c r="AA44" s="261">
        <f t="shared" si="4"/>
        <v>757.9702937056138</v>
      </c>
      <c r="AB44" s="261">
        <f t="shared" si="4"/>
        <v>797.2927052483832</v>
      </c>
      <c r="AC44" s="261">
        <f t="shared" si="4"/>
        <v>838.4181055612872</v>
      </c>
      <c r="AD44" s="261">
        <f t="shared" si="4"/>
        <v>881.4296164862905</v>
      </c>
      <c r="AE44" s="261">
        <f t="shared" si="4"/>
        <v>926.4142144230917</v>
      </c>
      <c r="AF44" s="261">
        <f t="shared" si="4"/>
        <v>973.462910184517</v>
      </c>
      <c r="AG44" s="261">
        <f t="shared" si="4"/>
        <v>984.333168</v>
      </c>
      <c r="AH44" s="261">
        <f t="shared" si="4"/>
        <v>984.333168</v>
      </c>
      <c r="AI44" s="22"/>
    </row>
    <row r="45" spans="3:35" ht="12.75">
      <c r="C45" s="322"/>
      <c r="D45" s="323"/>
      <c r="E45" s="324" t="s">
        <v>130</v>
      </c>
      <c r="F45" s="261" t="s">
        <v>61</v>
      </c>
      <c r="G45" s="261"/>
      <c r="H45" s="262"/>
      <c r="I45" s="261"/>
      <c r="J45" s="261"/>
      <c r="K45" s="261"/>
      <c r="L45" s="261">
        <f>IF(L36&lt;Assumptions!$H$31,L36,Assumptions!$H$31)*(1-unserved)</f>
        <v>58.369594100107136</v>
      </c>
      <c r="M45" s="261">
        <f>IF(M36&lt;Assumptions!$H$31,M36,Assumptions!$H$31)*(1-unserved)</f>
        <v>63.70357097214149</v>
      </c>
      <c r="N45" s="261">
        <f>IF(N36&lt;Assumptions!$H$31,N36,Assumptions!$H$31)*(1-unserved)</f>
        <v>69.42746792210264</v>
      </c>
      <c r="O45" s="261">
        <f>IF(O36&lt;Assumptions!$H$31,O36,Assumptions!$H$31)*(1-unserved)</f>
        <v>71.73509835779592</v>
      </c>
      <c r="P45" s="261">
        <f>IF(P36&lt;Assumptions!$H$31,P36,Assumptions!$H$31)*(1-unserved)</f>
        <v>76.70147285071252</v>
      </c>
      <c r="Q45" s="261">
        <f>IF(Q36&lt;Assumptions!$H$31,Q36,Assumptions!$H$31)*(1-unserved)</f>
        <v>81.94746111630312</v>
      </c>
      <c r="R45" s="261">
        <f>IF(R36&lt;Assumptions!$H$31,R36,Assumptions!$H$31)*(1-unserved)</f>
        <v>87.48882553806743</v>
      </c>
      <c r="S45" s="261">
        <f>IF(S36&lt;Assumptions!$H$31,S36,Assumptions!$H$31)*(1-unserved)</f>
        <v>93.34221812703788</v>
      </c>
      <c r="T45" s="261">
        <f>IF(T36&lt;Assumptions!$H$31,T36,Assumptions!$H$31)*(1-unserved)</f>
        <v>99.52523079049772</v>
      </c>
      <c r="U45" s="261">
        <f>IF(U36&lt;Assumptions!$H$31,U36,Assumptions!$H$31)*(1-unserved)</f>
        <v>106.05644844432408</v>
      </c>
      <c r="V45" s="261">
        <f>IF(V36&lt;Assumptions!$H$31,V36,Assumptions!$H$31)*(1-unserved)</f>
        <v>112.9555051299897</v>
      </c>
      <c r="W45" s="261">
        <f>IF(W36&lt;Assumptions!$H$31,W36,Assumptions!$H$31)*(1-unserved)</f>
        <v>120.24314330638387</v>
      </c>
      <c r="X45" s="261">
        <f>IF(X36&lt;Assumptions!$H$31,X36,Assumptions!$H$31)*(1-unserved)</f>
        <v>127.9412764962623</v>
      </c>
      <c r="Y45" s="261">
        <f>IF(Y36&lt;Assumptions!$H$31,Y36,Assumptions!$H$31)*(1-unserved)</f>
        <v>130.21693289839462</v>
      </c>
      <c r="Z45" s="261">
        <f>IF(Z36&lt;Assumptions!$H$31,Z36,Assumptions!$H$31)*(1-unserved)</f>
        <v>137.05696953175766</v>
      </c>
      <c r="AA45" s="261">
        <f>IF(AA36&lt;Assumptions!$H$31,AA36,Assumptions!$H$31)*(1-unserved)</f>
        <v>144.21048205966775</v>
      </c>
      <c r="AB45" s="261">
        <f>IF(AB36&lt;Assumptions!$H$31,AB36,Assumptions!$H$31)*(1-unserved)</f>
        <v>151.691915001595</v>
      </c>
      <c r="AC45" s="261">
        <f>IF(AC36&lt;Assumptions!$H$31,AC36,Assumptions!$H$31)*(1-unserved)</f>
        <v>159.51638233662234</v>
      </c>
      <c r="AD45" s="261">
        <f>IF(AD36&lt;Assumptions!$H$31,AD36,Assumptions!$H$31)*(1-unserved)</f>
        <v>167.699698722658</v>
      </c>
      <c r="AE45" s="261">
        <f>IF(AE36&lt;Assumptions!$H$31,AE36,Assumptions!$H$31)*(1-unserved)</f>
        <v>176.25841218095357</v>
      </c>
      <c r="AF45" s="261">
        <f>IF(AF36&lt;Assumptions!$H$31,AF36,Assumptions!$H$31)*(1-unserved)</f>
        <v>185.20983831516685</v>
      </c>
      <c r="AG45" s="261">
        <f>IF(AG36&lt;Assumptions!$H$31,AG36,Assumptions!$H$31)*(1-unserved)</f>
        <v>191.1</v>
      </c>
      <c r="AH45" s="261">
        <f>IF(AH36&lt;Assumptions!$H$31,AH36,Assumptions!$H$31)*(1-unserved)</f>
        <v>191.1</v>
      </c>
      <c r="AI45" s="22"/>
    </row>
    <row r="46" spans="3:35" ht="12.75">
      <c r="C46" s="279"/>
      <c r="D46" s="280"/>
      <c r="E46" s="278"/>
      <c r="F46" s="274"/>
      <c r="G46" s="274"/>
      <c r="H46" s="275"/>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0"/>
    </row>
    <row r="47" spans="3:35" ht="12.75">
      <c r="C47" s="322"/>
      <c r="D47" s="323"/>
      <c r="E47" s="324" t="s">
        <v>131</v>
      </c>
      <c r="F47" s="261" t="s">
        <v>61</v>
      </c>
      <c r="G47" s="261"/>
      <c r="H47" s="240"/>
      <c r="I47" s="239">
        <f>0.126*Assumptions!$H$27</f>
        <v>7.45038</v>
      </c>
      <c r="J47" s="239">
        <f>0.339*Assumptions!$H$27</f>
        <v>20.045070000000003</v>
      </c>
      <c r="K47" s="239">
        <f>0.339*Assumptions!$H$27</f>
        <v>20.045070000000003</v>
      </c>
      <c r="L47" s="239">
        <f>0.154*Assumptions!$H$27</f>
        <v>9.106020000000001</v>
      </c>
      <c r="M47" s="239">
        <f>0.043*Assumptions!$H$27</f>
        <v>2.54259</v>
      </c>
      <c r="N47" s="263"/>
      <c r="O47" s="263"/>
      <c r="P47" s="263"/>
      <c r="Q47" s="263"/>
      <c r="R47" s="263"/>
      <c r="S47" s="263"/>
      <c r="T47" s="263">
        <f>Assumptions!H28</f>
        <v>48.3</v>
      </c>
      <c r="U47" s="263"/>
      <c r="V47" s="263"/>
      <c r="W47" s="263"/>
      <c r="X47" s="263"/>
      <c r="Y47" s="263"/>
      <c r="Z47" s="263"/>
      <c r="AA47" s="263"/>
      <c r="AB47" s="263"/>
      <c r="AC47" s="263"/>
      <c r="AD47" s="263"/>
      <c r="AE47" s="263"/>
      <c r="AF47" s="263"/>
      <c r="AG47" s="263"/>
      <c r="AH47" s="263">
        <f>residcapex*-Planting!AM134</f>
        <v>0</v>
      </c>
      <c r="AI47" s="22"/>
    </row>
    <row r="48" spans="3:35" ht="12.75">
      <c r="C48" s="322"/>
      <c r="D48" s="323"/>
      <c r="E48" s="324"/>
      <c r="F48" s="261"/>
      <c r="G48" s="261"/>
      <c r="H48" s="240"/>
      <c r="I48" s="239"/>
      <c r="J48" s="239"/>
      <c r="K48" s="239"/>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2"/>
    </row>
    <row r="49" spans="3:35" ht="12.75">
      <c r="C49" s="279"/>
      <c r="D49" s="323"/>
      <c r="E49" s="324" t="s">
        <v>121</v>
      </c>
      <c r="F49" s="274" t="s">
        <v>61</v>
      </c>
      <c r="G49" s="274"/>
      <c r="H49" s="273"/>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6"/>
      <c r="AH49" s="277"/>
      <c r="AI49" s="270"/>
    </row>
    <row r="50" spans="3:35" ht="12.75">
      <c r="C50" s="279"/>
      <c r="D50" s="280"/>
      <c r="E50" s="278"/>
      <c r="F50" s="274"/>
      <c r="G50" s="274"/>
      <c r="H50" s="273"/>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6"/>
      <c r="AH50" s="277"/>
      <c r="AI50" s="270"/>
    </row>
    <row r="51" spans="3:35" ht="12.75">
      <c r="C51" s="322"/>
      <c r="D51" s="323"/>
      <c r="E51" s="324" t="s">
        <v>122</v>
      </c>
      <c r="F51" s="261" t="s">
        <v>61</v>
      </c>
      <c r="G51" s="261"/>
      <c r="H51" s="262"/>
      <c r="I51" s="262"/>
      <c r="J51" s="262"/>
      <c r="K51" s="262"/>
      <c r="L51" s="262">
        <f>Assumptions!H$32</f>
        <v>0.88695</v>
      </c>
      <c r="M51" s="262">
        <f>Assumptions!H$32</f>
        <v>0.88695</v>
      </c>
      <c r="N51" s="262">
        <f>Assumptions!H$32</f>
        <v>0.88695</v>
      </c>
      <c r="O51" s="262">
        <f>Assumptions!H$32</f>
        <v>0.88695</v>
      </c>
      <c r="P51" s="262">
        <f>Assumptions!H$32</f>
        <v>0.88695</v>
      </c>
      <c r="Q51" s="262">
        <f>Assumptions!H$32</f>
        <v>0.88695</v>
      </c>
      <c r="R51" s="262">
        <f>Assumptions!H$32</f>
        <v>0.88695</v>
      </c>
      <c r="S51" s="262">
        <f>Assumptions!H$32</f>
        <v>0.88695</v>
      </c>
      <c r="T51" s="262">
        <f>Assumptions!H$32</f>
        <v>0.88695</v>
      </c>
      <c r="U51" s="262">
        <f>Assumptions!H$32</f>
        <v>0.88695</v>
      </c>
      <c r="V51" s="262">
        <f>Assumptions!H$32</f>
        <v>0.88695</v>
      </c>
      <c r="W51" s="262">
        <f>Assumptions!H$32</f>
        <v>0.88695</v>
      </c>
      <c r="X51" s="262">
        <f>Assumptions!H$32</f>
        <v>0.88695</v>
      </c>
      <c r="Y51" s="262">
        <f>Assumptions!H$32</f>
        <v>0.88695</v>
      </c>
      <c r="Z51" s="262">
        <f>Assumptions!H$32</f>
        <v>0.88695</v>
      </c>
      <c r="AA51" s="262">
        <f>Assumptions!H$32</f>
        <v>0.88695</v>
      </c>
      <c r="AB51" s="262">
        <f>Assumptions!H$32</f>
        <v>0.88695</v>
      </c>
      <c r="AC51" s="262">
        <f>Assumptions!H$32</f>
        <v>0.88695</v>
      </c>
      <c r="AD51" s="262">
        <f>Assumptions!H$32</f>
        <v>0.88695</v>
      </c>
      <c r="AE51" s="262">
        <f>Assumptions!H$32</f>
        <v>0.88695</v>
      </c>
      <c r="AF51" s="262">
        <f>Assumptions!H$32</f>
        <v>0.88695</v>
      </c>
      <c r="AG51" s="262">
        <f>Assumptions!H$32</f>
        <v>0.88695</v>
      </c>
      <c r="AH51" s="262">
        <f>Assumptions!H$32</f>
        <v>0.88695</v>
      </c>
      <c r="AI51" s="22"/>
    </row>
    <row r="52" spans="3:35" ht="12.75">
      <c r="C52" s="322"/>
      <c r="D52" s="323"/>
      <c r="E52" s="324" t="s">
        <v>123</v>
      </c>
      <c r="F52" s="261" t="s">
        <v>61</v>
      </c>
      <c r="G52" s="261"/>
      <c r="H52" s="262"/>
      <c r="I52" s="262"/>
      <c r="J52" s="262"/>
      <c r="K52" s="261"/>
      <c r="L52" s="261">
        <f aca="true" t="shared" si="5" ref="L52:AH52">((L44*L40)+(L45*L41*12*0.8/1000))/ex_rate</f>
        <v>10.760137693032418</v>
      </c>
      <c r="M52" s="261">
        <f t="shared" si="5"/>
        <v>11.978297774402106</v>
      </c>
      <c r="N52" s="261">
        <f t="shared" si="5"/>
        <v>13.31566392964884</v>
      </c>
      <c r="O52" s="261">
        <f t="shared" si="5"/>
        <v>14.424106600668814</v>
      </c>
      <c r="P52" s="261">
        <f t="shared" si="5"/>
        <v>15.731172760298907</v>
      </c>
      <c r="Q52" s="261">
        <f t="shared" si="5"/>
        <v>17.143246571151018</v>
      </c>
      <c r="R52" s="261">
        <f t="shared" si="5"/>
        <v>18.668538814359177</v>
      </c>
      <c r="S52" s="261">
        <f t="shared" si="5"/>
        <v>20.315898260539264</v>
      </c>
      <c r="T52" s="261">
        <f t="shared" si="5"/>
        <v>22.094861186515686</v>
      </c>
      <c r="U52" s="261">
        <f t="shared" si="5"/>
        <v>24.015704735915527</v>
      </c>
      <c r="V52" s="261">
        <f t="shared" si="5"/>
        <v>26.089504422171387</v>
      </c>
      <c r="W52" s="261">
        <f t="shared" si="5"/>
        <v>28.32819609567387</v>
      </c>
      <c r="X52" s="261">
        <f t="shared" si="5"/>
        <v>30.744642721819282</v>
      </c>
      <c r="Y52" s="261">
        <f t="shared" si="5"/>
        <v>32.78183205395116</v>
      </c>
      <c r="Z52" s="261">
        <f t="shared" si="5"/>
        <v>35.193872456892684</v>
      </c>
      <c r="AA52" s="261">
        <f t="shared" si="5"/>
        <v>37.77138686556562</v>
      </c>
      <c r="AB52" s="261">
        <f t="shared" si="5"/>
        <v>40.52553047845542</v>
      </c>
      <c r="AC52" s="261">
        <f t="shared" si="5"/>
        <v>43.46820814023162</v>
      </c>
      <c r="AD52" s="261">
        <f t="shared" si="5"/>
        <v>46.612124776140924</v>
      </c>
      <c r="AE52" s="261">
        <f t="shared" si="5"/>
        <v>49.970839227985486</v>
      </c>
      <c r="AF52" s="261">
        <f t="shared" si="5"/>
        <v>53.558821721793905</v>
      </c>
      <c r="AG52" s="261">
        <f t="shared" si="5"/>
        <v>55.47547377178847</v>
      </c>
      <c r="AH52" s="261">
        <f t="shared" si="5"/>
        <v>56.584983247224244</v>
      </c>
      <c r="AI52" s="22"/>
    </row>
    <row r="53" spans="3:35" ht="12.75">
      <c r="C53" s="269"/>
      <c r="D53" s="268"/>
      <c r="E53" s="324" t="s">
        <v>135</v>
      </c>
      <c r="F53" s="261" t="s">
        <v>61</v>
      </c>
      <c r="G53" s="261"/>
      <c r="H53" s="262"/>
      <c r="I53" s="262"/>
      <c r="J53" s="261"/>
      <c r="K53" s="261"/>
      <c r="L53" s="261">
        <f aca="true" t="shared" si="6" ref="L53:AH53">(unserved*L35*voll)</f>
        <v>2.9218151103825063</v>
      </c>
      <c r="M53" s="261">
        <f t="shared" si="6"/>
        <v>3.1888187526626264</v>
      </c>
      <c r="N53" s="261">
        <f t="shared" si="6"/>
        <v>3.4753406799863957</v>
      </c>
      <c r="O53" s="261">
        <f t="shared" si="6"/>
        <v>3.719098854451933</v>
      </c>
      <c r="P53" s="261">
        <f t="shared" si="6"/>
        <v>3.976580033264287</v>
      </c>
      <c r="Q53" s="261">
        <f t="shared" si="6"/>
        <v>4.248557759588906</v>
      </c>
      <c r="R53" s="261">
        <f t="shared" si="6"/>
        <v>4.5358492325899284</v>
      </c>
      <c r="S53" s="261">
        <f t="shared" si="6"/>
        <v>4.8393177740801425</v>
      </c>
      <c r="T53" s="261">
        <f t="shared" si="6"/>
        <v>5.159875434697558</v>
      </c>
      <c r="U53" s="261">
        <f t="shared" si="6"/>
        <v>5.498485747509404</v>
      </c>
      <c r="V53" s="261">
        <f t="shared" si="6"/>
        <v>5.856166637392363</v>
      </c>
      <c r="W53" s="261">
        <f t="shared" si="6"/>
        <v>6.233993495010971</v>
      </c>
      <c r="X53" s="261">
        <f t="shared" si="6"/>
        <v>6.633102424716423</v>
      </c>
      <c r="Y53" s="261">
        <f t="shared" si="6"/>
        <v>6.983879584836349</v>
      </c>
      <c r="Z53" s="261">
        <f t="shared" si="6"/>
        <v>7.350728896519574</v>
      </c>
      <c r="AA53" s="261">
        <f t="shared" si="6"/>
        <v>7.7343907520981015</v>
      </c>
      <c r="AB53" s="261">
        <f t="shared" si="6"/>
        <v>8.135639849473298</v>
      </c>
      <c r="AC53" s="261">
        <f t="shared" si="6"/>
        <v>8.555286791441706</v>
      </c>
      <c r="AD53" s="261">
        <f t="shared" si="6"/>
        <v>8.994179760064188</v>
      </c>
      <c r="AE53" s="261">
        <f t="shared" si="6"/>
        <v>9.453206269623387</v>
      </c>
      <c r="AF53" s="261">
        <f t="shared" si="6"/>
        <v>9.933295001882826</v>
      </c>
      <c r="AG53" s="261">
        <f t="shared" si="6"/>
        <v>10.435417727537898</v>
      </c>
      <c r="AH53" s="261">
        <f t="shared" si="6"/>
        <v>10.960591317933911</v>
      </c>
      <c r="AI53" s="22"/>
    </row>
    <row r="54" spans="3:35" ht="12.75">
      <c r="C54" s="269"/>
      <c r="D54" s="268"/>
      <c r="E54" s="324"/>
      <c r="F54" s="261"/>
      <c r="G54" s="261"/>
      <c r="H54" s="262"/>
      <c r="I54" s="262"/>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2"/>
    </row>
    <row r="55" spans="3:35" ht="12.75">
      <c r="C55" s="269"/>
      <c r="D55" s="268"/>
      <c r="E55" s="357" t="s">
        <v>165</v>
      </c>
      <c r="F55" s="261" t="s">
        <v>61</v>
      </c>
      <c r="G55" s="261"/>
      <c r="H55" s="262"/>
      <c r="I55" s="263">
        <f>SUM(I47,I51:I53)</f>
        <v>7.45038</v>
      </c>
      <c r="J55" s="263">
        <f aca="true" t="shared" si="7" ref="J55:AH55">SUM(J47,J51:J53)</f>
        <v>20.045070000000003</v>
      </c>
      <c r="K55" s="263">
        <f t="shared" si="7"/>
        <v>20.045070000000003</v>
      </c>
      <c r="L55" s="263">
        <f t="shared" si="7"/>
        <v>23.674922803414926</v>
      </c>
      <c r="M55" s="263">
        <f t="shared" si="7"/>
        <v>18.596656527064734</v>
      </c>
      <c r="N55" s="263">
        <f t="shared" si="7"/>
        <v>17.677954609635236</v>
      </c>
      <c r="O55" s="263">
        <f t="shared" si="7"/>
        <v>19.03015545512075</v>
      </c>
      <c r="P55" s="263">
        <f t="shared" si="7"/>
        <v>20.594702793563194</v>
      </c>
      <c r="Q55" s="263">
        <f t="shared" si="7"/>
        <v>22.278754330739922</v>
      </c>
      <c r="R55" s="263">
        <f t="shared" si="7"/>
        <v>24.091338046949105</v>
      </c>
      <c r="S55" s="263">
        <f t="shared" si="7"/>
        <v>26.042166034619406</v>
      </c>
      <c r="T55" s="263">
        <f t="shared" si="7"/>
        <v>76.44168662121324</v>
      </c>
      <c r="U55" s="263">
        <f t="shared" si="7"/>
        <v>30.401140483424932</v>
      </c>
      <c r="V55" s="263">
        <f t="shared" si="7"/>
        <v>32.83262105956375</v>
      </c>
      <c r="W55" s="263">
        <f t="shared" si="7"/>
        <v>35.44913959068484</v>
      </c>
      <c r="X55" s="263">
        <f t="shared" si="7"/>
        <v>38.2646951465357</v>
      </c>
      <c r="Y55" s="263">
        <f t="shared" si="7"/>
        <v>40.652661638787514</v>
      </c>
      <c r="Z55" s="263">
        <f t="shared" si="7"/>
        <v>43.43155135341226</v>
      </c>
      <c r="AA55" s="263">
        <f t="shared" si="7"/>
        <v>46.392727617663716</v>
      </c>
      <c r="AB55" s="263">
        <f t="shared" si="7"/>
        <v>49.54812032792872</v>
      </c>
      <c r="AC55" s="263">
        <f t="shared" si="7"/>
        <v>52.910444931673325</v>
      </c>
      <c r="AD55" s="263">
        <f t="shared" si="7"/>
        <v>56.493254536205114</v>
      </c>
      <c r="AE55" s="263">
        <f t="shared" si="7"/>
        <v>60.31099549760887</v>
      </c>
      <c r="AF55" s="263">
        <f t="shared" si="7"/>
        <v>64.37906672367673</v>
      </c>
      <c r="AG55" s="263">
        <f t="shared" si="7"/>
        <v>66.79784149932637</v>
      </c>
      <c r="AH55" s="263">
        <f t="shared" si="7"/>
        <v>68.43252456515816</v>
      </c>
      <c r="AI55" s="22"/>
    </row>
    <row r="56" spans="3:35" ht="12.75">
      <c r="C56" s="269"/>
      <c r="D56" s="268"/>
      <c r="E56" s="324"/>
      <c r="F56" s="261"/>
      <c r="G56" s="261"/>
      <c r="H56" s="262"/>
      <c r="I56" s="262"/>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2"/>
    </row>
    <row r="57" spans="3:35" ht="12.75">
      <c r="C57" s="269"/>
      <c r="D57" s="316" t="s">
        <v>153</v>
      </c>
      <c r="E57" s="324"/>
      <c r="F57" s="261"/>
      <c r="G57" s="261"/>
      <c r="H57" s="262"/>
      <c r="I57" s="262"/>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2"/>
    </row>
    <row r="58" spans="3:35" ht="12.75">
      <c r="C58" s="271"/>
      <c r="D58" s="272"/>
      <c r="E58" s="278"/>
      <c r="F58" s="274"/>
      <c r="G58" s="274"/>
      <c r="H58" s="275"/>
      <c r="I58" s="275"/>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0"/>
    </row>
    <row r="59" spans="3:35" ht="14.25" customHeight="1">
      <c r="C59" s="271"/>
      <c r="D59" s="667" t="s">
        <v>58</v>
      </c>
      <c r="E59" s="667"/>
      <c r="F59" s="261"/>
      <c r="G59" s="261"/>
      <c r="H59" s="262"/>
      <c r="I59" s="262"/>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70"/>
    </row>
    <row r="60" spans="3:35" ht="14.25" customHeight="1">
      <c r="C60" s="271"/>
      <c r="D60" s="592"/>
      <c r="E60" s="592"/>
      <c r="F60" s="261"/>
      <c r="G60" s="261"/>
      <c r="H60" s="262"/>
      <c r="I60" s="262"/>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70"/>
    </row>
    <row r="61" spans="3:35" ht="12.75">
      <c r="C61" s="279"/>
      <c r="D61" s="323"/>
      <c r="E61" s="324" t="s">
        <v>136</v>
      </c>
      <c r="F61" s="240" t="s">
        <v>61</v>
      </c>
      <c r="G61" s="240"/>
      <c r="H61" s="240"/>
      <c r="I61" s="243"/>
      <c r="J61" s="240"/>
      <c r="K61" s="243"/>
      <c r="L61" s="243">
        <v>292.1815110382506</v>
      </c>
      <c r="M61" s="243">
        <v>318.8818752662626</v>
      </c>
      <c r="N61" s="243">
        <v>347.53406799863956</v>
      </c>
      <c r="O61" s="243">
        <v>371.9098854451933</v>
      </c>
      <c r="P61" s="243">
        <v>397.6580033264287</v>
      </c>
      <c r="Q61" s="243">
        <v>424.85577595889066</v>
      </c>
      <c r="R61" s="243">
        <v>453.58492325899283</v>
      </c>
      <c r="S61" s="243">
        <v>483.9317774080143</v>
      </c>
      <c r="T61" s="243">
        <v>515.9875434697558</v>
      </c>
      <c r="U61" s="243">
        <v>549.8485747509404</v>
      </c>
      <c r="V61" s="243">
        <v>585.6166637392363</v>
      </c>
      <c r="W61" s="243">
        <v>623.399349501097</v>
      </c>
      <c r="X61" s="243">
        <v>663.3102424716423</v>
      </c>
      <c r="Y61" s="243">
        <v>698.3879584836349</v>
      </c>
      <c r="Z61" s="243">
        <v>735.0728896519574</v>
      </c>
      <c r="AA61" s="243">
        <v>773.4390752098101</v>
      </c>
      <c r="AB61" s="243">
        <v>813.5639849473298</v>
      </c>
      <c r="AC61" s="243">
        <v>855.5286791441706</v>
      </c>
      <c r="AD61" s="243">
        <v>899.4179760064188</v>
      </c>
      <c r="AE61" s="243">
        <v>945.3206269623386</v>
      </c>
      <c r="AF61" s="243">
        <v>993.3295001882826</v>
      </c>
      <c r="AG61" s="243">
        <v>1024.92</v>
      </c>
      <c r="AH61" s="243">
        <v>1024.92</v>
      </c>
      <c r="AI61" s="270"/>
    </row>
    <row r="62" spans="3:35" ht="12.75">
      <c r="C62" s="279"/>
      <c r="D62" s="323"/>
      <c r="E62" s="324"/>
      <c r="F62" s="240"/>
      <c r="G62" s="240"/>
      <c r="H62" s="240"/>
      <c r="I62" s="243"/>
      <c r="J62" s="240"/>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70"/>
    </row>
    <row r="63" spans="3:35" ht="12.75">
      <c r="C63" s="322"/>
      <c r="D63" s="323"/>
      <c r="E63" s="324" t="s">
        <v>137</v>
      </c>
      <c r="F63" s="240" t="s">
        <v>61</v>
      </c>
      <c r="G63" s="240"/>
      <c r="H63" s="243"/>
      <c r="I63" s="240"/>
      <c r="J63" s="243">
        <f>Planting!H60</f>
        <v>0</v>
      </c>
      <c r="K63" s="243">
        <f>Planting!I60</f>
        <v>42</v>
      </c>
      <c r="L63" s="243">
        <f>Planting!J60</f>
        <v>0</v>
      </c>
      <c r="M63" s="243">
        <f>Planting!K60</f>
        <v>0</v>
      </c>
      <c r="N63" s="243">
        <f>Planting!L60</f>
        <v>0</v>
      </c>
      <c r="O63" s="243">
        <f>Planting!M60</f>
        <v>0</v>
      </c>
      <c r="P63" s="243">
        <f>Planting!N60</f>
        <v>42</v>
      </c>
      <c r="Q63" s="243">
        <f>Planting!O60</f>
        <v>0</v>
      </c>
      <c r="R63" s="243">
        <f>Planting!P60</f>
        <v>0</v>
      </c>
      <c r="S63" s="243">
        <f>Planting!Q60</f>
        <v>0</v>
      </c>
      <c r="T63" s="243">
        <f>Planting!R60</f>
        <v>48.3</v>
      </c>
      <c r="U63" s="243">
        <f>Planting!S60</f>
        <v>0</v>
      </c>
      <c r="V63" s="243">
        <f>Planting!T60</f>
        <v>0</v>
      </c>
      <c r="W63" s="243">
        <f>Planting!U60</f>
        <v>0</v>
      </c>
      <c r="X63" s="243">
        <f>Planting!V60</f>
        <v>0</v>
      </c>
      <c r="Y63" s="243">
        <f>Planting!W60</f>
        <v>0</v>
      </c>
      <c r="Z63" s="243">
        <f>Planting!X60</f>
        <v>0</v>
      </c>
      <c r="AA63" s="243">
        <f>Planting!Y60</f>
        <v>0</v>
      </c>
      <c r="AB63" s="243">
        <f>Planting!Z60</f>
        <v>42</v>
      </c>
      <c r="AC63" s="243">
        <f>Planting!AA60</f>
        <v>21</v>
      </c>
      <c r="AD63" s="243">
        <f>Planting!AB60</f>
        <v>0</v>
      </c>
      <c r="AE63" s="243">
        <f>Planting!AC60</f>
        <v>84</v>
      </c>
      <c r="AF63" s="243">
        <f>Planting!AD60</f>
        <v>0</v>
      </c>
      <c r="AG63" s="243">
        <f>Planting!AE60</f>
        <v>0</v>
      </c>
      <c r="AH63" s="243">
        <f>Planting!AF60</f>
        <v>0</v>
      </c>
      <c r="AI63" s="22"/>
    </row>
    <row r="64" spans="3:35" ht="12.75">
      <c r="C64" s="322"/>
      <c r="D64" s="323"/>
      <c r="E64" s="324" t="s">
        <v>138</v>
      </c>
      <c r="F64" s="266" t="s">
        <v>61</v>
      </c>
      <c r="G64" s="240"/>
      <c r="H64" s="325"/>
      <c r="I64" s="240"/>
      <c r="J64" s="243"/>
      <c r="K64" s="243"/>
      <c r="L64" s="243">
        <f>Planting!J76</f>
        <v>13.148094117349652</v>
      </c>
      <c r="M64" s="243">
        <f>Planting!K76</f>
        <v>15.74804208405232</v>
      </c>
      <c r="N64" s="243">
        <f>Planting!L76</f>
        <v>18.538049351367526</v>
      </c>
      <c r="O64" s="243">
        <f>Planting!M76</f>
        <v>14.353181495225698</v>
      </c>
      <c r="P64" s="243">
        <f>Planting!N76</f>
        <v>16.860404473910997</v>
      </c>
      <c r="Q64" s="243">
        <f>Planting!O76</f>
        <v>19.508787583996977</v>
      </c>
      <c r="R64" s="243">
        <f>Planting!P76</f>
        <v>22.306288302344427</v>
      </c>
      <c r="S64" s="243">
        <f>Planting!Q76</f>
        <v>25.261313225105393</v>
      </c>
      <c r="T64" s="243">
        <f>Planting!R76</f>
        <v>28.382743445367467</v>
      </c>
      <c r="U64" s="243">
        <f>Planting!S76</f>
        <v>21.841933866372823</v>
      </c>
      <c r="V64" s="243">
        <f>Planting!T76</f>
        <v>25.324851531608136</v>
      </c>
      <c r="W64" s="243">
        <f>Planting!U76</f>
        <v>29.003940557669324</v>
      </c>
      <c r="X64" s="243">
        <f>Planting!V76</f>
        <v>32.89026376067616</v>
      </c>
      <c r="Y64" s="243">
        <f>Planting!W76</f>
        <v>36.30595635734394</v>
      </c>
      <c r="Z64" s="243">
        <f>Planting!X76</f>
        <v>39.87815152985935</v>
      </c>
      <c r="AA64" s="243">
        <f>Planting!Y76</f>
        <v>43.61405884855525</v>
      </c>
      <c r="AB64" s="243">
        <f>Planting!Z76</f>
        <v>47.52122193424624</v>
      </c>
      <c r="AC64" s="243">
        <f>Planting!AA76</f>
        <v>51.60753403166362</v>
      </c>
      <c r="AD64" s="243">
        <f>Planting!AB76</f>
        <v>55.881254313625035</v>
      </c>
      <c r="AE64" s="243">
        <f>Planting!AC76</f>
        <v>60.35102495045772</v>
      </c>
      <c r="AF64" s="243">
        <f>Planting!AD76</f>
        <v>65.02588898083403</v>
      </c>
      <c r="AG64" s="243">
        <f>Planting!AE76</f>
        <v>69.91530902190027</v>
      </c>
      <c r="AH64" s="243">
        <f>Planting!AF76</f>
        <v>75.02918685838145</v>
      </c>
      <c r="AI64" s="22"/>
    </row>
    <row r="65" spans="3:35" ht="12.75">
      <c r="C65" s="322"/>
      <c r="D65" s="323"/>
      <c r="E65" s="324" t="s">
        <v>139</v>
      </c>
      <c r="F65" s="266" t="s">
        <v>61</v>
      </c>
      <c r="G65" s="240"/>
      <c r="H65" s="325"/>
      <c r="I65" s="240"/>
      <c r="J65" s="243">
        <v>0</v>
      </c>
      <c r="K65" s="243">
        <v>0</v>
      </c>
      <c r="L65" s="243">
        <v>0</v>
      </c>
      <c r="M65" s="243">
        <v>0</v>
      </c>
      <c r="N65" s="243">
        <v>0</v>
      </c>
      <c r="O65" s="243">
        <v>0</v>
      </c>
      <c r="P65" s="243">
        <v>0</v>
      </c>
      <c r="Q65" s="243">
        <v>0</v>
      </c>
      <c r="R65" s="243">
        <v>0</v>
      </c>
      <c r="S65" s="243">
        <v>9</v>
      </c>
      <c r="T65" s="243">
        <v>0</v>
      </c>
      <c r="U65" s="243">
        <v>0</v>
      </c>
      <c r="V65" s="243">
        <v>0</v>
      </c>
      <c r="W65" s="243">
        <v>0</v>
      </c>
      <c r="X65" s="243">
        <v>0</v>
      </c>
      <c r="Y65" s="243">
        <v>0</v>
      </c>
      <c r="Z65" s="243">
        <v>0</v>
      </c>
      <c r="AA65" s="243">
        <v>0</v>
      </c>
      <c r="AB65" s="243">
        <v>0</v>
      </c>
      <c r="AC65" s="243">
        <v>0</v>
      </c>
      <c r="AD65" s="243">
        <v>0</v>
      </c>
      <c r="AE65" s="243">
        <v>0</v>
      </c>
      <c r="AF65" s="243">
        <v>0</v>
      </c>
      <c r="AG65" s="243">
        <v>0</v>
      </c>
      <c r="AH65" s="243">
        <v>0</v>
      </c>
      <c r="AI65" s="22"/>
    </row>
    <row r="66" spans="3:35" ht="12.75" customHeight="1">
      <c r="C66" s="322"/>
      <c r="D66" s="323"/>
      <c r="E66" s="324" t="s">
        <v>140</v>
      </c>
      <c r="F66" s="266" t="s">
        <v>61</v>
      </c>
      <c r="G66" s="240"/>
      <c r="H66" s="325"/>
      <c r="I66" s="325"/>
      <c r="J66" s="243"/>
      <c r="K66" s="243">
        <f>Planting!I68</f>
        <v>2.982837246673177</v>
      </c>
      <c r="L66" s="243">
        <f>Planting!J68</f>
        <v>5.089202770813239</v>
      </c>
      <c r="M66" s="243">
        <f>Planting!K68</f>
        <v>5.246263736860368</v>
      </c>
      <c r="N66" s="243">
        <f>Planting!L68</f>
        <v>5.414806047050821</v>
      </c>
      <c r="O66" s="243">
        <f>Planting!M68</f>
        <v>4.990545208501137</v>
      </c>
      <c r="P66" s="243">
        <f>Planting!N68</f>
        <v>5.14200472544958</v>
      </c>
      <c r="Q66" s="243">
        <f>Planting!O68</f>
        <v>7.261991623287592</v>
      </c>
      <c r="R66" s="243">
        <f>Planting!P68</f>
        <v>7.43098660740584</v>
      </c>
      <c r="S66" s="243">
        <f>Planting!Q68</f>
        <v>7.60949751416479</v>
      </c>
      <c r="T66" s="243">
        <f>Planting!R68</f>
        <v>7.79806084393974</v>
      </c>
      <c r="U66" s="243">
        <f>Planting!S68</f>
        <v>8.828243380887885</v>
      </c>
      <c r="V66" s="243">
        <f>Planting!T68</f>
        <v>9.038643904348449</v>
      </c>
      <c r="W66" s="243">
        <f>Planting!U68</f>
        <v>9.260894997065277</v>
      </c>
      <c r="X66" s="243">
        <f>Planting!V68</f>
        <v>9.495664955715544</v>
      </c>
      <c r="Y66" s="243">
        <f>Planting!W68</f>
        <v>9.70200446166844</v>
      </c>
      <c r="Z66" s="243">
        <f>Planting!X68</f>
        <v>9.917798174423279</v>
      </c>
      <c r="AA66" s="243">
        <f>Planting!Y68</f>
        <v>10.143481618881236</v>
      </c>
      <c r="AB66" s="243">
        <f>Planting!Z68</f>
        <v>10.379510499690175</v>
      </c>
      <c r="AC66" s="243">
        <f>Planting!AA68</f>
        <v>12.586361642024533</v>
      </c>
      <c r="AD66" s="243">
        <f>Planting!AB68</f>
        <v>12.844533976508346</v>
      </c>
      <c r="AE66" s="243">
        <f>Planting!AC68</f>
        <v>13.114549570366698</v>
      </c>
      <c r="AF66" s="243">
        <f>Planting!AD68</f>
        <v>15.356954706989898</v>
      </c>
      <c r="AG66" s="243">
        <f>Planting!AE68</f>
        <v>15.652321016198764</v>
      </c>
      <c r="AH66" s="243">
        <f>Planting!AF68</f>
        <v>15.961246657608184</v>
      </c>
      <c r="AI66" s="22"/>
    </row>
    <row r="67" spans="3:35" ht="12.75" customHeight="1">
      <c r="C67" s="322"/>
      <c r="D67" s="323"/>
      <c r="E67" s="324"/>
      <c r="F67" s="266"/>
      <c r="G67" s="240"/>
      <c r="H67" s="325"/>
      <c r="I67" s="325"/>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2"/>
    </row>
    <row r="68" spans="3:35" ht="12.75" customHeight="1">
      <c r="C68" s="322"/>
      <c r="D68" s="323"/>
      <c r="E68" s="324" t="s">
        <v>166</v>
      </c>
      <c r="F68" s="266"/>
      <c r="G68" s="240"/>
      <c r="H68" s="325"/>
      <c r="I68" s="239">
        <f>SUM(I63:I66)</f>
        <v>0</v>
      </c>
      <c r="J68" s="239">
        <f>SUM(J63:J66)</f>
        <v>0</v>
      </c>
      <c r="K68" s="239">
        <f>SUM(K63:K66)</f>
        <v>44.98283724667318</v>
      </c>
      <c r="L68" s="239">
        <f aca="true" t="shared" si="8" ref="L68:AH68">SUM(L63:L66)</f>
        <v>18.23729688816289</v>
      </c>
      <c r="M68" s="239">
        <f t="shared" si="8"/>
        <v>20.99430582091269</v>
      </c>
      <c r="N68" s="239">
        <f t="shared" si="8"/>
        <v>23.952855398418347</v>
      </c>
      <c r="O68" s="239">
        <f t="shared" si="8"/>
        <v>19.343726703726837</v>
      </c>
      <c r="P68" s="239">
        <f t="shared" si="8"/>
        <v>64.00240919936057</v>
      </c>
      <c r="Q68" s="239">
        <f t="shared" si="8"/>
        <v>26.77077920728457</v>
      </c>
      <c r="R68" s="239">
        <f t="shared" si="8"/>
        <v>29.73727490975027</v>
      </c>
      <c r="S68" s="239">
        <f t="shared" si="8"/>
        <v>41.87081073927018</v>
      </c>
      <c r="T68" s="239">
        <f t="shared" si="8"/>
        <v>84.4808042893072</v>
      </c>
      <c r="U68" s="239">
        <f t="shared" si="8"/>
        <v>30.67017724726071</v>
      </c>
      <c r="V68" s="239">
        <f t="shared" si="8"/>
        <v>34.36349543595659</v>
      </c>
      <c r="W68" s="239">
        <f t="shared" si="8"/>
        <v>38.2648355547346</v>
      </c>
      <c r="X68" s="239">
        <f t="shared" si="8"/>
        <v>42.3859287163917</v>
      </c>
      <c r="Y68" s="239">
        <f t="shared" si="8"/>
        <v>46.00796081901238</v>
      </c>
      <c r="Z68" s="239">
        <f t="shared" si="8"/>
        <v>49.795949704282634</v>
      </c>
      <c r="AA68" s="239">
        <f t="shared" si="8"/>
        <v>53.757540467436485</v>
      </c>
      <c r="AB68" s="239">
        <f t="shared" si="8"/>
        <v>99.90073243393641</v>
      </c>
      <c r="AC68" s="239">
        <f t="shared" si="8"/>
        <v>85.19389567368815</v>
      </c>
      <c r="AD68" s="239">
        <f t="shared" si="8"/>
        <v>68.72578829013338</v>
      </c>
      <c r="AE68" s="239">
        <f t="shared" si="8"/>
        <v>157.46557452082442</v>
      </c>
      <c r="AF68" s="239">
        <f t="shared" si="8"/>
        <v>80.38284368782392</v>
      </c>
      <c r="AG68" s="239">
        <f t="shared" si="8"/>
        <v>85.56763003809904</v>
      </c>
      <c r="AH68" s="239">
        <f t="shared" si="8"/>
        <v>90.99043351598964</v>
      </c>
      <c r="AI68" s="22"/>
    </row>
    <row r="69" spans="3:35" ht="12.75">
      <c r="C69" s="322"/>
      <c r="D69" s="323"/>
      <c r="E69" s="324" t="s">
        <v>164</v>
      </c>
      <c r="F69" s="240" t="s">
        <v>61</v>
      </c>
      <c r="G69" s="240"/>
      <c r="H69" s="243"/>
      <c r="I69" s="239">
        <f aca="true" t="shared" si="9" ref="I69:AH69">I68-I55</f>
        <v>-7.45038</v>
      </c>
      <c r="J69" s="239">
        <f t="shared" si="9"/>
        <v>-20.045070000000003</v>
      </c>
      <c r="K69" s="239">
        <f t="shared" si="9"/>
        <v>24.937767246673175</v>
      </c>
      <c r="L69" s="239">
        <f t="shared" si="9"/>
        <v>-5.437625915252035</v>
      </c>
      <c r="M69" s="239">
        <f t="shared" si="9"/>
        <v>2.397649293847955</v>
      </c>
      <c r="N69" s="239">
        <f t="shared" si="9"/>
        <v>6.2749007887831105</v>
      </c>
      <c r="O69" s="239">
        <f t="shared" si="9"/>
        <v>0.3135712486060882</v>
      </c>
      <c r="P69" s="239">
        <f t="shared" si="9"/>
        <v>43.40770640579738</v>
      </c>
      <c r="Q69" s="239">
        <f t="shared" si="9"/>
        <v>4.492024876544647</v>
      </c>
      <c r="R69" s="239">
        <f t="shared" si="9"/>
        <v>5.645936862801165</v>
      </c>
      <c r="S69" s="239">
        <f t="shared" si="9"/>
        <v>15.828644704650777</v>
      </c>
      <c r="T69" s="239">
        <f t="shared" si="9"/>
        <v>8.039117668093965</v>
      </c>
      <c r="U69" s="239">
        <f t="shared" si="9"/>
        <v>0.26903676383577846</v>
      </c>
      <c r="V69" s="239">
        <f t="shared" si="9"/>
        <v>1.5308743763928376</v>
      </c>
      <c r="W69" s="239">
        <f t="shared" si="9"/>
        <v>2.815695964049766</v>
      </c>
      <c r="X69" s="239">
        <f t="shared" si="9"/>
        <v>4.1212335698560025</v>
      </c>
      <c r="Y69" s="239">
        <f t="shared" si="9"/>
        <v>5.355299180224868</v>
      </c>
      <c r="Z69" s="239">
        <f t="shared" si="9"/>
        <v>6.364398350870374</v>
      </c>
      <c r="AA69" s="239">
        <f t="shared" si="9"/>
        <v>7.364812849772768</v>
      </c>
      <c r="AB69" s="239">
        <f t="shared" si="9"/>
        <v>50.35261210600769</v>
      </c>
      <c r="AC69" s="239">
        <f t="shared" si="9"/>
        <v>32.28345074201482</v>
      </c>
      <c r="AD69" s="239">
        <f t="shared" si="9"/>
        <v>12.232533753928266</v>
      </c>
      <c r="AE69" s="239">
        <f t="shared" si="9"/>
        <v>97.15457902321555</v>
      </c>
      <c r="AF69" s="239">
        <f t="shared" si="9"/>
        <v>16.003776964147193</v>
      </c>
      <c r="AG69" s="239">
        <f t="shared" si="9"/>
        <v>18.769788538772673</v>
      </c>
      <c r="AH69" s="239">
        <f t="shared" si="9"/>
        <v>22.557908950831475</v>
      </c>
      <c r="AI69" s="22"/>
    </row>
    <row r="70" spans="3:35" ht="12.75">
      <c r="C70" s="37"/>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2"/>
    </row>
    <row r="71" spans="3:35" s="283" customFormat="1" ht="25.5">
      <c r="C71" s="281"/>
      <c r="D71" s="282"/>
      <c r="E71" s="282"/>
      <c r="F71" s="639" t="s">
        <v>67</v>
      </c>
      <c r="G71" s="639"/>
      <c r="H71" s="639"/>
      <c r="I71" s="628" t="s">
        <v>66</v>
      </c>
      <c r="J71" s="127">
        <v>0</v>
      </c>
      <c r="K71" s="127">
        <v>0</v>
      </c>
      <c r="L71" s="127">
        <v>0</v>
      </c>
      <c r="M71" s="127">
        <v>0</v>
      </c>
      <c r="N71" s="127">
        <v>0</v>
      </c>
      <c r="O71" s="127">
        <v>0</v>
      </c>
      <c r="P71" s="127">
        <v>0</v>
      </c>
      <c r="Q71" s="127">
        <v>0</v>
      </c>
      <c r="R71" s="127">
        <v>0</v>
      </c>
      <c r="S71" s="127">
        <v>0</v>
      </c>
      <c r="T71" s="127">
        <v>0</v>
      </c>
      <c r="U71" s="127">
        <v>0</v>
      </c>
      <c r="V71" s="127">
        <v>0</v>
      </c>
      <c r="W71" s="127">
        <v>0</v>
      </c>
      <c r="X71" s="127">
        <v>0</v>
      </c>
      <c r="Y71" s="127">
        <v>0</v>
      </c>
      <c r="Z71" s="127">
        <v>0</v>
      </c>
      <c r="AA71" s="127">
        <v>0</v>
      </c>
      <c r="AB71" s="127">
        <v>0</v>
      </c>
      <c r="AC71" s="127">
        <v>0</v>
      </c>
      <c r="AD71" s="127">
        <v>0</v>
      </c>
      <c r="AE71" s="127">
        <v>0</v>
      </c>
      <c r="AF71" s="127">
        <v>0</v>
      </c>
      <c r="AG71" s="127">
        <v>0</v>
      </c>
      <c r="AH71" s="127">
        <v>0</v>
      </c>
      <c r="AI71" s="270"/>
    </row>
    <row r="72" spans="3:35" s="283" customFormat="1" ht="25.5">
      <c r="C72" s="281"/>
      <c r="D72" s="282"/>
      <c r="E72" s="282"/>
      <c r="F72" s="282"/>
      <c r="G72" s="282"/>
      <c r="H72" s="282"/>
      <c r="I72" s="628" t="s">
        <v>68</v>
      </c>
      <c r="J72" s="21">
        <v>0.25263157894736843</v>
      </c>
      <c r="K72" s="21">
        <v>0.25263157894736843</v>
      </c>
      <c r="L72" s="21">
        <v>0.25263157894736843</v>
      </c>
      <c r="M72" s="21">
        <v>0.25263157894736843</v>
      </c>
      <c r="N72" s="21">
        <v>0.25263157894736843</v>
      </c>
      <c r="O72" s="21">
        <v>0.25263157894736843</v>
      </c>
      <c r="P72" s="21">
        <v>0.25263157894736843</v>
      </c>
      <c r="Q72" s="21">
        <v>0.25263157894736843</v>
      </c>
      <c r="R72" s="21">
        <v>0.25263157894736843</v>
      </c>
      <c r="S72" s="21">
        <v>0.25263157894736843</v>
      </c>
      <c r="T72" s="21">
        <v>0.25263157894736843</v>
      </c>
      <c r="U72" s="21">
        <v>0.25263157894736843</v>
      </c>
      <c r="V72" s="21">
        <v>0.25263157894736843</v>
      </c>
      <c r="W72" s="21">
        <v>0.25263157894736843</v>
      </c>
      <c r="X72" s="21">
        <v>0.25263157894736843</v>
      </c>
      <c r="Y72" s="21">
        <v>0.25263157894736843</v>
      </c>
      <c r="Z72" s="21">
        <v>0.25263157894736843</v>
      </c>
      <c r="AA72" s="21">
        <v>0.25263157894736843</v>
      </c>
      <c r="AB72" s="21">
        <v>0.25263157894736843</v>
      </c>
      <c r="AC72" s="21">
        <v>0.25263157894736843</v>
      </c>
      <c r="AD72" s="21">
        <v>0.25263157894736843</v>
      </c>
      <c r="AE72" s="21">
        <v>0.25263157894736843</v>
      </c>
      <c r="AF72" s="21">
        <v>0.25263157894736843</v>
      </c>
      <c r="AG72" s="21">
        <v>0.25263157894736843</v>
      </c>
      <c r="AH72" s="21">
        <v>0.25263157894736843</v>
      </c>
      <c r="AI72" s="22"/>
    </row>
    <row r="73" spans="3:35" s="283" customFormat="1" ht="25.5">
      <c r="C73" s="281"/>
      <c r="D73" s="282"/>
      <c r="E73" s="282"/>
      <c r="F73" s="282"/>
      <c r="G73" s="282"/>
      <c r="H73" s="282"/>
      <c r="I73" s="628" t="s">
        <v>69</v>
      </c>
      <c r="J73" s="21">
        <v>1</v>
      </c>
      <c r="K73" s="21">
        <v>1</v>
      </c>
      <c r="L73" s="21">
        <v>1</v>
      </c>
      <c r="M73" s="21">
        <v>1</v>
      </c>
      <c r="N73" s="21">
        <v>1</v>
      </c>
      <c r="O73" s="21">
        <v>1</v>
      </c>
      <c r="P73" s="21">
        <v>1</v>
      </c>
      <c r="Q73" s="21">
        <v>1</v>
      </c>
      <c r="R73" s="21">
        <v>1</v>
      </c>
      <c r="S73" s="21">
        <v>1</v>
      </c>
      <c r="T73" s="21">
        <v>1</v>
      </c>
      <c r="U73" s="21">
        <v>1</v>
      </c>
      <c r="V73" s="21">
        <v>1</v>
      </c>
      <c r="W73" s="21">
        <v>1</v>
      </c>
      <c r="X73" s="21">
        <v>1</v>
      </c>
      <c r="Y73" s="21">
        <v>1</v>
      </c>
      <c r="Z73" s="21">
        <v>1</v>
      </c>
      <c r="AA73" s="21">
        <v>1</v>
      </c>
      <c r="AB73" s="21">
        <v>1</v>
      </c>
      <c r="AC73" s="21">
        <v>1</v>
      </c>
      <c r="AD73" s="21">
        <v>1</v>
      </c>
      <c r="AE73" s="21">
        <v>1</v>
      </c>
      <c r="AF73" s="21">
        <v>1</v>
      </c>
      <c r="AG73" s="21">
        <v>1</v>
      </c>
      <c r="AH73" s="21">
        <v>1</v>
      </c>
      <c r="AI73" s="22"/>
    </row>
    <row r="74" spans="3:35" s="283" customFormat="1" ht="12.75">
      <c r="C74" s="281"/>
      <c r="D74" s="282"/>
      <c r="E74" s="282"/>
      <c r="F74" s="282"/>
      <c r="G74" s="282"/>
      <c r="H74" s="282"/>
      <c r="I74" s="629">
        <v>13.95</v>
      </c>
      <c r="J74" s="629">
        <v>47.10771704890095</v>
      </c>
      <c r="K74" s="629">
        <v>18.740783700099602</v>
      </c>
      <c r="L74" s="629">
        <v>14.518952803414923</v>
      </c>
      <c r="M74" s="629">
        <v>16.00411652706473</v>
      </c>
      <c r="N74" s="629">
        <v>17.628004609635237</v>
      </c>
      <c r="O74" s="629">
        <v>18.980205455120746</v>
      </c>
      <c r="P74" s="629">
        <v>20.544752793563195</v>
      </c>
      <c r="Q74" s="629">
        <v>22.228804330739923</v>
      </c>
      <c r="R74" s="629">
        <v>24.041388046949105</v>
      </c>
      <c r="S74" s="629">
        <v>25.992216034619407</v>
      </c>
      <c r="T74" s="629">
        <v>76.39173662121324</v>
      </c>
      <c r="U74" s="629">
        <v>30.35119048342493</v>
      </c>
      <c r="V74" s="629">
        <v>32.782671059563754</v>
      </c>
      <c r="W74" s="629">
        <v>35.39918959068484</v>
      </c>
      <c r="X74" s="629">
        <v>38.214745146535705</v>
      </c>
      <c r="Y74" s="629">
        <v>40.60271163878752</v>
      </c>
      <c r="Z74" s="629">
        <v>43.381601353412265</v>
      </c>
      <c r="AA74" s="629">
        <v>46.34277761766372</v>
      </c>
      <c r="AB74" s="629">
        <v>49.498170327928726</v>
      </c>
      <c r="AC74" s="629">
        <v>52.86049493167333</v>
      </c>
      <c r="AD74" s="629">
        <v>56.44330453620512</v>
      </c>
      <c r="AE74" s="629">
        <v>60.261045497608876</v>
      </c>
      <c r="AF74" s="629">
        <v>64.32911672367673</v>
      </c>
      <c r="AG74" s="629">
        <v>66.74789149932637</v>
      </c>
      <c r="AH74" s="629">
        <v>68.38257456515817</v>
      </c>
      <c r="AI74" s="22"/>
    </row>
    <row r="75" spans="3:35" ht="12.75">
      <c r="C75" s="37"/>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2"/>
    </row>
    <row r="76" spans="3:35" ht="12.75">
      <c r="C76" s="37"/>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2"/>
    </row>
    <row r="77" spans="3:35" ht="12.75">
      <c r="C77" s="38"/>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39"/>
    </row>
    <row r="78" ht="13.5" thickBot="1"/>
    <row r="79" spans="6:30" ht="12.75">
      <c r="F79" s="328"/>
      <c r="G79" s="326" t="s">
        <v>154</v>
      </c>
      <c r="H79" s="329"/>
      <c r="I79" s="330"/>
      <c r="J79" s="329"/>
      <c r="K79" s="329"/>
      <c r="L79" s="329"/>
      <c r="M79" s="329"/>
      <c r="N79" s="329"/>
      <c r="O79" s="329"/>
      <c r="P79" s="329"/>
      <c r="Q79" s="329"/>
      <c r="R79" s="331"/>
      <c r="S79" s="329"/>
      <c r="T79" s="329"/>
      <c r="U79" s="329"/>
      <c r="V79" s="329"/>
      <c r="W79" s="329"/>
      <c r="X79" s="329"/>
      <c r="Y79" s="329"/>
      <c r="Z79" s="329"/>
      <c r="AA79" s="329"/>
      <c r="AB79" s="329"/>
      <c r="AC79" s="332"/>
      <c r="AD79" s="5"/>
    </row>
    <row r="80" spans="6:30" ht="12.75">
      <c r="F80" s="333"/>
      <c r="G80" s="30"/>
      <c r="H80" s="30"/>
      <c r="I80" s="334"/>
      <c r="J80" s="30"/>
      <c r="K80" s="30"/>
      <c r="L80" s="30"/>
      <c r="M80" s="30"/>
      <c r="N80" s="30"/>
      <c r="O80" s="30"/>
      <c r="P80" s="30"/>
      <c r="Q80" s="30"/>
      <c r="R80" s="335"/>
      <c r="S80" s="30"/>
      <c r="T80" s="30"/>
      <c r="U80" s="30"/>
      <c r="V80" s="30"/>
      <c r="W80" s="30"/>
      <c r="X80" s="30"/>
      <c r="Y80" s="30"/>
      <c r="Z80" s="30"/>
      <c r="AA80" s="30"/>
      <c r="AB80" s="30"/>
      <c r="AC80" s="336"/>
      <c r="AD80" s="5"/>
    </row>
    <row r="81" spans="6:30" ht="12.75">
      <c r="F81" s="333"/>
      <c r="G81" s="30"/>
      <c r="H81" s="49" t="s">
        <v>155</v>
      </c>
      <c r="I81" s="337">
        <f>I68*0.9</f>
        <v>0</v>
      </c>
      <c r="J81" s="337">
        <f aca="true" t="shared" si="10" ref="J81:AB81">J68*0.9</f>
        <v>0</v>
      </c>
      <c r="K81" s="337">
        <f t="shared" si="10"/>
        <v>40.48455352200586</v>
      </c>
      <c r="L81" s="337">
        <f t="shared" si="10"/>
        <v>16.413567199346602</v>
      </c>
      <c r="M81" s="337">
        <f t="shared" si="10"/>
        <v>18.89487523882142</v>
      </c>
      <c r="N81" s="337">
        <f t="shared" si="10"/>
        <v>21.557569858576514</v>
      </c>
      <c r="O81" s="337">
        <f t="shared" si="10"/>
        <v>17.409354033354155</v>
      </c>
      <c r="P81" s="337">
        <f t="shared" si="10"/>
        <v>57.60216827942452</v>
      </c>
      <c r="Q81" s="337">
        <f t="shared" si="10"/>
        <v>24.09370128655611</v>
      </c>
      <c r="R81" s="337">
        <f t="shared" si="10"/>
        <v>26.763547418775243</v>
      </c>
      <c r="S81" s="337">
        <f t="shared" si="10"/>
        <v>37.683729665343165</v>
      </c>
      <c r="T81" s="337">
        <f t="shared" si="10"/>
        <v>76.03272386037648</v>
      </c>
      <c r="U81" s="337">
        <f t="shared" si="10"/>
        <v>27.60315952253464</v>
      </c>
      <c r="V81" s="337">
        <f t="shared" si="10"/>
        <v>30.92714589236093</v>
      </c>
      <c r="W81" s="337">
        <f t="shared" si="10"/>
        <v>34.438351999261144</v>
      </c>
      <c r="X81" s="337">
        <f t="shared" si="10"/>
        <v>38.14733584475253</v>
      </c>
      <c r="Y81" s="337">
        <f t="shared" si="10"/>
        <v>41.407164737111145</v>
      </c>
      <c r="Z81" s="337">
        <f t="shared" si="10"/>
        <v>44.816354733854375</v>
      </c>
      <c r="AA81" s="337">
        <f t="shared" si="10"/>
        <v>48.38178642069284</v>
      </c>
      <c r="AB81" s="337">
        <f t="shared" si="10"/>
        <v>89.91065919054277</v>
      </c>
      <c r="AC81" s="336"/>
      <c r="AD81" s="5"/>
    </row>
    <row r="82" spans="6:30" ht="12.75">
      <c r="F82" s="333"/>
      <c r="G82" s="30"/>
      <c r="H82" s="49" t="s">
        <v>156</v>
      </c>
      <c r="I82" s="338">
        <f>I81-I55</f>
        <v>-7.45038</v>
      </c>
      <c r="J82" s="338">
        <f aca="true" t="shared" si="11" ref="J82:AB82">J81-J55</f>
        <v>-20.045070000000003</v>
      </c>
      <c r="K82" s="338">
        <f t="shared" si="11"/>
        <v>20.439483522005858</v>
      </c>
      <c r="L82" s="338">
        <f t="shared" si="11"/>
        <v>-7.261355604068324</v>
      </c>
      <c r="M82" s="338">
        <f t="shared" si="11"/>
        <v>0.2982187117566859</v>
      </c>
      <c r="N82" s="338">
        <f t="shared" si="11"/>
        <v>3.8796152489412776</v>
      </c>
      <c r="O82" s="338">
        <f t="shared" si="11"/>
        <v>-1.6208014217665934</v>
      </c>
      <c r="P82" s="338">
        <f t="shared" si="11"/>
        <v>37.007465485861324</v>
      </c>
      <c r="Q82" s="338">
        <f t="shared" si="11"/>
        <v>1.8149469558161897</v>
      </c>
      <c r="R82" s="338">
        <f t="shared" si="11"/>
        <v>2.6722093718261384</v>
      </c>
      <c r="S82" s="338">
        <f t="shared" si="11"/>
        <v>11.641563630723759</v>
      </c>
      <c r="T82" s="338">
        <f t="shared" si="11"/>
        <v>-0.40896276083675787</v>
      </c>
      <c r="U82" s="338">
        <f t="shared" si="11"/>
        <v>-2.7979809608902926</v>
      </c>
      <c r="V82" s="338">
        <f t="shared" si="11"/>
        <v>-1.9054751672028196</v>
      </c>
      <c r="W82" s="338">
        <f t="shared" si="11"/>
        <v>-1.0107875914236928</v>
      </c>
      <c r="X82" s="338">
        <f t="shared" si="11"/>
        <v>-0.11735930178316778</v>
      </c>
      <c r="Y82" s="338">
        <f t="shared" si="11"/>
        <v>0.7545030983236316</v>
      </c>
      <c r="Z82" s="338">
        <f t="shared" si="11"/>
        <v>1.384803380442115</v>
      </c>
      <c r="AA82" s="338">
        <f t="shared" si="11"/>
        <v>1.989058803029124</v>
      </c>
      <c r="AB82" s="338">
        <f t="shared" si="11"/>
        <v>40.36253886261405</v>
      </c>
      <c r="AC82" s="336"/>
      <c r="AD82" s="5"/>
    </row>
    <row r="83" spans="6:30" ht="13.5" thickBot="1">
      <c r="F83" s="340"/>
      <c r="G83" s="341"/>
      <c r="H83" s="341"/>
      <c r="I83" s="341"/>
      <c r="J83" s="341"/>
      <c r="K83" s="341"/>
      <c r="L83" s="341"/>
      <c r="M83" s="341"/>
      <c r="N83" s="341"/>
      <c r="O83" s="341"/>
      <c r="P83" s="341"/>
      <c r="Q83" s="341"/>
      <c r="R83" s="342"/>
      <c r="S83" s="341"/>
      <c r="T83" s="341"/>
      <c r="U83" s="341"/>
      <c r="V83" s="341"/>
      <c r="W83" s="341"/>
      <c r="X83" s="341"/>
      <c r="Y83" s="341"/>
      <c r="Z83" s="341"/>
      <c r="AA83" s="341"/>
      <c r="AB83" s="341"/>
      <c r="AC83" s="343"/>
      <c r="AD83" s="5"/>
    </row>
    <row r="84" spans="6:30" ht="13.5" thickBot="1">
      <c r="F84" s="5"/>
      <c r="G84" s="5"/>
      <c r="H84" s="5"/>
      <c r="I84" s="5"/>
      <c r="J84" s="5"/>
      <c r="K84" s="5"/>
      <c r="L84" s="5"/>
      <c r="M84" s="5"/>
      <c r="N84" s="5"/>
      <c r="O84" s="5"/>
      <c r="P84" s="5"/>
      <c r="Q84" s="5"/>
      <c r="R84" s="96"/>
      <c r="S84" s="5"/>
      <c r="T84" s="5"/>
      <c r="U84" s="5"/>
      <c r="V84" s="5"/>
      <c r="W84" s="5"/>
      <c r="X84" s="5"/>
      <c r="Y84" s="5"/>
      <c r="Z84" s="5"/>
      <c r="AA84" s="5"/>
      <c r="AB84" s="5"/>
      <c r="AC84" s="5"/>
      <c r="AD84" s="5"/>
    </row>
    <row r="85" spans="6:30" ht="12.75">
      <c r="F85" s="328"/>
      <c r="G85" s="326" t="s">
        <v>157</v>
      </c>
      <c r="H85" s="329"/>
      <c r="I85" s="329"/>
      <c r="J85" s="329"/>
      <c r="K85" s="329"/>
      <c r="L85" s="329"/>
      <c r="M85" s="329"/>
      <c r="N85" s="329"/>
      <c r="O85" s="329"/>
      <c r="P85" s="329"/>
      <c r="Q85" s="329"/>
      <c r="R85" s="331"/>
      <c r="S85" s="329"/>
      <c r="T85" s="329"/>
      <c r="U85" s="329"/>
      <c r="V85" s="329"/>
      <c r="W85" s="329"/>
      <c r="X85" s="329"/>
      <c r="Y85" s="329"/>
      <c r="Z85" s="329"/>
      <c r="AA85" s="329"/>
      <c r="AB85" s="329"/>
      <c r="AC85" s="332"/>
      <c r="AD85" s="5"/>
    </row>
    <row r="86" spans="6:30" ht="12.75">
      <c r="F86" s="333"/>
      <c r="G86" s="30"/>
      <c r="H86" s="30"/>
      <c r="I86" s="30"/>
      <c r="J86" s="30"/>
      <c r="K86" s="30"/>
      <c r="L86" s="30"/>
      <c r="M86" s="30"/>
      <c r="N86" s="30"/>
      <c r="O86" s="30"/>
      <c r="P86" s="30"/>
      <c r="Q86" s="30"/>
      <c r="R86" s="335"/>
      <c r="S86" s="30"/>
      <c r="T86" s="30"/>
      <c r="U86" s="30"/>
      <c r="V86" s="30"/>
      <c r="W86" s="30"/>
      <c r="X86" s="30"/>
      <c r="Y86" s="30"/>
      <c r="Z86" s="30"/>
      <c r="AA86" s="30"/>
      <c r="AB86" s="30"/>
      <c r="AC86" s="336"/>
      <c r="AD86" s="5"/>
    </row>
    <row r="87" spans="6:30" ht="12.75">
      <c r="F87" s="333"/>
      <c r="G87" s="30"/>
      <c r="H87" s="49" t="s">
        <v>158</v>
      </c>
      <c r="I87" s="338">
        <f>I55*1.2</f>
        <v>8.940456</v>
      </c>
      <c r="J87" s="338">
        <f aca="true" t="shared" si="12" ref="J87:AB87">J55*1.2</f>
        <v>24.054084000000003</v>
      </c>
      <c r="K87" s="338">
        <f t="shared" si="12"/>
        <v>24.054084000000003</v>
      </c>
      <c r="L87" s="338">
        <f t="shared" si="12"/>
        <v>28.40990736409791</v>
      </c>
      <c r="M87" s="338">
        <f t="shared" si="12"/>
        <v>22.31598783247768</v>
      </c>
      <c r="N87" s="338">
        <f t="shared" si="12"/>
        <v>21.213545531562282</v>
      </c>
      <c r="O87" s="338">
        <f t="shared" si="12"/>
        <v>22.836186546144898</v>
      </c>
      <c r="P87" s="338">
        <f t="shared" si="12"/>
        <v>24.71364335227583</v>
      </c>
      <c r="Q87" s="338">
        <f t="shared" si="12"/>
        <v>26.734505196887905</v>
      </c>
      <c r="R87" s="338">
        <f t="shared" si="12"/>
        <v>28.909605656338925</v>
      </c>
      <c r="S87" s="338">
        <f t="shared" si="12"/>
        <v>31.250599241543284</v>
      </c>
      <c r="T87" s="338">
        <f t="shared" si="12"/>
        <v>91.73002394545588</v>
      </c>
      <c r="U87" s="338">
        <f t="shared" si="12"/>
        <v>36.481368580109915</v>
      </c>
      <c r="V87" s="338">
        <f t="shared" si="12"/>
        <v>39.3991452714765</v>
      </c>
      <c r="W87" s="338">
        <f t="shared" si="12"/>
        <v>42.538967508821806</v>
      </c>
      <c r="X87" s="338">
        <f t="shared" si="12"/>
        <v>45.91763417584284</v>
      </c>
      <c r="Y87" s="338">
        <f t="shared" si="12"/>
        <v>48.783193966545014</v>
      </c>
      <c r="Z87" s="338">
        <f t="shared" si="12"/>
        <v>52.11786162409471</v>
      </c>
      <c r="AA87" s="338">
        <f t="shared" si="12"/>
        <v>55.67127314119646</v>
      </c>
      <c r="AB87" s="338">
        <f t="shared" si="12"/>
        <v>59.45774439351446</v>
      </c>
      <c r="AC87" s="336"/>
      <c r="AD87" s="5"/>
    </row>
    <row r="88" spans="6:30" ht="12.75">
      <c r="F88" s="333"/>
      <c r="G88" s="30"/>
      <c r="H88" s="49" t="s">
        <v>155</v>
      </c>
      <c r="I88" s="338">
        <f>I68</f>
        <v>0</v>
      </c>
      <c r="J88" s="338">
        <f aca="true" t="shared" si="13" ref="J88:AB88">J68</f>
        <v>0</v>
      </c>
      <c r="K88" s="338">
        <f t="shared" si="13"/>
        <v>44.98283724667318</v>
      </c>
      <c r="L88" s="338">
        <f t="shared" si="13"/>
        <v>18.23729688816289</v>
      </c>
      <c r="M88" s="338">
        <f t="shared" si="13"/>
        <v>20.99430582091269</v>
      </c>
      <c r="N88" s="338">
        <f t="shared" si="13"/>
        <v>23.952855398418347</v>
      </c>
      <c r="O88" s="338">
        <f t="shared" si="13"/>
        <v>19.343726703726837</v>
      </c>
      <c r="P88" s="338">
        <f t="shared" si="13"/>
        <v>64.00240919936057</v>
      </c>
      <c r="Q88" s="338">
        <f t="shared" si="13"/>
        <v>26.77077920728457</v>
      </c>
      <c r="R88" s="338">
        <f t="shared" si="13"/>
        <v>29.73727490975027</v>
      </c>
      <c r="S88" s="338">
        <f t="shared" si="13"/>
        <v>41.87081073927018</v>
      </c>
      <c r="T88" s="338">
        <f t="shared" si="13"/>
        <v>84.4808042893072</v>
      </c>
      <c r="U88" s="338">
        <f t="shared" si="13"/>
        <v>30.67017724726071</v>
      </c>
      <c r="V88" s="338">
        <f t="shared" si="13"/>
        <v>34.36349543595659</v>
      </c>
      <c r="W88" s="338">
        <f t="shared" si="13"/>
        <v>38.2648355547346</v>
      </c>
      <c r="X88" s="338">
        <f t="shared" si="13"/>
        <v>42.3859287163917</v>
      </c>
      <c r="Y88" s="338">
        <f t="shared" si="13"/>
        <v>46.00796081901238</v>
      </c>
      <c r="Z88" s="338">
        <f t="shared" si="13"/>
        <v>49.795949704282634</v>
      </c>
      <c r="AA88" s="338">
        <f t="shared" si="13"/>
        <v>53.757540467436485</v>
      </c>
      <c r="AB88" s="338">
        <f t="shared" si="13"/>
        <v>99.90073243393641</v>
      </c>
      <c r="AC88" s="336"/>
      <c r="AD88" s="5"/>
    </row>
    <row r="89" spans="6:30" ht="12.75">
      <c r="F89" s="333"/>
      <c r="G89" s="30"/>
      <c r="H89" s="49" t="s">
        <v>156</v>
      </c>
      <c r="I89" s="338">
        <f>I88-I87</f>
        <v>-8.940456</v>
      </c>
      <c r="J89" s="338">
        <f aca="true" t="shared" si="14" ref="J89:AB89">J88-J87</f>
        <v>-24.054084000000003</v>
      </c>
      <c r="K89" s="338">
        <f t="shared" si="14"/>
        <v>20.928753246673175</v>
      </c>
      <c r="L89" s="338">
        <f t="shared" si="14"/>
        <v>-10.17261047593502</v>
      </c>
      <c r="M89" s="338">
        <f t="shared" si="14"/>
        <v>-1.3216820115649917</v>
      </c>
      <c r="N89" s="338">
        <f t="shared" si="14"/>
        <v>2.7393098668560647</v>
      </c>
      <c r="O89" s="338">
        <f t="shared" si="14"/>
        <v>-3.492459842418061</v>
      </c>
      <c r="P89" s="338">
        <f t="shared" si="14"/>
        <v>39.28876584708474</v>
      </c>
      <c r="Q89" s="338">
        <f t="shared" si="14"/>
        <v>0.03627401039666367</v>
      </c>
      <c r="R89" s="339">
        <f t="shared" si="14"/>
        <v>0.8276692534113437</v>
      </c>
      <c r="S89" s="338">
        <f t="shared" si="14"/>
        <v>10.620211497726899</v>
      </c>
      <c r="T89" s="338">
        <f t="shared" si="14"/>
        <v>-7.249219656148682</v>
      </c>
      <c r="U89" s="338">
        <f t="shared" si="14"/>
        <v>-5.811191332849205</v>
      </c>
      <c r="V89" s="338">
        <f t="shared" si="14"/>
        <v>-5.035649835519912</v>
      </c>
      <c r="W89" s="338">
        <f t="shared" si="14"/>
        <v>-4.274131954087203</v>
      </c>
      <c r="X89" s="338">
        <f t="shared" si="14"/>
        <v>-3.531705459451139</v>
      </c>
      <c r="Y89" s="338">
        <f t="shared" si="14"/>
        <v>-2.7752331475326315</v>
      </c>
      <c r="Z89" s="338">
        <f t="shared" si="14"/>
        <v>-2.3219119198120737</v>
      </c>
      <c r="AA89" s="338">
        <f t="shared" si="14"/>
        <v>-1.9137326737599736</v>
      </c>
      <c r="AB89" s="338">
        <f t="shared" si="14"/>
        <v>40.44298804042195</v>
      </c>
      <c r="AC89" s="336"/>
      <c r="AD89" s="5"/>
    </row>
    <row r="90" spans="6:30" ht="13.5" thickBot="1">
      <c r="F90" s="340"/>
      <c r="G90" s="341"/>
      <c r="H90" s="341"/>
      <c r="I90" s="341"/>
      <c r="J90" s="341"/>
      <c r="K90" s="341"/>
      <c r="L90" s="341"/>
      <c r="M90" s="341"/>
      <c r="N90" s="341"/>
      <c r="O90" s="341"/>
      <c r="P90" s="341"/>
      <c r="Q90" s="341"/>
      <c r="R90" s="342"/>
      <c r="S90" s="341"/>
      <c r="T90" s="341"/>
      <c r="U90" s="341"/>
      <c r="V90" s="341"/>
      <c r="W90" s="341"/>
      <c r="X90" s="341"/>
      <c r="Y90" s="341"/>
      <c r="Z90" s="341"/>
      <c r="AA90" s="341"/>
      <c r="AB90" s="341"/>
      <c r="AC90" s="343"/>
      <c r="AD90" s="5"/>
    </row>
    <row r="91" spans="6:30" ht="13.5" thickBot="1">
      <c r="F91" s="5"/>
      <c r="G91" s="5"/>
      <c r="H91" s="5"/>
      <c r="I91" s="5"/>
      <c r="J91" s="5"/>
      <c r="K91" s="5"/>
      <c r="L91" s="5"/>
      <c r="M91" s="5"/>
      <c r="N91" s="5"/>
      <c r="O91" s="5"/>
      <c r="P91" s="5"/>
      <c r="Q91" s="5"/>
      <c r="R91" s="96"/>
      <c r="S91" s="5"/>
      <c r="T91" s="5"/>
      <c r="U91" s="5"/>
      <c r="V91" s="5"/>
      <c r="W91" s="5"/>
      <c r="X91" s="5"/>
      <c r="Y91" s="5"/>
      <c r="Z91" s="5"/>
      <c r="AA91" s="5"/>
      <c r="AB91" s="5"/>
      <c r="AC91" s="5"/>
      <c r="AD91" s="5"/>
    </row>
    <row r="92" spans="6:30" ht="12.75">
      <c r="F92" s="328"/>
      <c r="G92" s="326" t="s">
        <v>159</v>
      </c>
      <c r="H92" s="329"/>
      <c r="I92" s="329"/>
      <c r="J92" s="329"/>
      <c r="K92" s="329"/>
      <c r="L92" s="329"/>
      <c r="M92" s="329"/>
      <c r="N92" s="329"/>
      <c r="O92" s="329"/>
      <c r="P92" s="329"/>
      <c r="Q92" s="329"/>
      <c r="R92" s="331"/>
      <c r="S92" s="329"/>
      <c r="T92" s="329"/>
      <c r="U92" s="329"/>
      <c r="V92" s="329"/>
      <c r="W92" s="329"/>
      <c r="X92" s="329"/>
      <c r="Y92" s="329"/>
      <c r="Z92" s="329"/>
      <c r="AA92" s="329"/>
      <c r="AB92" s="329"/>
      <c r="AC92" s="332"/>
      <c r="AD92" s="5"/>
    </row>
    <row r="93" spans="6:30" ht="12.75">
      <c r="F93" s="333"/>
      <c r="G93" s="30"/>
      <c r="H93" s="30"/>
      <c r="I93" s="30"/>
      <c r="J93" s="30"/>
      <c r="K93" s="30"/>
      <c r="L93" s="30"/>
      <c r="M93" s="30"/>
      <c r="N93" s="30"/>
      <c r="O93" s="30"/>
      <c r="P93" s="30"/>
      <c r="Q93" s="30"/>
      <c r="R93" s="335"/>
      <c r="S93" s="30"/>
      <c r="T93" s="30"/>
      <c r="U93" s="30"/>
      <c r="V93" s="30"/>
      <c r="W93" s="30"/>
      <c r="X93" s="30"/>
      <c r="Y93" s="30"/>
      <c r="Z93" s="30"/>
      <c r="AA93" s="30"/>
      <c r="AB93" s="30"/>
      <c r="AC93" s="336"/>
      <c r="AD93" s="5"/>
    </row>
    <row r="94" spans="6:30" ht="12.75">
      <c r="F94" s="333"/>
      <c r="G94" s="30"/>
      <c r="H94" s="49" t="s">
        <v>155</v>
      </c>
      <c r="I94" s="338">
        <f>I68</f>
        <v>0</v>
      </c>
      <c r="J94" s="338">
        <f>I68</f>
        <v>0</v>
      </c>
      <c r="K94" s="338">
        <f aca="true" t="shared" si="15" ref="K94:AB94">J68</f>
        <v>0</v>
      </c>
      <c r="L94" s="338">
        <f t="shared" si="15"/>
        <v>44.98283724667318</v>
      </c>
      <c r="M94" s="338">
        <f t="shared" si="15"/>
        <v>18.23729688816289</v>
      </c>
      <c r="N94" s="338">
        <f t="shared" si="15"/>
        <v>20.99430582091269</v>
      </c>
      <c r="O94" s="338">
        <f t="shared" si="15"/>
        <v>23.952855398418347</v>
      </c>
      <c r="P94" s="338">
        <f t="shared" si="15"/>
        <v>19.343726703726837</v>
      </c>
      <c r="Q94" s="338">
        <f t="shared" si="15"/>
        <v>64.00240919936057</v>
      </c>
      <c r="R94" s="338">
        <f t="shared" si="15"/>
        <v>26.77077920728457</v>
      </c>
      <c r="S94" s="338">
        <f t="shared" si="15"/>
        <v>29.73727490975027</v>
      </c>
      <c r="T94" s="338">
        <f t="shared" si="15"/>
        <v>41.87081073927018</v>
      </c>
      <c r="U94" s="338">
        <f t="shared" si="15"/>
        <v>84.4808042893072</v>
      </c>
      <c r="V94" s="338">
        <f t="shared" si="15"/>
        <v>30.67017724726071</v>
      </c>
      <c r="W94" s="338">
        <f t="shared" si="15"/>
        <v>34.36349543595659</v>
      </c>
      <c r="X94" s="338">
        <f t="shared" si="15"/>
        <v>38.2648355547346</v>
      </c>
      <c r="Y94" s="338">
        <f t="shared" si="15"/>
        <v>42.3859287163917</v>
      </c>
      <c r="Z94" s="338">
        <f t="shared" si="15"/>
        <v>46.00796081901238</v>
      </c>
      <c r="AA94" s="338">
        <f t="shared" si="15"/>
        <v>49.795949704282634</v>
      </c>
      <c r="AB94" s="338">
        <f t="shared" si="15"/>
        <v>53.757540467436485</v>
      </c>
      <c r="AC94" s="336"/>
      <c r="AD94" s="5"/>
    </row>
    <row r="95" spans="6:30" ht="12.75">
      <c r="F95" s="333"/>
      <c r="G95" s="30"/>
      <c r="H95" s="49" t="s">
        <v>156</v>
      </c>
      <c r="I95" s="338">
        <f>I94-I55</f>
        <v>-7.45038</v>
      </c>
      <c r="J95" s="338">
        <f>J94-J55</f>
        <v>-20.045070000000003</v>
      </c>
      <c r="K95" s="338">
        <f aca="true" t="shared" si="16" ref="K95:AB95">K94-K55</f>
        <v>-20.045070000000003</v>
      </c>
      <c r="L95" s="338">
        <f t="shared" si="16"/>
        <v>21.30791444325825</v>
      </c>
      <c r="M95" s="338">
        <f t="shared" si="16"/>
        <v>-0.35935963890184297</v>
      </c>
      <c r="N95" s="338">
        <f t="shared" si="16"/>
        <v>3.3163512112774534</v>
      </c>
      <c r="O95" s="338">
        <f t="shared" si="16"/>
        <v>4.922699943297598</v>
      </c>
      <c r="P95" s="338">
        <f t="shared" si="16"/>
        <v>-1.2509760898363567</v>
      </c>
      <c r="Q95" s="338">
        <f t="shared" si="16"/>
        <v>41.72365486862065</v>
      </c>
      <c r="R95" s="338">
        <f t="shared" si="16"/>
        <v>2.6794411603354646</v>
      </c>
      <c r="S95" s="338">
        <f t="shared" si="16"/>
        <v>3.695108875130863</v>
      </c>
      <c r="T95" s="338">
        <f t="shared" si="16"/>
        <v>-34.57087588194305</v>
      </c>
      <c r="U95" s="338">
        <f t="shared" si="16"/>
        <v>54.07966380588227</v>
      </c>
      <c r="V95" s="338">
        <f t="shared" si="16"/>
        <v>-2.1624438123030387</v>
      </c>
      <c r="W95" s="338">
        <f t="shared" si="16"/>
        <v>-1.08564415472825</v>
      </c>
      <c r="X95" s="338">
        <f t="shared" si="16"/>
        <v>0.0001404081989022643</v>
      </c>
      <c r="Y95" s="338">
        <f t="shared" si="16"/>
        <v>1.7332670776041894</v>
      </c>
      <c r="Z95" s="338">
        <f t="shared" si="16"/>
        <v>2.576409465600122</v>
      </c>
      <c r="AA95" s="338">
        <f t="shared" si="16"/>
        <v>3.403222086618918</v>
      </c>
      <c r="AB95" s="338">
        <f t="shared" si="16"/>
        <v>4.209420139507763</v>
      </c>
      <c r="AC95" s="336"/>
      <c r="AD95" s="5"/>
    </row>
    <row r="96" spans="6:30" ht="13.5" thickBot="1">
      <c r="F96" s="340"/>
      <c r="G96" s="341"/>
      <c r="H96" s="341"/>
      <c r="I96" s="341"/>
      <c r="J96" s="341"/>
      <c r="K96" s="341"/>
      <c r="L96" s="341"/>
      <c r="M96" s="341"/>
      <c r="N96" s="341"/>
      <c r="O96" s="341"/>
      <c r="P96" s="341"/>
      <c r="Q96" s="341"/>
      <c r="R96" s="342"/>
      <c r="S96" s="341"/>
      <c r="T96" s="341"/>
      <c r="U96" s="341"/>
      <c r="V96" s="341"/>
      <c r="W96" s="341"/>
      <c r="X96" s="341"/>
      <c r="Y96" s="341"/>
      <c r="Z96" s="341"/>
      <c r="AA96" s="341"/>
      <c r="AB96" s="341"/>
      <c r="AC96" s="343"/>
      <c r="AD96" s="5"/>
    </row>
    <row r="97" spans="6:30" ht="13.5" thickBot="1">
      <c r="F97" s="5"/>
      <c r="G97" s="5"/>
      <c r="H97" s="5"/>
      <c r="I97" s="5"/>
      <c r="J97" s="5"/>
      <c r="K97" s="5"/>
      <c r="L97" s="5"/>
      <c r="M97" s="5"/>
      <c r="N97" s="5"/>
      <c r="O97" s="5"/>
      <c r="P97" s="5"/>
      <c r="Q97" s="5"/>
      <c r="R97" s="96"/>
      <c r="S97" s="5"/>
      <c r="T97" s="5"/>
      <c r="U97" s="5"/>
      <c r="V97" s="5"/>
      <c r="W97" s="5"/>
      <c r="X97" s="5"/>
      <c r="Y97" s="5"/>
      <c r="Z97" s="5"/>
      <c r="AA97" s="5"/>
      <c r="AB97" s="5"/>
      <c r="AC97" s="5"/>
      <c r="AD97" s="5"/>
    </row>
    <row r="98" spans="6:30" ht="12.75">
      <c r="F98" s="344"/>
      <c r="G98" s="327" t="s">
        <v>160</v>
      </c>
      <c r="H98" s="345"/>
      <c r="I98" s="345"/>
      <c r="J98" s="345"/>
      <c r="K98" s="345"/>
      <c r="L98" s="345"/>
      <c r="M98" s="345"/>
      <c r="N98" s="345"/>
      <c r="O98" s="345"/>
      <c r="P98" s="345"/>
      <c r="Q98" s="345"/>
      <c r="R98" s="346"/>
      <c r="S98" s="345"/>
      <c r="T98" s="345"/>
      <c r="U98" s="345"/>
      <c r="V98" s="345"/>
      <c r="W98" s="345"/>
      <c r="X98" s="345"/>
      <c r="Y98" s="345"/>
      <c r="Z98" s="345"/>
      <c r="AA98" s="345"/>
      <c r="AB98" s="345"/>
      <c r="AC98" s="347"/>
      <c r="AD98" s="5"/>
    </row>
    <row r="99" spans="6:30" ht="12.75">
      <c r="F99" s="348"/>
      <c r="G99" s="79"/>
      <c r="H99" s="79"/>
      <c r="I99" s="79"/>
      <c r="J99" s="79"/>
      <c r="K99" s="79"/>
      <c r="L99" s="79"/>
      <c r="M99" s="79"/>
      <c r="N99" s="79"/>
      <c r="O99" s="79"/>
      <c r="P99" s="79"/>
      <c r="Q99" s="79"/>
      <c r="R99" s="349"/>
      <c r="S99" s="79"/>
      <c r="T99" s="79"/>
      <c r="U99" s="79"/>
      <c r="V99" s="79"/>
      <c r="W99" s="79"/>
      <c r="X99" s="79"/>
      <c r="Y99" s="79"/>
      <c r="Z99" s="79"/>
      <c r="AA99" s="79"/>
      <c r="AB99" s="79"/>
      <c r="AC99" s="350"/>
      <c r="AD99" s="5"/>
    </row>
    <row r="100" spans="6:30" ht="12.75">
      <c r="F100" s="348"/>
      <c r="G100" s="79"/>
      <c r="H100" s="78" t="s">
        <v>155</v>
      </c>
      <c r="I100" s="351">
        <f>I68*1.1</f>
        <v>0</v>
      </c>
      <c r="J100" s="351">
        <f>J68*1.1</f>
        <v>0</v>
      </c>
      <c r="K100" s="351">
        <f aca="true" t="shared" si="17" ref="K100:AB100">K68*1.1</f>
        <v>49.4811209713405</v>
      </c>
      <c r="L100" s="351">
        <f t="shared" si="17"/>
        <v>20.06102657697918</v>
      </c>
      <c r="M100" s="351">
        <f t="shared" si="17"/>
        <v>23.09373640300396</v>
      </c>
      <c r="N100" s="351">
        <f t="shared" si="17"/>
        <v>26.348140938260183</v>
      </c>
      <c r="O100" s="351">
        <f t="shared" si="17"/>
        <v>21.278099374099522</v>
      </c>
      <c r="P100" s="351">
        <f t="shared" si="17"/>
        <v>70.40265011929664</v>
      </c>
      <c r="Q100" s="351">
        <f t="shared" si="17"/>
        <v>29.447857128013027</v>
      </c>
      <c r="R100" s="351">
        <f t="shared" si="17"/>
        <v>32.7110024007253</v>
      </c>
      <c r="S100" s="351">
        <f t="shared" si="17"/>
        <v>46.05789181319721</v>
      </c>
      <c r="T100" s="351">
        <f t="shared" si="17"/>
        <v>92.92888471823792</v>
      </c>
      <c r="U100" s="351">
        <f t="shared" si="17"/>
        <v>33.73719497198678</v>
      </c>
      <c r="V100" s="351">
        <f t="shared" si="17"/>
        <v>37.79984497955225</v>
      </c>
      <c r="W100" s="351">
        <f t="shared" si="17"/>
        <v>42.09131911020807</v>
      </c>
      <c r="X100" s="351">
        <f t="shared" si="17"/>
        <v>46.62452158803088</v>
      </c>
      <c r="Y100" s="351">
        <f t="shared" si="17"/>
        <v>50.608756900913626</v>
      </c>
      <c r="Z100" s="351">
        <f t="shared" si="17"/>
        <v>54.7755446747109</v>
      </c>
      <c r="AA100" s="351">
        <f t="shared" si="17"/>
        <v>59.133294514180136</v>
      </c>
      <c r="AB100" s="351">
        <f t="shared" si="17"/>
        <v>109.89080567733006</v>
      </c>
      <c r="AC100" s="350"/>
      <c r="AD100" s="5"/>
    </row>
    <row r="101" spans="6:30" ht="12.75">
      <c r="F101" s="348"/>
      <c r="G101" s="79"/>
      <c r="H101" s="78" t="s">
        <v>156</v>
      </c>
      <c r="I101" s="351">
        <f>I100-I55</f>
        <v>-7.45038</v>
      </c>
      <c r="J101" s="351">
        <f>J100-J55</f>
        <v>-20.045070000000003</v>
      </c>
      <c r="K101" s="351">
        <f aca="true" t="shared" si="18" ref="K101:AB101">K100-K55</f>
        <v>29.4360509713405</v>
      </c>
      <c r="L101" s="351">
        <f t="shared" si="18"/>
        <v>-3.6138962264357453</v>
      </c>
      <c r="M101" s="351">
        <f t="shared" si="18"/>
        <v>4.4970798759392245</v>
      </c>
      <c r="N101" s="351">
        <f t="shared" si="18"/>
        <v>8.670186328624947</v>
      </c>
      <c r="O101" s="351">
        <f t="shared" si="18"/>
        <v>2.2479439189787733</v>
      </c>
      <c r="P101" s="351">
        <f t="shared" si="18"/>
        <v>49.807947325733444</v>
      </c>
      <c r="Q101" s="351">
        <f t="shared" si="18"/>
        <v>7.169102797273105</v>
      </c>
      <c r="R101" s="351">
        <f t="shared" si="18"/>
        <v>8.619664353776194</v>
      </c>
      <c r="S101" s="351">
        <f t="shared" si="18"/>
        <v>20.015725778577803</v>
      </c>
      <c r="T101" s="351">
        <f t="shared" si="18"/>
        <v>16.487198097024688</v>
      </c>
      <c r="U101" s="351">
        <f t="shared" si="18"/>
        <v>3.3360544885618495</v>
      </c>
      <c r="V101" s="351">
        <f t="shared" si="18"/>
        <v>4.967223919988498</v>
      </c>
      <c r="W101" s="351">
        <f t="shared" si="18"/>
        <v>6.642179519523232</v>
      </c>
      <c r="X101" s="351">
        <f t="shared" si="18"/>
        <v>8.35982644149518</v>
      </c>
      <c r="Y101" s="351">
        <f t="shared" si="18"/>
        <v>9.956095262126112</v>
      </c>
      <c r="Z101" s="351">
        <f t="shared" si="18"/>
        <v>11.34399332129864</v>
      </c>
      <c r="AA101" s="351">
        <f t="shared" si="18"/>
        <v>12.74056689651642</v>
      </c>
      <c r="AB101" s="351">
        <f t="shared" si="18"/>
        <v>60.34268534940134</v>
      </c>
      <c r="AC101" s="350"/>
      <c r="AD101" s="5"/>
    </row>
    <row r="102" spans="6:30" ht="13.5" thickBot="1">
      <c r="F102" s="353"/>
      <c r="G102" s="354"/>
      <c r="H102" s="354"/>
      <c r="I102" s="354"/>
      <c r="J102" s="354"/>
      <c r="K102" s="354"/>
      <c r="L102" s="354"/>
      <c r="M102" s="354"/>
      <c r="N102" s="354"/>
      <c r="O102" s="354"/>
      <c r="P102" s="354"/>
      <c r="Q102" s="354"/>
      <c r="R102" s="355"/>
      <c r="S102" s="354"/>
      <c r="T102" s="354"/>
      <c r="U102" s="354"/>
      <c r="V102" s="354"/>
      <c r="W102" s="354"/>
      <c r="X102" s="354"/>
      <c r="Y102" s="354"/>
      <c r="Z102" s="354"/>
      <c r="AA102" s="354"/>
      <c r="AB102" s="354"/>
      <c r="AC102" s="356"/>
      <c r="AD102" s="5"/>
    </row>
    <row r="103" spans="6:30" ht="13.5" thickBot="1">
      <c r="F103" s="5"/>
      <c r="G103" s="5"/>
      <c r="H103" s="5"/>
      <c r="I103" s="5"/>
      <c r="J103" s="5"/>
      <c r="K103" s="5"/>
      <c r="L103" s="5"/>
      <c r="M103" s="5"/>
      <c r="N103" s="5"/>
      <c r="O103" s="5"/>
      <c r="P103" s="5"/>
      <c r="Q103" s="5"/>
      <c r="R103" s="96"/>
      <c r="S103" s="5"/>
      <c r="T103" s="5"/>
      <c r="U103" s="5"/>
      <c r="V103" s="5"/>
      <c r="W103" s="5"/>
      <c r="X103" s="5"/>
      <c r="Y103" s="5"/>
      <c r="Z103" s="5"/>
      <c r="AA103" s="5"/>
      <c r="AB103" s="5"/>
      <c r="AC103" s="5"/>
      <c r="AD103" s="5"/>
    </row>
    <row r="104" spans="6:30" ht="12.75">
      <c r="F104" s="344"/>
      <c r="G104" s="327" t="s">
        <v>161</v>
      </c>
      <c r="H104" s="345"/>
      <c r="I104" s="345"/>
      <c r="J104" s="345"/>
      <c r="K104" s="345"/>
      <c r="L104" s="345"/>
      <c r="M104" s="345"/>
      <c r="N104" s="345"/>
      <c r="O104" s="345"/>
      <c r="P104" s="345"/>
      <c r="Q104" s="345"/>
      <c r="R104" s="346"/>
      <c r="S104" s="345"/>
      <c r="T104" s="345"/>
      <c r="U104" s="345"/>
      <c r="V104" s="345"/>
      <c r="W104" s="345"/>
      <c r="X104" s="345"/>
      <c r="Y104" s="345"/>
      <c r="Z104" s="345"/>
      <c r="AA104" s="345"/>
      <c r="AB104" s="345"/>
      <c r="AC104" s="347"/>
      <c r="AD104" s="5"/>
    </row>
    <row r="105" spans="6:30" ht="12.75">
      <c r="F105" s="348"/>
      <c r="G105" s="79"/>
      <c r="H105" s="79"/>
      <c r="I105" s="79"/>
      <c r="J105" s="79"/>
      <c r="K105" s="79"/>
      <c r="L105" s="79"/>
      <c r="M105" s="79"/>
      <c r="N105" s="79"/>
      <c r="O105" s="79"/>
      <c r="P105" s="79"/>
      <c r="Q105" s="79"/>
      <c r="R105" s="349"/>
      <c r="S105" s="79"/>
      <c r="T105" s="79"/>
      <c r="U105" s="79"/>
      <c r="V105" s="79"/>
      <c r="W105" s="79"/>
      <c r="X105" s="79"/>
      <c r="Y105" s="79"/>
      <c r="Z105" s="79"/>
      <c r="AA105" s="79"/>
      <c r="AB105" s="79"/>
      <c r="AC105" s="350"/>
      <c r="AD105" s="5"/>
    </row>
    <row r="106" spans="6:30" ht="12.75">
      <c r="F106" s="348"/>
      <c r="G106" s="79"/>
      <c r="H106" s="78" t="s">
        <v>158</v>
      </c>
      <c r="I106" s="351">
        <f>I55*0.8</f>
        <v>5.960304000000001</v>
      </c>
      <c r="J106" s="351">
        <f aca="true" t="shared" si="19" ref="J106:AB106">J55*0.8</f>
        <v>16.036056000000002</v>
      </c>
      <c r="K106" s="351">
        <f t="shared" si="19"/>
        <v>16.036056000000002</v>
      </c>
      <c r="L106" s="351">
        <f t="shared" si="19"/>
        <v>18.93993824273194</v>
      </c>
      <c r="M106" s="351">
        <f t="shared" si="19"/>
        <v>14.877325221651788</v>
      </c>
      <c r="N106" s="351">
        <f t="shared" si="19"/>
        <v>14.14236368770819</v>
      </c>
      <c r="O106" s="351">
        <f t="shared" si="19"/>
        <v>15.2241243640966</v>
      </c>
      <c r="P106" s="351">
        <f t="shared" si="19"/>
        <v>16.475762234850556</v>
      </c>
      <c r="Q106" s="351">
        <f t="shared" si="19"/>
        <v>17.823003464591938</v>
      </c>
      <c r="R106" s="351">
        <f t="shared" si="19"/>
        <v>19.273070437559284</v>
      </c>
      <c r="S106" s="351">
        <f t="shared" si="19"/>
        <v>20.833732827695528</v>
      </c>
      <c r="T106" s="351">
        <f t="shared" si="19"/>
        <v>61.15334929697059</v>
      </c>
      <c r="U106" s="351">
        <f t="shared" si="19"/>
        <v>24.32091238673995</v>
      </c>
      <c r="V106" s="351">
        <f t="shared" si="19"/>
        <v>26.266096847651</v>
      </c>
      <c r="W106" s="351">
        <f t="shared" si="19"/>
        <v>28.35931167254787</v>
      </c>
      <c r="X106" s="351">
        <f t="shared" si="19"/>
        <v>30.611756117228563</v>
      </c>
      <c r="Y106" s="351">
        <f t="shared" si="19"/>
        <v>32.522129311030014</v>
      </c>
      <c r="Z106" s="351">
        <f t="shared" si="19"/>
        <v>34.74524108272981</v>
      </c>
      <c r="AA106" s="351">
        <f t="shared" si="19"/>
        <v>37.114182094130975</v>
      </c>
      <c r="AB106" s="351">
        <f t="shared" si="19"/>
        <v>39.63849626234298</v>
      </c>
      <c r="AC106" s="350"/>
      <c r="AD106" s="5"/>
    </row>
    <row r="107" spans="6:30" ht="12.75">
      <c r="F107" s="348"/>
      <c r="G107" s="79"/>
      <c r="H107" s="78" t="s">
        <v>155</v>
      </c>
      <c r="I107" s="351">
        <f>I68</f>
        <v>0</v>
      </c>
      <c r="J107" s="351">
        <f aca="true" t="shared" si="20" ref="J107:AB107">J68</f>
        <v>0</v>
      </c>
      <c r="K107" s="351">
        <f t="shared" si="20"/>
        <v>44.98283724667318</v>
      </c>
      <c r="L107" s="351">
        <f t="shared" si="20"/>
        <v>18.23729688816289</v>
      </c>
      <c r="M107" s="351">
        <f t="shared" si="20"/>
        <v>20.99430582091269</v>
      </c>
      <c r="N107" s="351">
        <f t="shared" si="20"/>
        <v>23.952855398418347</v>
      </c>
      <c r="O107" s="351">
        <f t="shared" si="20"/>
        <v>19.343726703726837</v>
      </c>
      <c r="P107" s="351">
        <f t="shared" si="20"/>
        <v>64.00240919936057</v>
      </c>
      <c r="Q107" s="351">
        <f t="shared" si="20"/>
        <v>26.77077920728457</v>
      </c>
      <c r="R107" s="351">
        <f t="shared" si="20"/>
        <v>29.73727490975027</v>
      </c>
      <c r="S107" s="351">
        <f t="shared" si="20"/>
        <v>41.87081073927018</v>
      </c>
      <c r="T107" s="351">
        <f t="shared" si="20"/>
        <v>84.4808042893072</v>
      </c>
      <c r="U107" s="351">
        <f t="shared" si="20"/>
        <v>30.67017724726071</v>
      </c>
      <c r="V107" s="351">
        <f t="shared" si="20"/>
        <v>34.36349543595659</v>
      </c>
      <c r="W107" s="351">
        <f t="shared" si="20"/>
        <v>38.2648355547346</v>
      </c>
      <c r="X107" s="351">
        <f t="shared" si="20"/>
        <v>42.3859287163917</v>
      </c>
      <c r="Y107" s="351">
        <f t="shared" si="20"/>
        <v>46.00796081901238</v>
      </c>
      <c r="Z107" s="351">
        <f t="shared" si="20"/>
        <v>49.795949704282634</v>
      </c>
      <c r="AA107" s="351">
        <f t="shared" si="20"/>
        <v>53.757540467436485</v>
      </c>
      <c r="AB107" s="351">
        <f t="shared" si="20"/>
        <v>99.90073243393641</v>
      </c>
      <c r="AC107" s="350"/>
      <c r="AD107" s="5"/>
    </row>
    <row r="108" spans="6:30" ht="12.75">
      <c r="F108" s="348"/>
      <c r="G108" s="79"/>
      <c r="H108" s="78" t="s">
        <v>156</v>
      </c>
      <c r="I108" s="351">
        <f>I107-I106</f>
        <v>-5.960304000000001</v>
      </c>
      <c r="J108" s="351">
        <f aca="true" t="shared" si="21" ref="J108:AB108">J107-J106</f>
        <v>-16.036056000000002</v>
      </c>
      <c r="K108" s="351">
        <f t="shared" si="21"/>
        <v>28.946781246673176</v>
      </c>
      <c r="L108" s="351">
        <f t="shared" si="21"/>
        <v>-0.7026413545690495</v>
      </c>
      <c r="M108" s="351">
        <f t="shared" si="21"/>
        <v>6.116980599260902</v>
      </c>
      <c r="N108" s="351">
        <f t="shared" si="21"/>
        <v>9.810491710710156</v>
      </c>
      <c r="O108" s="351">
        <f t="shared" si="21"/>
        <v>4.119602339630237</v>
      </c>
      <c r="P108" s="351">
        <f t="shared" si="21"/>
        <v>47.526646964510014</v>
      </c>
      <c r="Q108" s="351">
        <f t="shared" si="21"/>
        <v>8.947775742692631</v>
      </c>
      <c r="R108" s="352">
        <f t="shared" si="21"/>
        <v>10.464204472190985</v>
      </c>
      <c r="S108" s="351">
        <f t="shared" si="21"/>
        <v>21.037077911574656</v>
      </c>
      <c r="T108" s="351">
        <f t="shared" si="21"/>
        <v>23.327454992336612</v>
      </c>
      <c r="U108" s="351">
        <f t="shared" si="21"/>
        <v>6.349264860520762</v>
      </c>
      <c r="V108" s="351">
        <f t="shared" si="21"/>
        <v>8.097398588305587</v>
      </c>
      <c r="W108" s="351">
        <f t="shared" si="21"/>
        <v>9.905523882186731</v>
      </c>
      <c r="X108" s="351">
        <f t="shared" si="21"/>
        <v>11.77417259916314</v>
      </c>
      <c r="Y108" s="351">
        <f t="shared" si="21"/>
        <v>13.485831507982368</v>
      </c>
      <c r="Z108" s="351">
        <f t="shared" si="21"/>
        <v>15.050708621552822</v>
      </c>
      <c r="AA108" s="351">
        <f t="shared" si="21"/>
        <v>16.64335837330551</v>
      </c>
      <c r="AB108" s="351">
        <f t="shared" si="21"/>
        <v>60.26223617159343</v>
      </c>
      <c r="AC108" s="350"/>
      <c r="AD108" s="5"/>
    </row>
    <row r="109" spans="6:30" ht="13.5" thickBot="1">
      <c r="F109" s="353"/>
      <c r="G109" s="354"/>
      <c r="H109" s="354"/>
      <c r="I109" s="354"/>
      <c r="J109" s="354"/>
      <c r="K109" s="354"/>
      <c r="L109" s="354"/>
      <c r="M109" s="354"/>
      <c r="N109" s="354"/>
      <c r="O109" s="354"/>
      <c r="P109" s="354"/>
      <c r="Q109" s="354"/>
      <c r="R109" s="355"/>
      <c r="S109" s="354"/>
      <c r="T109" s="354"/>
      <c r="U109" s="354"/>
      <c r="V109" s="354"/>
      <c r="W109" s="354"/>
      <c r="X109" s="354"/>
      <c r="Y109" s="354"/>
      <c r="Z109" s="354"/>
      <c r="AA109" s="354"/>
      <c r="AB109" s="354"/>
      <c r="AC109" s="356"/>
      <c r="AD109" s="5"/>
    </row>
    <row r="110" spans="6:30" ht="13.5" thickBot="1">
      <c r="F110" s="5"/>
      <c r="G110" s="5"/>
      <c r="H110" s="5"/>
      <c r="I110" s="5"/>
      <c r="J110" s="5"/>
      <c r="K110" s="5"/>
      <c r="L110" s="5"/>
      <c r="M110" s="5"/>
      <c r="N110" s="5"/>
      <c r="O110" s="5"/>
      <c r="P110" s="5"/>
      <c r="Q110" s="5"/>
      <c r="R110" s="96"/>
      <c r="S110" s="5"/>
      <c r="T110" s="5"/>
      <c r="U110" s="5"/>
      <c r="V110" s="5"/>
      <c r="W110" s="5"/>
      <c r="X110" s="5"/>
      <c r="Y110" s="5"/>
      <c r="Z110" s="5"/>
      <c r="AA110" s="5"/>
      <c r="AB110" s="5"/>
      <c r="AC110" s="5"/>
      <c r="AD110" s="5"/>
    </row>
    <row r="111" spans="6:30" ht="12.75">
      <c r="F111" s="344"/>
      <c r="G111" s="327" t="s">
        <v>162</v>
      </c>
      <c r="H111" s="345"/>
      <c r="I111" s="345"/>
      <c r="J111" s="345"/>
      <c r="K111" s="345"/>
      <c r="L111" s="345"/>
      <c r="M111" s="345"/>
      <c r="N111" s="345"/>
      <c r="O111" s="345"/>
      <c r="P111" s="345"/>
      <c r="Q111" s="345"/>
      <c r="R111" s="346"/>
      <c r="S111" s="345"/>
      <c r="T111" s="345"/>
      <c r="U111" s="345"/>
      <c r="V111" s="345"/>
      <c r="W111" s="345"/>
      <c r="X111" s="345"/>
      <c r="Y111" s="345"/>
      <c r="Z111" s="345"/>
      <c r="AA111" s="345"/>
      <c r="AB111" s="345"/>
      <c r="AC111" s="347"/>
      <c r="AD111" s="5"/>
    </row>
    <row r="112" spans="6:30" ht="12.75">
      <c r="F112" s="348"/>
      <c r="G112" s="79"/>
      <c r="H112" s="79"/>
      <c r="I112" s="351"/>
      <c r="J112" s="351"/>
      <c r="K112" s="351"/>
      <c r="L112" s="351"/>
      <c r="M112" s="351"/>
      <c r="N112" s="351"/>
      <c r="O112" s="351"/>
      <c r="P112" s="351"/>
      <c r="Q112" s="351"/>
      <c r="R112" s="351"/>
      <c r="S112" s="351"/>
      <c r="T112" s="351"/>
      <c r="U112" s="351"/>
      <c r="V112" s="351"/>
      <c r="W112" s="351"/>
      <c r="X112" s="351"/>
      <c r="Y112" s="351"/>
      <c r="Z112" s="351"/>
      <c r="AA112" s="351"/>
      <c r="AB112" s="351"/>
      <c r="AC112" s="350"/>
      <c r="AD112" s="5"/>
    </row>
    <row r="113" spans="6:30" ht="12.75">
      <c r="F113" s="348"/>
      <c r="G113" s="79"/>
      <c r="H113" s="78" t="s">
        <v>158</v>
      </c>
      <c r="I113" s="351">
        <f>I106</f>
        <v>5.960304000000001</v>
      </c>
      <c r="J113" s="351">
        <f aca="true" t="shared" si="22" ref="J113:AB113">J106</f>
        <v>16.036056000000002</v>
      </c>
      <c r="K113" s="351">
        <f t="shared" si="22"/>
        <v>16.036056000000002</v>
      </c>
      <c r="L113" s="351">
        <f t="shared" si="22"/>
        <v>18.93993824273194</v>
      </c>
      <c r="M113" s="351">
        <f t="shared" si="22"/>
        <v>14.877325221651788</v>
      </c>
      <c r="N113" s="351">
        <f t="shared" si="22"/>
        <v>14.14236368770819</v>
      </c>
      <c r="O113" s="351">
        <f t="shared" si="22"/>
        <v>15.2241243640966</v>
      </c>
      <c r="P113" s="351">
        <f t="shared" si="22"/>
        <v>16.475762234850556</v>
      </c>
      <c r="Q113" s="351">
        <f t="shared" si="22"/>
        <v>17.823003464591938</v>
      </c>
      <c r="R113" s="352">
        <f t="shared" si="22"/>
        <v>19.273070437559284</v>
      </c>
      <c r="S113" s="351">
        <f t="shared" si="22"/>
        <v>20.833732827695528</v>
      </c>
      <c r="T113" s="351">
        <f t="shared" si="22"/>
        <v>61.15334929697059</v>
      </c>
      <c r="U113" s="351">
        <f t="shared" si="22"/>
        <v>24.32091238673995</v>
      </c>
      <c r="V113" s="351">
        <f t="shared" si="22"/>
        <v>26.266096847651</v>
      </c>
      <c r="W113" s="351">
        <f t="shared" si="22"/>
        <v>28.35931167254787</v>
      </c>
      <c r="X113" s="351">
        <f t="shared" si="22"/>
        <v>30.611756117228563</v>
      </c>
      <c r="Y113" s="351">
        <f t="shared" si="22"/>
        <v>32.522129311030014</v>
      </c>
      <c r="Z113" s="351">
        <f t="shared" si="22"/>
        <v>34.74524108272981</v>
      </c>
      <c r="AA113" s="351">
        <f t="shared" si="22"/>
        <v>37.114182094130975</v>
      </c>
      <c r="AB113" s="351">
        <f t="shared" si="22"/>
        <v>39.63849626234298</v>
      </c>
      <c r="AC113" s="350"/>
      <c r="AD113" s="5"/>
    </row>
    <row r="114" spans="6:30" ht="12.75">
      <c r="F114" s="348"/>
      <c r="G114" s="79"/>
      <c r="H114" s="78" t="s">
        <v>155</v>
      </c>
      <c r="I114" s="351">
        <f>I100</f>
        <v>0</v>
      </c>
      <c r="J114" s="351">
        <f aca="true" t="shared" si="23" ref="J114:AB114">J100</f>
        <v>0</v>
      </c>
      <c r="K114" s="351">
        <f t="shared" si="23"/>
        <v>49.4811209713405</v>
      </c>
      <c r="L114" s="351">
        <f t="shared" si="23"/>
        <v>20.06102657697918</v>
      </c>
      <c r="M114" s="351">
        <f t="shared" si="23"/>
        <v>23.09373640300396</v>
      </c>
      <c r="N114" s="351">
        <f t="shared" si="23"/>
        <v>26.348140938260183</v>
      </c>
      <c r="O114" s="351">
        <f t="shared" si="23"/>
        <v>21.278099374099522</v>
      </c>
      <c r="P114" s="351">
        <f t="shared" si="23"/>
        <v>70.40265011929664</v>
      </c>
      <c r="Q114" s="351">
        <f t="shared" si="23"/>
        <v>29.447857128013027</v>
      </c>
      <c r="R114" s="352">
        <f t="shared" si="23"/>
        <v>32.7110024007253</v>
      </c>
      <c r="S114" s="351">
        <f t="shared" si="23"/>
        <v>46.05789181319721</v>
      </c>
      <c r="T114" s="351">
        <f t="shared" si="23"/>
        <v>92.92888471823792</v>
      </c>
      <c r="U114" s="351">
        <f t="shared" si="23"/>
        <v>33.73719497198678</v>
      </c>
      <c r="V114" s="351">
        <f t="shared" si="23"/>
        <v>37.79984497955225</v>
      </c>
      <c r="W114" s="351">
        <f t="shared" si="23"/>
        <v>42.09131911020807</v>
      </c>
      <c r="X114" s="351">
        <f t="shared" si="23"/>
        <v>46.62452158803088</v>
      </c>
      <c r="Y114" s="351">
        <f t="shared" si="23"/>
        <v>50.608756900913626</v>
      </c>
      <c r="Z114" s="351">
        <f t="shared" si="23"/>
        <v>54.7755446747109</v>
      </c>
      <c r="AA114" s="351">
        <f t="shared" si="23"/>
        <v>59.133294514180136</v>
      </c>
      <c r="AB114" s="351">
        <f t="shared" si="23"/>
        <v>109.89080567733006</v>
      </c>
      <c r="AC114" s="350"/>
      <c r="AD114" s="5"/>
    </row>
    <row r="115" spans="6:30" ht="12.75">
      <c r="F115" s="348"/>
      <c r="G115" s="79"/>
      <c r="H115" s="78" t="s">
        <v>156</v>
      </c>
      <c r="I115" s="351">
        <f>I114-I113</f>
        <v>-5.960304000000001</v>
      </c>
      <c r="J115" s="351">
        <f aca="true" t="shared" si="24" ref="J115:AB115">J114-J113</f>
        <v>-16.036056000000002</v>
      </c>
      <c r="K115" s="351">
        <f t="shared" si="24"/>
        <v>33.4450649713405</v>
      </c>
      <c r="L115" s="351">
        <f t="shared" si="24"/>
        <v>1.12108833424724</v>
      </c>
      <c r="M115" s="351">
        <f t="shared" si="24"/>
        <v>8.216411181352171</v>
      </c>
      <c r="N115" s="351">
        <f t="shared" si="24"/>
        <v>12.205777250551993</v>
      </c>
      <c r="O115" s="351">
        <f t="shared" si="24"/>
        <v>6.053975010002922</v>
      </c>
      <c r="P115" s="351">
        <f t="shared" si="24"/>
        <v>53.92688788444608</v>
      </c>
      <c r="Q115" s="351">
        <f t="shared" si="24"/>
        <v>11.624853663421089</v>
      </c>
      <c r="R115" s="352">
        <f t="shared" si="24"/>
        <v>13.437931963166015</v>
      </c>
      <c r="S115" s="351">
        <f t="shared" si="24"/>
        <v>25.22415898550168</v>
      </c>
      <c r="T115" s="351">
        <f t="shared" si="24"/>
        <v>31.775535421267335</v>
      </c>
      <c r="U115" s="351">
        <f t="shared" si="24"/>
        <v>9.416282585246833</v>
      </c>
      <c r="V115" s="351">
        <f t="shared" si="24"/>
        <v>11.533748131901248</v>
      </c>
      <c r="W115" s="351">
        <f t="shared" si="24"/>
        <v>13.732007437660197</v>
      </c>
      <c r="X115" s="351">
        <f t="shared" si="24"/>
        <v>16.012765470802318</v>
      </c>
      <c r="Y115" s="351">
        <f t="shared" si="24"/>
        <v>18.086627589883612</v>
      </c>
      <c r="Z115" s="351">
        <f t="shared" si="24"/>
        <v>20.030303591981088</v>
      </c>
      <c r="AA115" s="351">
        <f t="shared" si="24"/>
        <v>22.01911242004916</v>
      </c>
      <c r="AB115" s="351">
        <f t="shared" si="24"/>
        <v>70.25230941498708</v>
      </c>
      <c r="AC115" s="350"/>
      <c r="AD115" s="5"/>
    </row>
    <row r="116" spans="6:30" ht="13.5" thickBot="1">
      <c r="F116" s="353"/>
      <c r="G116" s="354"/>
      <c r="H116" s="354"/>
      <c r="I116" s="354"/>
      <c r="J116" s="354"/>
      <c r="K116" s="354"/>
      <c r="L116" s="354"/>
      <c r="M116" s="354"/>
      <c r="N116" s="354"/>
      <c r="O116" s="354"/>
      <c r="P116" s="354"/>
      <c r="Q116" s="354"/>
      <c r="R116" s="355"/>
      <c r="S116" s="354"/>
      <c r="T116" s="354"/>
      <c r="U116" s="354"/>
      <c r="V116" s="354"/>
      <c r="W116" s="354"/>
      <c r="X116" s="354"/>
      <c r="Y116" s="354"/>
      <c r="Z116" s="354"/>
      <c r="AA116" s="354"/>
      <c r="AB116" s="354"/>
      <c r="AC116" s="356"/>
      <c r="AD116" s="5"/>
    </row>
    <row r="117" spans="6:30" ht="13.5" thickBot="1">
      <c r="F117" s="5"/>
      <c r="G117" s="5"/>
      <c r="H117" s="5"/>
      <c r="I117" s="5"/>
      <c r="J117" s="5"/>
      <c r="K117" s="5"/>
      <c r="L117" s="5"/>
      <c r="M117" s="5"/>
      <c r="N117" s="5"/>
      <c r="O117" s="5"/>
      <c r="P117" s="5"/>
      <c r="Q117" s="5"/>
      <c r="R117" s="96"/>
      <c r="S117" s="5"/>
      <c r="T117" s="5"/>
      <c r="U117" s="5"/>
      <c r="V117" s="5"/>
      <c r="W117" s="5"/>
      <c r="X117" s="5"/>
      <c r="Y117" s="5"/>
      <c r="Z117" s="5"/>
      <c r="AA117" s="5"/>
      <c r="AB117" s="5"/>
      <c r="AC117" s="5"/>
      <c r="AD117" s="5"/>
    </row>
    <row r="118" spans="6:30" ht="12.75">
      <c r="F118" s="602"/>
      <c r="G118" s="603" t="s">
        <v>163</v>
      </c>
      <c r="H118" s="604"/>
      <c r="I118" s="604"/>
      <c r="J118" s="604"/>
      <c r="K118" s="604"/>
      <c r="L118" s="604"/>
      <c r="M118" s="604"/>
      <c r="N118" s="604"/>
      <c r="O118" s="604"/>
      <c r="P118" s="604"/>
      <c r="Q118" s="604"/>
      <c r="R118" s="605"/>
      <c r="S118" s="604"/>
      <c r="T118" s="604"/>
      <c r="U118" s="604"/>
      <c r="V118" s="604"/>
      <c r="W118" s="604"/>
      <c r="X118" s="604"/>
      <c r="Y118" s="604"/>
      <c r="Z118" s="604"/>
      <c r="AA118" s="604"/>
      <c r="AB118" s="604"/>
      <c r="AC118" s="606"/>
      <c r="AD118" s="5"/>
    </row>
    <row r="119" spans="6:30" ht="12.75">
      <c r="F119" s="607"/>
      <c r="G119" s="608"/>
      <c r="H119" s="608"/>
      <c r="I119" s="608"/>
      <c r="J119" s="608"/>
      <c r="K119" s="608"/>
      <c r="L119" s="608"/>
      <c r="M119" s="608"/>
      <c r="N119" s="608"/>
      <c r="O119" s="608"/>
      <c r="P119" s="608"/>
      <c r="Q119" s="608"/>
      <c r="R119" s="99"/>
      <c r="S119" s="608"/>
      <c r="T119" s="608"/>
      <c r="U119" s="608"/>
      <c r="V119" s="608"/>
      <c r="W119" s="608"/>
      <c r="X119" s="608"/>
      <c r="Y119" s="608"/>
      <c r="Z119" s="608"/>
      <c r="AA119" s="608"/>
      <c r="AB119" s="608"/>
      <c r="AC119" s="609"/>
      <c r="AD119" s="5"/>
    </row>
    <row r="120" spans="6:30" ht="12.75">
      <c r="F120" s="607"/>
      <c r="G120" s="608"/>
      <c r="H120" s="610" t="s">
        <v>158</v>
      </c>
      <c r="I120" s="611">
        <f>I87</f>
        <v>8.940456</v>
      </c>
      <c r="J120" s="611">
        <f aca="true" t="shared" si="25" ref="J120:AB120">J87</f>
        <v>24.054084000000003</v>
      </c>
      <c r="K120" s="611">
        <f t="shared" si="25"/>
        <v>24.054084000000003</v>
      </c>
      <c r="L120" s="611">
        <f t="shared" si="25"/>
        <v>28.40990736409791</v>
      </c>
      <c r="M120" s="611">
        <f t="shared" si="25"/>
        <v>22.31598783247768</v>
      </c>
      <c r="N120" s="611">
        <f t="shared" si="25"/>
        <v>21.213545531562282</v>
      </c>
      <c r="O120" s="611">
        <f t="shared" si="25"/>
        <v>22.836186546144898</v>
      </c>
      <c r="P120" s="611">
        <f t="shared" si="25"/>
        <v>24.71364335227583</v>
      </c>
      <c r="Q120" s="611">
        <f t="shared" si="25"/>
        <v>26.734505196887905</v>
      </c>
      <c r="R120" s="611">
        <f t="shared" si="25"/>
        <v>28.909605656338925</v>
      </c>
      <c r="S120" s="611">
        <f t="shared" si="25"/>
        <v>31.250599241543284</v>
      </c>
      <c r="T120" s="611">
        <f t="shared" si="25"/>
        <v>91.73002394545588</v>
      </c>
      <c r="U120" s="611">
        <f t="shared" si="25"/>
        <v>36.481368580109915</v>
      </c>
      <c r="V120" s="611">
        <f t="shared" si="25"/>
        <v>39.3991452714765</v>
      </c>
      <c r="W120" s="611">
        <f t="shared" si="25"/>
        <v>42.538967508821806</v>
      </c>
      <c r="X120" s="611">
        <f t="shared" si="25"/>
        <v>45.91763417584284</v>
      </c>
      <c r="Y120" s="611">
        <f t="shared" si="25"/>
        <v>48.783193966545014</v>
      </c>
      <c r="Z120" s="611">
        <f t="shared" si="25"/>
        <v>52.11786162409471</v>
      </c>
      <c r="AA120" s="611">
        <f t="shared" si="25"/>
        <v>55.67127314119646</v>
      </c>
      <c r="AB120" s="611">
        <f t="shared" si="25"/>
        <v>59.45774439351446</v>
      </c>
      <c r="AC120" s="609"/>
      <c r="AD120" s="5"/>
    </row>
    <row r="121" spans="6:30" ht="12.75">
      <c r="F121" s="607"/>
      <c r="G121" s="608"/>
      <c r="H121" s="610" t="s">
        <v>155</v>
      </c>
      <c r="I121" s="611">
        <f>I81</f>
        <v>0</v>
      </c>
      <c r="J121" s="611">
        <f aca="true" t="shared" si="26" ref="J121:AB121">J81</f>
        <v>0</v>
      </c>
      <c r="K121" s="611">
        <f t="shared" si="26"/>
        <v>40.48455352200586</v>
      </c>
      <c r="L121" s="611">
        <f t="shared" si="26"/>
        <v>16.413567199346602</v>
      </c>
      <c r="M121" s="611">
        <f t="shared" si="26"/>
        <v>18.89487523882142</v>
      </c>
      <c r="N121" s="611">
        <f t="shared" si="26"/>
        <v>21.557569858576514</v>
      </c>
      <c r="O121" s="611">
        <f t="shared" si="26"/>
        <v>17.409354033354155</v>
      </c>
      <c r="P121" s="611">
        <f t="shared" si="26"/>
        <v>57.60216827942452</v>
      </c>
      <c r="Q121" s="611">
        <f t="shared" si="26"/>
        <v>24.09370128655611</v>
      </c>
      <c r="R121" s="611">
        <f t="shared" si="26"/>
        <v>26.763547418775243</v>
      </c>
      <c r="S121" s="611">
        <f t="shared" si="26"/>
        <v>37.683729665343165</v>
      </c>
      <c r="T121" s="611">
        <f t="shared" si="26"/>
        <v>76.03272386037648</v>
      </c>
      <c r="U121" s="611">
        <f t="shared" si="26"/>
        <v>27.60315952253464</v>
      </c>
      <c r="V121" s="611">
        <f t="shared" si="26"/>
        <v>30.92714589236093</v>
      </c>
      <c r="W121" s="611">
        <f t="shared" si="26"/>
        <v>34.438351999261144</v>
      </c>
      <c r="X121" s="611">
        <f t="shared" si="26"/>
        <v>38.14733584475253</v>
      </c>
      <c r="Y121" s="611">
        <f t="shared" si="26"/>
        <v>41.407164737111145</v>
      </c>
      <c r="Z121" s="611">
        <f t="shared" si="26"/>
        <v>44.816354733854375</v>
      </c>
      <c r="AA121" s="611">
        <f t="shared" si="26"/>
        <v>48.38178642069284</v>
      </c>
      <c r="AB121" s="611">
        <f t="shared" si="26"/>
        <v>89.91065919054277</v>
      </c>
      <c r="AC121" s="609"/>
      <c r="AD121" s="5"/>
    </row>
    <row r="122" spans="6:30" ht="12.75">
      <c r="F122" s="607"/>
      <c r="G122" s="608"/>
      <c r="H122" s="610" t="s">
        <v>156</v>
      </c>
      <c r="I122" s="611">
        <f>I121-I120</f>
        <v>-8.940456</v>
      </c>
      <c r="J122" s="611">
        <f aca="true" t="shared" si="27" ref="J122:AB122">J121-J120</f>
        <v>-24.054084000000003</v>
      </c>
      <c r="K122" s="611">
        <f t="shared" si="27"/>
        <v>16.430469522005858</v>
      </c>
      <c r="L122" s="611">
        <f t="shared" si="27"/>
        <v>-11.99634016475131</v>
      </c>
      <c r="M122" s="611">
        <f t="shared" si="27"/>
        <v>-3.421112593656261</v>
      </c>
      <c r="N122" s="611">
        <f t="shared" si="27"/>
        <v>0.3440243270142318</v>
      </c>
      <c r="O122" s="611">
        <f t="shared" si="27"/>
        <v>-5.426832512790742</v>
      </c>
      <c r="P122" s="611">
        <f t="shared" si="27"/>
        <v>32.88852492714869</v>
      </c>
      <c r="Q122" s="611">
        <f t="shared" si="27"/>
        <v>-2.640803910331794</v>
      </c>
      <c r="R122" s="612">
        <f t="shared" si="27"/>
        <v>-2.1460582375636825</v>
      </c>
      <c r="S122" s="611">
        <f t="shared" si="27"/>
        <v>6.433130423799881</v>
      </c>
      <c r="T122" s="611">
        <f t="shared" si="27"/>
        <v>-15.697300085079405</v>
      </c>
      <c r="U122" s="611">
        <f t="shared" si="27"/>
        <v>-8.878209057575276</v>
      </c>
      <c r="V122" s="611">
        <f t="shared" si="27"/>
        <v>-8.47199937911557</v>
      </c>
      <c r="W122" s="611">
        <f t="shared" si="27"/>
        <v>-8.100615509560662</v>
      </c>
      <c r="X122" s="611">
        <f t="shared" si="27"/>
        <v>-7.770298331090309</v>
      </c>
      <c r="Y122" s="611">
        <f t="shared" si="27"/>
        <v>-7.376029229433868</v>
      </c>
      <c r="Z122" s="611">
        <f t="shared" si="27"/>
        <v>-7.301506890240333</v>
      </c>
      <c r="AA122" s="611">
        <f t="shared" si="27"/>
        <v>-7.289486720503618</v>
      </c>
      <c r="AB122" s="611">
        <f t="shared" si="27"/>
        <v>30.452914797028313</v>
      </c>
      <c r="AC122" s="609"/>
      <c r="AD122" s="5"/>
    </row>
    <row r="123" spans="6:30" ht="13.5" thickBot="1">
      <c r="F123" s="613"/>
      <c r="G123" s="614"/>
      <c r="H123" s="614"/>
      <c r="I123" s="614"/>
      <c r="J123" s="614"/>
      <c r="K123" s="614"/>
      <c r="L123" s="614"/>
      <c r="M123" s="614"/>
      <c r="N123" s="614"/>
      <c r="O123" s="614"/>
      <c r="P123" s="614"/>
      <c r="Q123" s="614"/>
      <c r="R123" s="615"/>
      <c r="S123" s="614"/>
      <c r="T123" s="614"/>
      <c r="U123" s="614"/>
      <c r="V123" s="614"/>
      <c r="W123" s="614"/>
      <c r="X123" s="614"/>
      <c r="Y123" s="614"/>
      <c r="Z123" s="614"/>
      <c r="AA123" s="614"/>
      <c r="AB123" s="614"/>
      <c r="AC123" s="616"/>
      <c r="AD123" s="5"/>
    </row>
    <row r="124" spans="6:30" ht="12.75">
      <c r="F124" s="5"/>
      <c r="G124" s="5"/>
      <c r="H124" s="5"/>
      <c r="I124" s="5"/>
      <c r="J124" s="5"/>
      <c r="K124" s="5"/>
      <c r="L124" s="5"/>
      <c r="M124" s="5"/>
      <c r="N124" s="5"/>
      <c r="O124" s="5"/>
      <c r="P124" s="5"/>
      <c r="Q124" s="5"/>
      <c r="R124" s="96"/>
      <c r="S124" s="5"/>
      <c r="T124" s="5"/>
      <c r="U124" s="5"/>
      <c r="V124" s="5"/>
      <c r="W124" s="5"/>
      <c r="X124" s="5"/>
      <c r="Y124" s="5"/>
      <c r="Z124" s="5"/>
      <c r="AA124" s="5"/>
      <c r="AB124" s="5"/>
      <c r="AC124" s="5"/>
      <c r="AD124" s="5"/>
    </row>
    <row r="125" spans="6:30" ht="12.75">
      <c r="F125" s="5"/>
      <c r="G125" s="5"/>
      <c r="H125" s="5"/>
      <c r="I125" s="5"/>
      <c r="J125" s="5"/>
      <c r="K125" s="5"/>
      <c r="L125" s="5"/>
      <c r="M125" s="5"/>
      <c r="N125" s="5"/>
      <c r="O125" s="5"/>
      <c r="P125" s="5"/>
      <c r="Q125" s="5"/>
      <c r="R125" s="96"/>
      <c r="S125" s="5"/>
      <c r="T125" s="5"/>
      <c r="U125" s="5"/>
      <c r="V125" s="5"/>
      <c r="W125" s="5"/>
      <c r="X125" s="5"/>
      <c r="Y125" s="5"/>
      <c r="Z125" s="5"/>
      <c r="AA125" s="5"/>
      <c r="AB125" s="5"/>
      <c r="AC125" s="5"/>
      <c r="AD125" s="5"/>
    </row>
    <row r="126" spans="6:30" ht="12.75">
      <c r="F126" s="5"/>
      <c r="G126" s="5"/>
      <c r="H126" s="5"/>
      <c r="I126" s="5"/>
      <c r="J126" s="5"/>
      <c r="K126" s="5"/>
      <c r="L126" s="5"/>
      <c r="M126" s="5"/>
      <c r="N126" s="5"/>
      <c r="O126" s="5"/>
      <c r="P126" s="5"/>
      <c r="Q126" s="5"/>
      <c r="R126" s="96"/>
      <c r="S126" s="5"/>
      <c r="T126" s="5"/>
      <c r="U126" s="5"/>
      <c r="V126" s="5"/>
      <c r="W126" s="5"/>
      <c r="X126" s="5"/>
      <c r="Y126" s="5"/>
      <c r="Z126" s="5"/>
      <c r="AA126" s="5"/>
      <c r="AB126" s="5"/>
      <c r="AC126" s="5"/>
      <c r="AD126" s="5"/>
    </row>
    <row r="127" spans="6:30" ht="12.75">
      <c r="F127" s="5"/>
      <c r="G127" s="5"/>
      <c r="H127" s="5"/>
      <c r="I127" s="5"/>
      <c r="J127" s="5"/>
      <c r="K127" s="5"/>
      <c r="L127" s="5"/>
      <c r="M127" s="5"/>
      <c r="N127" s="5"/>
      <c r="O127" s="5"/>
      <c r="P127" s="5"/>
      <c r="Q127" s="5"/>
      <c r="R127" s="96"/>
      <c r="S127" s="5"/>
      <c r="T127" s="5"/>
      <c r="U127" s="5"/>
      <c r="V127" s="5"/>
      <c r="W127" s="5"/>
      <c r="X127" s="5"/>
      <c r="Y127" s="5"/>
      <c r="Z127" s="5"/>
      <c r="AA127" s="5"/>
      <c r="AB127" s="5"/>
      <c r="AC127" s="5"/>
      <c r="AD127" s="5"/>
    </row>
    <row r="128" spans="6:30" ht="12.75">
      <c r="F128" s="5"/>
      <c r="G128" s="5"/>
      <c r="H128" s="5"/>
      <c r="I128" s="5"/>
      <c r="J128" s="5"/>
      <c r="K128" s="5"/>
      <c r="L128" s="5"/>
      <c r="M128" s="5"/>
      <c r="N128" s="5"/>
      <c r="O128" s="5"/>
      <c r="P128" s="5"/>
      <c r="Q128" s="5"/>
      <c r="R128" s="96"/>
      <c r="S128" s="5"/>
      <c r="T128" s="5"/>
      <c r="U128" s="5"/>
      <c r="V128" s="5"/>
      <c r="W128" s="5"/>
      <c r="X128" s="5"/>
      <c r="Y128" s="5"/>
      <c r="Z128" s="5"/>
      <c r="AA128" s="5"/>
      <c r="AB128" s="5"/>
      <c r="AC128" s="5"/>
      <c r="AD128" s="5"/>
    </row>
    <row r="129" spans="6:30" ht="12.75">
      <c r="F129" s="5"/>
      <c r="G129" s="5"/>
      <c r="H129" s="5"/>
      <c r="I129" s="5"/>
      <c r="J129" s="5"/>
      <c r="K129" s="5"/>
      <c r="L129" s="5"/>
      <c r="M129" s="5"/>
      <c r="N129" s="5"/>
      <c r="O129" s="5"/>
      <c r="P129" s="5"/>
      <c r="Q129" s="5"/>
      <c r="R129" s="96"/>
      <c r="S129" s="5"/>
      <c r="T129" s="5"/>
      <c r="U129" s="5"/>
      <c r="V129" s="5"/>
      <c r="W129" s="5"/>
      <c r="X129" s="5"/>
      <c r="Y129" s="5"/>
      <c r="Z129" s="5"/>
      <c r="AA129" s="5"/>
      <c r="AB129" s="5"/>
      <c r="AC129" s="5"/>
      <c r="AD129" s="5"/>
    </row>
    <row r="130" spans="6:30" ht="12.75">
      <c r="F130" s="5"/>
      <c r="G130" s="5"/>
      <c r="H130" s="5"/>
      <c r="I130" s="5"/>
      <c r="J130" s="5"/>
      <c r="K130" s="5"/>
      <c r="L130" s="5"/>
      <c r="M130" s="5"/>
      <c r="N130" s="5"/>
      <c r="O130" s="5"/>
      <c r="P130" s="5"/>
      <c r="Q130" s="5"/>
      <c r="R130" s="96"/>
      <c r="S130" s="5"/>
      <c r="T130" s="5"/>
      <c r="U130" s="5"/>
      <c r="V130" s="5"/>
      <c r="W130" s="5"/>
      <c r="X130" s="5"/>
      <c r="Y130" s="5"/>
      <c r="Z130" s="5"/>
      <c r="AA130" s="5"/>
      <c r="AB130" s="5"/>
      <c r="AC130" s="5"/>
      <c r="AD130" s="5"/>
    </row>
    <row r="131" spans="6:30" ht="12.75">
      <c r="F131" s="5"/>
      <c r="G131" s="5"/>
      <c r="H131" s="5"/>
      <c r="I131" s="5"/>
      <c r="J131" s="5"/>
      <c r="K131" s="5"/>
      <c r="L131" s="5"/>
      <c r="M131" s="5"/>
      <c r="N131" s="5"/>
      <c r="O131" s="5"/>
      <c r="P131" s="5"/>
      <c r="Q131" s="5"/>
      <c r="R131" s="96"/>
      <c r="S131" s="5"/>
      <c r="T131" s="5"/>
      <c r="U131" s="5"/>
      <c r="V131" s="5"/>
      <c r="W131" s="5"/>
      <c r="X131" s="5"/>
      <c r="Y131" s="5"/>
      <c r="Z131" s="5"/>
      <c r="AA131" s="5"/>
      <c r="AB131" s="5"/>
      <c r="AC131" s="5"/>
      <c r="AD131" s="5"/>
    </row>
  </sheetData>
  <mergeCells count="13">
    <mergeCell ref="I11:L11"/>
    <mergeCell ref="I4:L4"/>
    <mergeCell ref="D43:E43"/>
    <mergeCell ref="D59:E59"/>
    <mergeCell ref="F71:H71"/>
    <mergeCell ref="C4:D4"/>
    <mergeCell ref="C5:D5"/>
    <mergeCell ref="C27:D28"/>
    <mergeCell ref="C31:D32"/>
    <mergeCell ref="C35:D36"/>
    <mergeCell ref="D30:E30"/>
    <mergeCell ref="D34:E34"/>
    <mergeCell ref="D38:E38"/>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Forbes</dc:creator>
  <cp:keywords/>
  <dc:description/>
  <cp:lastModifiedBy>defuser</cp:lastModifiedBy>
  <cp:lastPrinted>2007-05-24T16:09:06Z</cp:lastPrinted>
  <dcterms:created xsi:type="dcterms:W3CDTF">1999-06-05T10:43:33Z</dcterms:created>
  <dcterms:modified xsi:type="dcterms:W3CDTF">2008-08-06T14:07:17Z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