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155" windowWidth="11340" windowHeight="6285" tabRatio="627" activeTab="1"/>
  </bookViews>
  <sheets>
    <sheet name="User's Guide" sheetId="1" r:id="rId1"/>
    <sheet name="Compact Description" sheetId="2" r:id="rId2"/>
    <sheet name="CB_DATA_" sheetId="3" state="veryHidden" r:id="rId3"/>
    <sheet name="ERR &amp; Sensitivity analysis" sheetId="4" r:id="rId4"/>
    <sheet name="BC-Summary" sheetId="5" r:id="rId5"/>
    <sheet name="BC-Detail" sheetId="6" r:id="rId6"/>
  </sheets>
  <definedNames>
    <definedName name="CB_25b04711b9384c1ebb432d4bd59e1da7" localSheetId="3" hidden="1">'ERR &amp; Sensitivity analysis'!$D$16</definedName>
    <definedName name="CB_265840f377ac469baa04d76416963f6f" localSheetId="3" hidden="1">'ERR &amp; Sensitivity analysis'!$D$15</definedName>
    <definedName name="CB_4464050b6c6e46d9828e68d3aa8255f5" localSheetId="3" hidden="1">'ERR &amp; Sensitivity analysis'!$D$21</definedName>
    <definedName name="CB_4f48af5a4be04ec29fb89625529e038a" localSheetId="3" hidden="1">'ERR &amp; Sensitivity analysis'!$D$13</definedName>
    <definedName name="CB_cc5f371465a34bdd8c5577da2c6a8b9f" localSheetId="3" hidden="1">'ERR &amp; Sensitivity analysis'!$D$14</definedName>
    <definedName name="CB_d702cfc5cd5045b2b009e762babc15c4" localSheetId="3" hidden="1">'ERR &amp; Sensitivity analysis'!$D$17</definedName>
    <definedName name="CBWorkbookPriority" hidden="1">-1828050036</definedName>
    <definedName name="CBx_35e6a8c6266b4f679f64c2245bb048d1" localSheetId="2" hidden="1">"'ERR &amp; Sensitivity analysis'!$A$1"</definedName>
    <definedName name="CBx_66f125433fbd4ce8a7c2ccea2067445b" localSheetId="2" hidden="1">"'CB_DATA_'!$A$1"</definedName>
    <definedName name="CBx_Sheet_Guid" localSheetId="2" hidden="1">"'66f12543-3fbd-4ce8-a7c2-ccea2067445b"</definedName>
    <definedName name="CBx_Sheet_Guid" localSheetId="3" hidden="1">"'35e6a8c6-266b-4f67-9f64-c2245bb048d1"</definedName>
    <definedName name="_xlnm.Print_Area" localSheetId="5">'BC-Detail'!$A$1:$L$293</definedName>
    <definedName name="_xlnm.Print_Area" localSheetId="4">'BC-Summary'!$G$152:$R$155</definedName>
    <definedName name="_xlnm.Print_Area" localSheetId="3">'ERR &amp; Sensitivity analysis'!$A$1:$G$67</definedName>
  </definedNames>
  <calcPr fullCalcOnLoad="1"/>
</workbook>
</file>

<file path=xl/comments6.xml><?xml version="1.0" encoding="utf-8"?>
<comments xmlns="http://schemas.openxmlformats.org/spreadsheetml/2006/main">
  <authors>
    <author>Steve Anderson</author>
    <author>Andersonsc</author>
    <author>MCC</author>
  </authors>
  <commentList>
    <comment ref="A45" authorId="0">
      <text>
        <r>
          <rPr>
            <sz val="8"/>
            <rFont val="Tahoma"/>
            <family val="0"/>
          </rPr>
          <t>IFPRI/FOFIFA 1998, Part I, p. 39</t>
        </r>
      </text>
    </comment>
    <comment ref="A49" authorId="0">
      <text>
        <r>
          <rPr>
            <sz val="8"/>
            <rFont val="Tahoma"/>
            <family val="0"/>
          </rPr>
          <t>IFPRI/FOFIFA 1998, Part I, p. 39</t>
        </r>
      </text>
    </comment>
    <comment ref="B97" authorId="1">
      <text>
        <r>
          <rPr>
            <sz val="8"/>
            <rFont val="Tahoma"/>
            <family val="0"/>
          </rPr>
          <t>From IMF Fifth Review of PRGF, Table 2</t>
        </r>
      </text>
    </comment>
    <comment ref="A124" authorId="1">
      <text>
        <r>
          <rPr>
            <sz val="8"/>
            <rFont val="Tahoma"/>
            <family val="0"/>
          </rPr>
          <t>Statistic from Finance Ministry official</t>
        </r>
      </text>
    </comment>
    <comment ref="I190" authorId="1">
      <text>
        <r>
          <rPr>
            <sz val="8"/>
            <rFont val="Tahoma"/>
            <family val="0"/>
          </rPr>
          <t>Import figure in Billion FMG from IFS data</t>
        </r>
      </text>
    </comment>
    <comment ref="G217" authorId="1">
      <text>
        <r>
          <rPr>
            <sz val="8"/>
            <rFont val="Tahoma"/>
            <family val="0"/>
          </rPr>
          <t>Deflated by GDP deflator of 10.5 for 2004 (IMF Fifth Review of PRGF)</t>
        </r>
      </text>
    </comment>
    <comment ref="C238" authorId="1">
      <text>
        <r>
          <rPr>
            <sz val="8"/>
            <rFont val="Tahoma"/>
            <family val="0"/>
          </rPr>
          <t>Updated from 2001 figure using IMF PRGF Fifth Review Table 2 data</t>
        </r>
      </text>
    </comment>
    <comment ref="H250" authorId="1">
      <text>
        <r>
          <rPr>
            <b/>
            <sz val="8"/>
            <rFont val="Tahoma"/>
            <family val="0"/>
          </rPr>
          <t>Andersonsc:</t>
        </r>
        <r>
          <rPr>
            <sz val="8"/>
            <rFont val="Tahoma"/>
            <family val="0"/>
          </rPr>
          <t xml:space="preserve">
8.27M econ. active people in rural areas nationally, from "Labor by sector" page, Madagascar.xls</t>
        </r>
      </text>
    </comment>
    <comment ref="B251" authorId="1">
      <text>
        <r>
          <rPr>
            <sz val="8"/>
            <rFont val="Tahoma"/>
            <family val="0"/>
          </rPr>
          <t>Data from 04/03 USAID report, p. 27, and assuming 20% growth in # of MFI clients for 2003 and 2004.</t>
        </r>
      </text>
    </comment>
    <comment ref="E253" authorId="1">
      <text>
        <r>
          <rPr>
            <sz val="8"/>
            <rFont val="Tahoma"/>
            <family val="0"/>
          </rPr>
          <t>Estimated from IMF SISA Table 36, assuming growth during 2002-04 at 2/3 the rate of growth during 2000-01.</t>
        </r>
      </text>
    </comment>
    <comment ref="A260" authorId="1">
      <text>
        <r>
          <rPr>
            <sz val="8"/>
            <rFont val="Tahoma"/>
            <family val="0"/>
          </rPr>
          <t>Deflated by GDP deflator of 10.5 for 2004 (IMF Fifth Review of PRGF)</t>
        </r>
      </text>
    </comment>
    <comment ref="B29" authorId="1">
      <text>
        <r>
          <rPr>
            <sz val="8"/>
            <rFont val="Tahoma"/>
            <family val="0"/>
          </rPr>
          <t xml:space="preserve">Based on half of near-term econ. growth forecast of 7%.  </t>
        </r>
      </text>
    </comment>
    <comment ref="H143" authorId="2">
      <text>
        <r>
          <rPr>
            <sz val="8"/>
            <rFont val="Tahoma"/>
            <family val="0"/>
          </rPr>
          <t>Assume $10 per account.</t>
        </r>
      </text>
    </comment>
  </commentList>
</comments>
</file>

<file path=xl/sharedStrings.xml><?xml version="1.0" encoding="utf-8"?>
<sst xmlns="http://schemas.openxmlformats.org/spreadsheetml/2006/main" count="553" uniqueCount="434">
  <si>
    <t xml:space="preserve">     The Compact includes three Projects: (1) Land Tenure; (2) Financial Services; and (3) Agricultural Business Investment.  The Land Tenure Project supports formalizing the titling and surveying systems, modernizing the national land registry, and decentralizing services to rural citizens. The Finance Project includes measures to make financial services available to rural areas and create a streamlined national payments system.  The Agricultural Business Investment Project will help support farmers and entrepreneurs identify new markets and improve their production and marketing practices.</t>
  </si>
  <si>
    <t>Supporting the PNF by developing new land laws and supporting implementation through a communications and education campaign</t>
  </si>
  <si>
    <t>Improving the ability of the National Land Service Administration to provide land services by restoring and inventorying land documents and modernizing its operations</t>
  </si>
  <si>
    <t>Establishing local land management offices and training officials in land titling</t>
  </si>
  <si>
    <t>Registering and titling land in the project Zones</t>
  </si>
  <si>
    <t>Conduct information gathering and dissemination on land tenure issues.</t>
  </si>
  <si>
    <t>Improving financial system efficiency by modernizing banking laws and laws regulating financial instruments and markets</t>
  </si>
  <si>
    <t>Mobilizing savings by making new treasury instruments available</t>
  </si>
  <si>
    <t>Building National Savings Bank branches in rural areas and modernizing operations</t>
  </si>
  <si>
    <t>Assessing constraints to providing access to credit for agribusiness and making new instruments available</t>
  </si>
  <si>
    <t>Modernizing the interbank payment system to reduce risk and bring delays in settlement down from 45 days to 3 days.</t>
  </si>
  <si>
    <t>Identifying the project Zones and developing viable zonal investment strategies</t>
  </si>
  <si>
    <t xml:space="preserve">Creating and operating five Agricultural Business Centers (ABCs) in the five Zones to train rural farmers and entrepreneurs in new agricultural techniques and good business practices; </t>
  </si>
  <si>
    <t xml:space="preserve">Identifying market opportunities and communicating these to investors, local farmers and entrepreneurs; and </t>
  </si>
  <si>
    <t xml:space="preserve">     An important premise of the Compact is that the lack of property rights in land is one of the causes of low investment  and financial intermediation and this in turn reduces land productivity and economic growth.  The Land Tenure Project is designed to increase land titling and land security and improve the effciency of land service administration. These will contribute to better land use, increased rural enterprise investment, and a better environment for collateral-based lending.  Lending to these areas will be facilitated by technical assistance to financial institutions. The resulting investments will increase rural incomes and growth.</t>
  </si>
  <si>
    <t xml:space="preserve">     Most of the Finance Project Activities are aimed at assisting in the improvement of key foundations of a modern financial system. a sound legal environment, an effcient payments and settlement system, a professional Mimstry of Finance, and an expanded National Savings Bank that serves new clients in rural areas.  The other Finance Project Activities are aimed at assisting lenders and borrowers to build on that foundation by strengthening accounting services, building capacity among rural producers to access the financial system, and increasing the capabilities of microfinance institutions.</t>
  </si>
  <si>
    <t>Estimated ERR and time horizon</t>
  </si>
  <si>
    <t>Benefit streams included in ERR</t>
  </si>
  <si>
    <t>Costs included in ERR (other than costs borne by MCC)</t>
  </si>
  <si>
    <t>Project description</t>
  </si>
  <si>
    <t>Compact Description</t>
  </si>
  <si>
    <t>ERR &amp; Sensitivity Analysis</t>
  </si>
  <si>
    <t>One should read this sheet first, as it offers a summary of the compact, a list of project, and states the economic rationale for the compact.</t>
  </si>
  <si>
    <t>A brief summary of the project's key parameters and ERR calculations.</t>
  </si>
  <si>
    <t>Components</t>
  </si>
  <si>
    <t>$37.8 million (land tenure)</t>
  </si>
  <si>
    <t>$35.9 million (financial sector)</t>
  </si>
  <si>
    <t>Economic Rationale</t>
  </si>
  <si>
    <t>MCC funding will support the following projects:</t>
  </si>
  <si>
    <t>Estimate of Total Credit Obtained due to Collateralization</t>
  </si>
  <si>
    <t>(Compare to K39 as rough check)</t>
  </si>
  <si>
    <t>(Enter these costs as negative in table above - line 133)</t>
  </si>
  <si>
    <t>31% over 10 years</t>
  </si>
  <si>
    <t>Short-run cost to banks from the settlement system investment, who would no longer be able to profit from the float on electronic 
  transactions</t>
  </si>
  <si>
    <r>
      <t xml:space="preserve">   </t>
    </r>
    <r>
      <rPr>
        <u val="single"/>
        <sz val="10"/>
        <color indexed="12"/>
        <rFont val="Arial"/>
        <family val="0"/>
      </rPr>
      <t>Compact Description</t>
    </r>
  </si>
  <si>
    <t xml:space="preserve">Establishing a National Coordinating Center (NCC) to link the five ABCs with Malagasy government agencies; </t>
  </si>
  <si>
    <t>Agricultural Business Investment Project</t>
  </si>
  <si>
    <t xml:space="preserve">     Land tenure </t>
  </si>
  <si>
    <t xml:space="preserve">     No formal rate-of-return analysis was conducted on the Agricultural Business Investment Project, as certain elements of the project were not yet fully articulated prior to the Compact.  Thus, the Project's costs and benefits are not reflected in this spreadsheet.  The Project is designed to complement the land titling and financial reform activities by providing the knowledge needed to improve the productivity of farmers and entrepreneurs.  It aims to solve key issues of access to information by identifying investment opportunities for rural Malagasy in local, regional, or international markets, and training farmers and other entrepreneurs in production, management, and marketing techniques.</t>
  </si>
  <si>
    <t xml:space="preserve">     In sum , most of the components of the finance project either stimulate the supply of credit or the demand for credit. Therefore the primary channel through which the project will impact GDP is through an increase in the quantity and the quality of lending to the private sector, particularly the rural sector, in Madagascar. The resulting investments from the increased credit in turn will increase the capital stock in rural areas and thereby increase productivity and GDP growth.</t>
  </si>
  <si>
    <t>(analyzed jointly)*</t>
  </si>
  <si>
    <r>
      <t xml:space="preserve">* </t>
    </r>
    <r>
      <rPr>
        <sz val="9"/>
        <rFont val="Arial"/>
        <family val="0"/>
      </rPr>
      <t xml:space="preserve"> No formal rate-of-return analysis was conducted on the Agricultural Business Investment Project, as certain elements of the project were not yet fully articulated prior to the Compact.  Thus, the Project's costs and benefits are not reflected in this spreadsheet.  The Project is designed to complement the land titling and financial reform activities by providing the knowledge needed to improve the productivity of farmers and entrepreneurs.  </t>
    </r>
  </si>
  <si>
    <t>C. AGRICULTURAL BUSINESS INVESTMENT PROJECT (NOT VALUED HERE)</t>
  </si>
  <si>
    <t xml:space="preserve">Benefits net of costs </t>
  </si>
  <si>
    <t xml:space="preserve">     Financial services</t>
  </si>
  <si>
    <t>Spreadsheet version</t>
  </si>
  <si>
    <t>Date</t>
  </si>
  <si>
    <t>Investment memo, final</t>
  </si>
  <si>
    <t>Land tenure and financial sector</t>
  </si>
  <si>
    <t>Last updated:  12/16/2004</t>
  </si>
  <si>
    <r>
      <t xml:space="preserve">MCC Estimated ERR </t>
    </r>
    <r>
      <rPr>
        <b/>
        <sz val="8"/>
        <rFont val="Arial"/>
        <family val="2"/>
      </rPr>
      <t>(as of 12/16/2004)</t>
    </r>
    <r>
      <rPr>
        <b/>
        <sz val="10"/>
        <rFont val="Arial"/>
        <family val="2"/>
      </rPr>
      <t>:</t>
    </r>
  </si>
  <si>
    <t>Liberalization of banking and financial laws will lower cost of capital for Malagasy firms</t>
  </si>
  <si>
    <t>Modernization and computerization of the National Savings Bank increases its efficiency and lowers costs</t>
  </si>
  <si>
    <t>Incremental value added to the CEM from its new branches in the 5 zones</t>
  </si>
  <si>
    <t>Incremental incomes to savers using the new branches of the CEM</t>
  </si>
  <si>
    <t>Incremental returns to borrowers from revolving fund lending</t>
  </si>
  <si>
    <t>Incremental income from warehouse receipt system</t>
  </si>
  <si>
    <t>Incremental returns from investments made under new leasing system</t>
  </si>
  <si>
    <t>Lower costs and risks from greater efficiency in the payments and settlement system</t>
  </si>
  <si>
    <t>Increased microenterprise value added from better-trained CPAs</t>
  </si>
  <si>
    <t>Lower costs and higher returns from the credit bureau, risk analysis, and rating agency</t>
  </si>
  <si>
    <t>Increased value added for microfinance institutions and increased agribusiness investment returns from increased lending from microfinance training</t>
  </si>
  <si>
    <t>Increased costs to agricultural households and various businesses implicit in higher value added figures noted above</t>
  </si>
  <si>
    <t>       Land titles may increase landholders' (unmediated) investment directly</t>
  </si>
  <si>
    <t xml:space="preserve">       Using land titles as collateral to obtain (increased) bank loans</t>
  </si>
  <si>
    <t xml:space="preserve">Promotion of financial intermediation in order to increase both rural saving and extension of credit, which includes modernizing the national payments and settlement system, strengthen the national accounting and notary systems, decentralizing the T-bill auction system, strengthening micro-finance institutions and building capacity among rural producers to access the financial system. </t>
  </si>
  <si>
    <t xml:space="preserve">Land security investments, which include modernizing current record keeping practices on a national level, strengthening the national organizations responsible for registration of land and securing new property rights in five target zones. </t>
  </si>
  <si>
    <t>Worksheets in this file</t>
  </si>
  <si>
    <t xml:space="preserve">This worksheet summarizes costs and benefits for land tenure and financial sector reform projects by activity and sub-activity and computes the stream of net benefits and the associated ERR over a 10-year time period.  </t>
  </si>
  <si>
    <t>This worksheet details the benefits from the introduction of secure land titles and potential financial services interventions.</t>
  </si>
  <si>
    <t xml:space="preserve">increase in efficiency raised added value by </t>
  </si>
  <si>
    <t xml:space="preserve">and added an increment equal to </t>
  </si>
  <si>
    <t xml:space="preserve">of added </t>
  </si>
  <si>
    <t>value in benefits to CEM's clients.  The efficiency increase would then produce</t>
  </si>
  <si>
    <t xml:space="preserve">US$ in increased value added </t>
  </si>
  <si>
    <t xml:space="preserve">annually to CEM and its clients, beginning one year after reforms are instituted.  CEM's ability to attract wealthier clients may </t>
  </si>
  <si>
    <t>raise its annual value added by an estimated</t>
  </si>
  <si>
    <t xml:space="preserve">beginning two years after these reforms are instituted, so </t>
  </si>
  <si>
    <t xml:space="preserve">that CEM enjoys an expected additional annual increment in value added of </t>
  </si>
  <si>
    <t>US$.  Suppose that these firms' value added ratio is</t>
  </si>
  <si>
    <t>of their contribution to GDP, or</t>
  </si>
  <si>
    <t xml:space="preserve">US$ in value added per annum.  Suppose further that a stock  </t>
  </si>
  <si>
    <t>market listing would increase this value added by</t>
  </si>
  <si>
    <t xml:space="preserve">annually.  Part of the benefit accruing to firms is that such a </t>
  </si>
  <si>
    <t>Note:</t>
  </si>
  <si>
    <t>It is reasonable to expect environmental benefits associated with increased security of land tenure, as landowners then have</t>
  </si>
  <si>
    <t xml:space="preserve">increased incentives to make investments designed to preserve the "natural capital" of the land.  Such benefits are not </t>
  </si>
  <si>
    <t>included in the above benefit computations, however.  The above computations are thus conservative in this sense.</t>
  </si>
  <si>
    <t>General assumptions:</t>
  </si>
  <si>
    <t>Exchange rate:</t>
  </si>
  <si>
    <t>FMG/$</t>
  </si>
  <si>
    <t>Fraction of land area covered by 5 zones</t>
  </si>
  <si>
    <t>A. LAND TENURE</t>
  </si>
  <si>
    <t>Landholder investment (and ultimately, rural income) increases via two paths due to introduction of secure land titles:</t>
  </si>
  <si>
    <r>
      <t>Path 1:</t>
    </r>
    <r>
      <rPr>
        <sz val="10"/>
        <rFont val="Arial"/>
        <family val="0"/>
      </rPr>
      <t xml:space="preserve">  Using land titles as collateral to obtain (increased) bank loans </t>
    </r>
  </si>
  <si>
    <r>
      <t>Path 2</t>
    </r>
    <r>
      <rPr>
        <sz val="10"/>
        <rFont val="Arial"/>
        <family val="0"/>
      </rPr>
      <t>:  Land titles may increase landholders' (unmediated) investment directly</t>
    </r>
  </si>
  <si>
    <t>Benchmark data:</t>
  </si>
  <si>
    <t>Agricultural land per farming household</t>
  </si>
  <si>
    <t>ha / farming household</t>
  </si>
  <si>
    <t>Total size of five investment zones</t>
  </si>
  <si>
    <t>ha</t>
  </si>
  <si>
    <t>Number of households in five investment zones potentially affected by land titling program</t>
  </si>
  <si>
    <t>farming households</t>
  </si>
  <si>
    <t>Land prices</t>
  </si>
  <si>
    <t xml:space="preserve">For the 5 investment zones, land prices are estimated to range from 1 million - 5 million FMG/ha.  One zone is likely </t>
  </si>
  <si>
    <t xml:space="preserve">to be relatively poor, while the other four zones will be relatively well-off to maximize investment opportunities.  </t>
  </si>
  <si>
    <t>Assume that land in one zone is worth</t>
  </si>
  <si>
    <t xml:space="preserve">million FMG/ha, on average, while land in the other four zones </t>
  </si>
  <si>
    <t xml:space="preserve">is worth </t>
  </si>
  <si>
    <t xml:space="preserve">million FMG/ha.  Converting these figures to dollars and taking the overall average, we get </t>
  </si>
  <si>
    <t>as the average land price (= market value) in the five investment zones:</t>
  </si>
  <si>
    <t>Fraction of land titled</t>
  </si>
  <si>
    <t xml:space="preserve">For a variety of reasons, not all land in the 5 investment zones will be suitable for titling.  Assume that this fraction </t>
  </si>
  <si>
    <t xml:space="preserve">of it will be successfully titled, and that these titles will be recognized by banks.  </t>
  </si>
  <si>
    <t>Collateralization of titled land</t>
  </si>
  <si>
    <t xml:space="preserve">Fraction of the market value of titled land that we estimate banks will recognize as collateral for loans to small </t>
  </si>
  <si>
    <t>landholders.  (That is, due to land titling, small landholders can borrow this fraction of the market value of their land.)</t>
  </si>
  <si>
    <t>Fraction of borrowing invested</t>
  </si>
  <si>
    <t xml:space="preserve">Fraction of borrowed funds productively invested in income-generating activities in agriculture or elsewhere (e.g., </t>
  </si>
  <si>
    <t>off-farm microenterprises):</t>
  </si>
  <si>
    <t>Incremental crop-related income due to increased credit</t>
  </si>
  <si>
    <t xml:space="preserve">Total net crop-related income (net of input costs) for a marginal change of </t>
  </si>
  <si>
    <t xml:space="preserve">in available credit </t>
  </si>
  <si>
    <t>(for an average household, per year)</t>
  </si>
  <si>
    <t>Incremental non-crop-related income due to increased credit</t>
  </si>
  <si>
    <t>Impact of using land titles as collateral to obtain (increased) bank loans ("Path 1" above)</t>
  </si>
  <si>
    <t xml:space="preserve">Assuming a constant marginal income increment from additional credit (reasonable for poor farmers), we may compute the </t>
  </si>
  <si>
    <t>increase in income attributable to the ability to use land titles as collateral to obtain bank loans</t>
  </si>
  <si>
    <r>
      <t xml:space="preserve">Total additional crop-related income due to increased credit (for </t>
    </r>
    <r>
      <rPr>
        <b/>
        <i/>
        <sz val="10"/>
        <rFont val="Arial"/>
        <family val="2"/>
      </rPr>
      <t>all</t>
    </r>
    <r>
      <rPr>
        <i/>
        <sz val="10"/>
        <rFont val="Arial"/>
        <family val="2"/>
      </rPr>
      <t xml:space="preserve"> farming households in five investment zones, per year)</t>
    </r>
  </si>
  <si>
    <r>
      <t xml:space="preserve">Total additional non-crop-related income due to increased credit (for </t>
    </r>
    <r>
      <rPr>
        <b/>
        <i/>
        <sz val="10"/>
        <rFont val="Arial"/>
        <family val="2"/>
      </rPr>
      <t>all</t>
    </r>
    <r>
      <rPr>
        <i/>
        <sz val="10"/>
        <rFont val="Arial"/>
        <family val="2"/>
      </rPr>
      <t xml:space="preserve"> farming households in five investment zones, per year)</t>
    </r>
  </si>
  <si>
    <r>
      <t xml:space="preserve">Total additional income due to increased credit (for </t>
    </r>
    <r>
      <rPr>
        <b/>
        <i/>
        <sz val="10"/>
        <rFont val="Arial"/>
        <family val="2"/>
      </rPr>
      <t>all</t>
    </r>
    <r>
      <rPr>
        <i/>
        <sz val="10"/>
        <rFont val="Arial"/>
        <family val="2"/>
      </rPr>
      <t xml:space="preserve"> farming households in five investment zones, per year)</t>
    </r>
  </si>
  <si>
    <t xml:space="preserve">Impact of using land titles to increase landholders' (unmediated) investment directly  ("Path 2" above) </t>
  </si>
  <si>
    <t xml:space="preserve">Ministry of Finance officials estimate that this path of impact on landholders' investment ("Path 2") is likely </t>
  </si>
  <si>
    <t xml:space="preserve">times as significant as Path 1.  The total additional income due to landholders' unmediated investment is thus one-third </t>
  </si>
  <si>
    <t>of the above figure, or</t>
  </si>
  <si>
    <t>B. FINANCIAL SECTOR REFORM</t>
  </si>
  <si>
    <t>B.1.1 Finance the design of new laws for banking and financial markets</t>
  </si>
  <si>
    <t xml:space="preserve">A significant fraction of the Malagasy economy would benefit from the creation of a stock market, for which this measure lays </t>
  </si>
  <si>
    <t xml:space="preserve">the foundations.  Namely, firms in the subsectors of food, beverages, and tobacco; energy, transport, and services </t>
  </si>
  <si>
    <t xml:space="preserve">would all be expected to benefit significantly from the ability to raise equity capital; such firms comprise about 40% of </t>
  </si>
  <si>
    <t>the Malagasy economy, in round numbers.  Of this amount, suppose that one-eighth of the value added in these sectors</t>
  </si>
  <si>
    <t>was accounted for by foreign-owned firms and their subsidiaries that presumably already have access to equity financing.</t>
  </si>
  <si>
    <t xml:space="preserve">We are left, then, with 35% of the Madagascar GDP represented by companies that are not yet publicly traded.  In real terms, </t>
  </si>
  <si>
    <t xml:space="preserve">this is </t>
  </si>
  <si>
    <t xml:space="preserve">Billion MGF, or </t>
  </si>
  <si>
    <t xml:space="preserve">US$.  </t>
  </si>
  <si>
    <t>B.1.2. Train gov't officials, judges, and citizens on new laws</t>
  </si>
  <si>
    <t>Not separately valued - benefits incorporated in B.1.1</t>
  </si>
  <si>
    <t>Not separately valued</t>
  </si>
  <si>
    <t>This measure will reduce the minimum denomination of T-bill available from the equivalent of US$50,000 to US$10,000,</t>
  </si>
  <si>
    <t xml:space="preserve">making T-bills more widely affordable and hence increasing demand for them.  </t>
  </si>
  <si>
    <t xml:space="preserve">The effects of this innovation depend on (1) the elasticity of marginal buyers' demand for T-bills (likely to be relatively wealthy </t>
  </si>
  <si>
    <t xml:space="preserve">households, at first) which will exert downward pressure on T-bill rates, (2) banks' elasticity of demand for T-bills, and </t>
  </si>
  <si>
    <t xml:space="preserve">(3) banks' marginal rate of substitution between T-bills and their lending portfolio.  Available data permit rough </t>
  </si>
  <si>
    <t xml:space="preserve">computations based on consumer behavior during 2003-04 and bank behavior during 1995-2001.  The result in nominal terms </t>
  </si>
  <si>
    <t xml:space="preserve">is an estimated 58 billion FMG (equal to about US$5.8 million) in total additional bank lending attributable to the reduction </t>
  </si>
  <si>
    <t>in T-bill denominations during the 10-year window of analysis of this project.  This figure is somewhat less than the credit amounts</t>
  </si>
  <si>
    <t xml:space="preserve">expected to be lent to holders of collateralized land titles as analyzed above.  Much of the benefit of the new T-bills is already </t>
  </si>
  <si>
    <t xml:space="preserve">captured in the lending to rural landholders detailed under the heading "A. Land tenure" above, so no additional benefits appear </t>
  </si>
  <si>
    <t>in the economic analysis under this activity.</t>
  </si>
  <si>
    <t xml:space="preserve">The National Savings Bank (CEM) is operating at an estimated 80% efficiency.  For example, CEM still relies on handwritten </t>
  </si>
  <si>
    <t xml:space="preserve">ledgers and records.  Benefits will accrue immeditately to CEM and to its clients from increased efficiency, and CEM will profit </t>
  </si>
  <si>
    <t>as well from attracting wealthier depositors willing to do business with a more efficient organization.</t>
  </si>
  <si>
    <t xml:space="preserve">As of April 2003, CEM's profits were </t>
  </si>
  <si>
    <t xml:space="preserve">Billion FMG, or </t>
  </si>
  <si>
    <t>US$</t>
  </si>
  <si>
    <t>US$, in addition to the above figure.</t>
  </si>
  <si>
    <t>Total annual economic benefit of this measure is then</t>
  </si>
  <si>
    <t xml:space="preserve">US$ (annually) one year after these reforms, and </t>
  </si>
  <si>
    <t>US$ annually thereafter.</t>
  </si>
  <si>
    <t>B.3.1.2 Create new branches in the 5 zones</t>
  </si>
  <si>
    <t xml:space="preserve">The creation of a new branch of CEM in each of the five investment zones is expected to enable CEM to increase its client  </t>
  </si>
  <si>
    <t>base by</t>
  </si>
  <si>
    <t xml:space="preserve">after 1 year.  CEM currently has an estimated </t>
  </si>
  <si>
    <t>clients that earn CEM an average of</t>
  </si>
  <si>
    <t xml:space="preserve">US$ annually, beginning one year after the construction of the new branches.  </t>
  </si>
  <si>
    <t xml:space="preserve">This measure involves studying the market for savings instruments nationwide in Madagascar for CEM, and developing and </t>
  </si>
  <si>
    <t xml:space="preserve">marketing new products, as appropriate.  The expectation is to attract </t>
  </si>
  <si>
    <t xml:space="preserve">Billion FMG in new savings to CEM  </t>
  </si>
  <si>
    <t xml:space="preserve">within the first year, or </t>
  </si>
  <si>
    <t xml:space="preserve">of this sum, so that total economic benefits are </t>
  </si>
  <si>
    <t>expected economic benefit of mobilizing these savings is</t>
  </si>
  <si>
    <t xml:space="preserve">US$ annually, beginning the year that these products are introduced.  </t>
  </si>
  <si>
    <t xml:space="preserve">The goal of this measure is, primarily, to increase credit supply to rural producers and, secondarily, to improve the capacity </t>
  </si>
  <si>
    <t>US$.</t>
  </si>
  <si>
    <t>The quality of the MFIs' lending portfolios varies widely, and the returns to the activities for which MFIs lend are highly</t>
  </si>
  <si>
    <t xml:space="preserve">volatile.  For loans to be repaid, however (and there is a 15.1% fraction of bad loans), loans must earn at least the prevailing </t>
  </si>
  <si>
    <t>lending rate, typically</t>
  </si>
  <si>
    <t>US$ annual expected economic benefit, beginning in the third year of the compact.</t>
  </si>
  <si>
    <t xml:space="preserve">Warehouse receipts will help smooth cashflows for rural producers and eliminate the need to sell production at harvest time, </t>
  </si>
  <si>
    <t>when prices are lowest.  Assume that</t>
  </si>
  <si>
    <t xml:space="preserve">households can benefit from each warehouse, and by the end of the </t>
  </si>
  <si>
    <t xml:space="preserve">second year of the compact, </t>
  </si>
  <si>
    <t xml:space="preserve">warehouses are to be constructed.  Using the national average annual </t>
  </si>
  <si>
    <t>agricultural wage of</t>
  </si>
  <si>
    <t xml:space="preserve">US$, assuming 2 active wage earners per household, and assuming that the </t>
  </si>
  <si>
    <t xml:space="preserve">warehousing option adds </t>
  </si>
  <si>
    <t>to annual household income, the warehouses add</t>
  </si>
  <si>
    <t>Leasing would be potentially beneficial to farmers and agricultural processors who could profit from using irrigation equipment or</t>
  </si>
  <si>
    <t>a rice mill, for example, but who are unable to finance the outright purchase of this equipment.  This measure envisions</t>
  </si>
  <si>
    <t>spending</t>
  </si>
  <si>
    <t xml:space="preserve">US$ on promotion and dissemination of leasing in the five intervention zones.  Among the MFIs, </t>
  </si>
  <si>
    <t xml:space="preserve">CECAM has provided a leasing product for agricultural and domestic equipment since 1992, with payment </t>
  </si>
  <si>
    <t>schedules tailored to client cashflows.  Leasing demand in the investment zones may be crudely estimated using a</t>
  </si>
  <si>
    <t xml:space="preserve">methodology of the IFC, based on capital goods imports.  These imports could be estimated (based on such figures </t>
  </si>
  <si>
    <t>for other countries and assuming that economic activity is spatially uniformly distributed) as</t>
  </si>
  <si>
    <t xml:space="preserve">US$.  The leasing market might conservatively be </t>
  </si>
  <si>
    <t>of this figure, or</t>
  </si>
  <si>
    <t>of this market per year, we would see</t>
  </si>
  <si>
    <t>This measure would reduce costs and risks for all businesses that use the banking system, while exacting a short-run cost</t>
  </si>
  <si>
    <t>from banks, since they would no longer be able to profit from the float on electronic transactions.  In the long run, however,</t>
  </si>
  <si>
    <t xml:space="preserve">the impact on banks is less clear, since presumably deposits would be stimulated and underlying financial flows would increase, </t>
  </si>
  <si>
    <t>to banks' benefit.</t>
  </si>
  <si>
    <t xml:space="preserve">To be conservative, we use a figure of </t>
  </si>
  <si>
    <t xml:space="preserve">of GDP.  With real GDP in 2004 of </t>
  </si>
  <si>
    <t xml:space="preserve">billion FMG, we would </t>
  </si>
  <si>
    <t xml:space="preserve">obtain a benefit of </t>
  </si>
  <si>
    <t xml:space="preserve">billion FMG, or </t>
  </si>
  <si>
    <t xml:space="preserve">With 7 notaries and 70 accountants in the entire country (all of the former and 90% of the latter in Antananarivo), the provinces  </t>
  </si>
  <si>
    <t>are drastically underserved with business accounting and control expertise.  This component envisions 1200 trainers conducting</t>
  </si>
  <si>
    <t xml:space="preserve">~25 trainings per year for perhaps 10 businesspersons each, for a total of </t>
  </si>
  <si>
    <t xml:space="preserve">businesspersons (particularly from </t>
  </si>
  <si>
    <t xml:space="preserve">MSMEs) trained in accounting.  If--before any training--each of these businesspersons ran a business with revenues equal to </t>
  </si>
  <si>
    <t xml:space="preserve">times the annual agricultural wage of </t>
  </si>
  <si>
    <t xml:space="preserve">FMG, and each business had a </t>
  </si>
  <si>
    <t>US$ annually, beginning one year after the start of the compact.</t>
  </si>
  <si>
    <t xml:space="preserve">longer run, this would likely encourage more (and higher-quality) lending.  Assume that </t>
  </si>
  <si>
    <t>of "Other Services"</t>
  </si>
  <si>
    <t xml:space="preserve">2004 real GDP of </t>
  </si>
  <si>
    <t xml:space="preserve">through better lending, though the resulting impact </t>
  </si>
  <si>
    <t>of</t>
  </si>
  <si>
    <t xml:space="preserve">US$ annually, beginning with the third year of the compact.  </t>
  </si>
  <si>
    <t>This measure foresees 35 FTE trainers to train staff of MFIs in management, control, and risk management.  The goal is to have</t>
  </si>
  <si>
    <t xml:space="preserve">25% of the economically active population in the investment zones served by MFIs, or   </t>
  </si>
  <si>
    <t xml:space="preserve">people.  Currently, only </t>
  </si>
  <si>
    <t>an estimated</t>
  </si>
  <si>
    <t xml:space="preserve">people would be MFI clients within an area the size of the investment zones.  This measure would </t>
  </si>
  <si>
    <t xml:space="preserve">both make the MFIs more profitable and extend credit to a larger fraction of the population.  Looking first at MFI profitability, </t>
  </si>
  <si>
    <t xml:space="preserve">suppose that the capitalization of the MFIs was </t>
  </si>
  <si>
    <t xml:space="preserve">billion FMG in 2004, or </t>
  </si>
  <si>
    <t xml:space="preserve">US$, and that this </t>
  </si>
  <si>
    <t xml:space="preserve">measure would produce a  </t>
  </si>
  <si>
    <t>improvement in the rate of return on this capital.  This would be an annual gain of</t>
  </si>
  <si>
    <t xml:space="preserve">US$. </t>
  </si>
  <si>
    <t xml:space="preserve">Looking now at MFI clients, suppose that this measure reached </t>
  </si>
  <si>
    <t xml:space="preserve">people </t>
  </si>
  <si>
    <t xml:space="preserve">beginning the third year after the start of the compact, and reached this number of people each year thereafter during the </t>
  </si>
  <si>
    <t xml:space="preserve">remaining years in the ten-year time horizon of analysis.  Looking at the </t>
  </si>
  <si>
    <t xml:space="preserve">clients reached in the third year, </t>
  </si>
  <si>
    <t xml:space="preserve">for simplicity, suppose that each ran a business with revenues equal to </t>
  </si>
  <si>
    <t xml:space="preserve">times the average agricultural wage of </t>
  </si>
  <si>
    <t xml:space="preserve">US$ before training.  Assume that access to </t>
  </si>
  <si>
    <t xml:space="preserve">implying a benefit in the third year of </t>
  </si>
  <si>
    <t xml:space="preserve">US$, and increasing by   </t>
  </si>
  <si>
    <t>new clients, we find the stream of benefits over time for this measure are then (assuming that the compact begins in 2005)</t>
  </si>
  <si>
    <t>Year</t>
  </si>
  <si>
    <t>Benefit (US$)</t>
  </si>
  <si>
    <t>C. IDENTIFICATION OF INVESTMENT OPPORTUNITIES</t>
  </si>
  <si>
    <t>Benefits - TOTAL</t>
  </si>
  <si>
    <t>in real terms</t>
  </si>
  <si>
    <t>A.1.1 Inventory of land documents</t>
  </si>
  <si>
    <t>A.1.2 Restore deteriorated documents</t>
  </si>
  <si>
    <t>A.1.3 Install computerized system</t>
  </si>
  <si>
    <t>A.1.4 Scan existing land documents</t>
  </si>
  <si>
    <t>A.2.1.1 Take satellite image of targeted zones</t>
  </si>
  <si>
    <t>A.2.1.3 Survey, draw property lines</t>
  </si>
  <si>
    <t>A.2.1.2  Launch IEC campaign</t>
  </si>
  <si>
    <t>A.2.1.4 Consecrate property rights through land tribunal</t>
  </si>
  <si>
    <t>A.2.1.5 Register land parcels and create titles</t>
  </si>
  <si>
    <t>A.2.2.1 Rent or procure vehicles</t>
  </si>
  <si>
    <t>A.2.2.2 Procure motorcycles for land Administration agents</t>
  </si>
  <si>
    <t>A.2.2.3 Procure office and computer equipments</t>
  </si>
  <si>
    <t>A.2.2.5 Construct buildings in 5 targeted zones</t>
  </si>
  <si>
    <t>A.2.2.4 Procure technical equipment for restoring documents</t>
  </si>
  <si>
    <t>A.2.2.6 Renovate buildings in 5 targeted zones</t>
  </si>
  <si>
    <t>A.2.2.7 Provide land surveying equipment</t>
  </si>
  <si>
    <t>A.2.3.1 Construct and furnish community based land tenure offices</t>
  </si>
  <si>
    <t>A.2.3.2 Launch IEC campaign on the community based land tenure offices</t>
  </si>
  <si>
    <t>A.2.3.3 Provide technical assistance to operate the community based land tenure offices</t>
  </si>
  <si>
    <t>A.3.1.2 Draft the land tenure code</t>
  </si>
  <si>
    <t>A.3.1.3 Disseminate the new land tenure code</t>
  </si>
  <si>
    <t>A.3.1.1 Workshop on the land tenure code</t>
  </si>
  <si>
    <t>A.4.1.1 Initial training in land tenure and topography</t>
  </si>
  <si>
    <t>A.4.1.2 In-service training in land tenure and topography</t>
  </si>
  <si>
    <t>A.4.1.3 Study tours for land tenure agents</t>
  </si>
  <si>
    <t>A.4.2.1 Train regional and local representatives</t>
  </si>
  <si>
    <t>A.4.2.2 Train civil society representatives</t>
  </si>
  <si>
    <t>D. MONITORING AND EVALUATION</t>
  </si>
  <si>
    <t>Benefits</t>
  </si>
  <si>
    <t>Costs (Not disaggregated by component here - see annual totals below)</t>
  </si>
  <si>
    <t xml:space="preserve">The World Bank has estimated that 1.2% of GDP was lost due to inefficiencies in the payments and settlement system.  </t>
  </si>
  <si>
    <t>Not separately valued - benefits incorporated in B.2.2</t>
  </si>
  <si>
    <t>B.2.2 Create new T-bills, notes, and bonds</t>
  </si>
  <si>
    <t>B.3.1.1 Modernize and computerize National Savings Bank for increased efficiency</t>
  </si>
  <si>
    <t xml:space="preserve">The immediate goal of this measure is to improve the capacity of the CEM through organizational analysis and training, with </t>
  </si>
  <si>
    <t xml:space="preserve">activity B.4.1.1 below.  </t>
  </si>
  <si>
    <t>B.4.1.1 Set up and make operational a revolving fund for MFIs</t>
  </si>
  <si>
    <t>of Coordination National de la Microfinance (CNMF) to manage such a fund.  Financing of the fund is envisioned at a level of</t>
  </si>
  <si>
    <t xml:space="preserve">Take this rate as a rough estimate of what MFI loans earn when invested, and make a </t>
  </si>
  <si>
    <t xml:space="preserve">conservative  </t>
  </si>
  <si>
    <t>allowance for bad loans with these new funds.  Net of this rate of bad loans, we will have</t>
  </si>
  <si>
    <t>B.4.2.1 Popularize warehouse receipt system with the rural areas</t>
  </si>
  <si>
    <t xml:space="preserve">B.4.3.1 Promote and popularize leasing system in the 5 zones </t>
  </si>
  <si>
    <t>B.4.3.2 Study implementation of credit instruments for agricultural activities</t>
  </si>
  <si>
    <t xml:space="preserve">B.5.1 Recruit expert for payment system implementation </t>
  </si>
  <si>
    <t>B.5.2 Procure equipment and computer software for national payment system</t>
  </si>
  <si>
    <t>US$ annually, beginning four years after the start of the compact.</t>
  </si>
  <si>
    <t>B.6.1.1 Train trainers of CPAs</t>
  </si>
  <si>
    <t>B.6.1.2 Provide financial support for training of new accounting system</t>
  </si>
  <si>
    <t>B.2.1 Modernize all operations on treasury bonds issuance</t>
  </si>
  <si>
    <t>B.3.2.2 Strengthen capacity of management of funds for MFIs</t>
  </si>
  <si>
    <t>B.6.1.3 Build sustainability into training of accounting system nationwide</t>
  </si>
  <si>
    <t>B.6.2.1 Strengthen training of finance &amp; accounting professionals</t>
  </si>
  <si>
    <t>B.6.2.2 Train new skills in finance--brokers and traders</t>
  </si>
  <si>
    <t xml:space="preserve">Not separately valued (benefits contingent largely on future development of capital markets, currently beyond the scope of the </t>
  </si>
  <si>
    <t>compact).</t>
  </si>
  <si>
    <t>B.6.3.1 Establish credit bureau, risk analysis, and rating agency</t>
  </si>
  <si>
    <t xml:space="preserve">The innovations that this measure contemplates would create more transparency for bank lending.  In the  </t>
  </si>
  <si>
    <t xml:space="preserve">B.6.3.2 Strengthen training in Micro finance </t>
  </si>
  <si>
    <t>B.3.2.1 Increase mobilization of savings</t>
  </si>
  <si>
    <t xml:space="preserve">US$ beginning in the fourth year of the compact.  </t>
  </si>
  <si>
    <t xml:space="preserve">US$, productively lent out.  At a 39% return, this generates </t>
  </si>
  <si>
    <t>C.1 Create a national coordinating center and five zonal Agricultural Business Centers (ABCs)</t>
  </si>
  <si>
    <t>C.2 Develop broad agricultural sector investment plans for five selected zones</t>
  </si>
  <si>
    <t>C.3 Build knowledge management capacity through zonal ABCs</t>
  </si>
  <si>
    <t>C.4 Conduct diagnostic design study for agricultural financial facility</t>
  </si>
  <si>
    <t xml:space="preserve">value-added ratio, these businesses would represent </t>
  </si>
  <si>
    <t>FMG real  value added in the aggregate, or</t>
  </si>
  <si>
    <t>billion FMG is banking sector GDP, and that the corresponding value-added ratio is</t>
  </si>
  <si>
    <t xml:space="preserve">Then, 2004 banking sector value added was </t>
  </si>
  <si>
    <t xml:space="preserve">Suppose that these new institutions increase this value added by </t>
  </si>
  <si>
    <t xml:space="preserve">US$ in incremental value added might take a year beyond the slated completion year for this  </t>
  </si>
  <si>
    <t xml:space="preserve">of the aforementioned value added increment, or </t>
  </si>
  <si>
    <t xml:space="preserve">component of 2006 to be realized.  This increase in value added would be accompanied by improved investment returns on this  </t>
  </si>
  <si>
    <t xml:space="preserve">value added ratio, these micro-enterprises would have value added of </t>
  </si>
  <si>
    <t xml:space="preserve">billion FMG (in real terms) in the </t>
  </si>
  <si>
    <t>aggregate, before training.  Assume, then, that such training would increase value added by</t>
  </si>
  <si>
    <t xml:space="preserve">for these businesses, </t>
  </si>
  <si>
    <t xml:space="preserve">implying an increment to value added of </t>
  </si>
  <si>
    <t xml:space="preserve">US$. Suppose that incremental value added for CEM and incremental benefits to savers  </t>
  </si>
  <si>
    <t>were each</t>
  </si>
  <si>
    <t xml:space="preserve">US$ per client.  Assume that value added is </t>
  </si>
  <si>
    <t xml:space="preserve">times this amount, so that CEM's value added </t>
  </si>
  <si>
    <t>per client is</t>
  </si>
  <si>
    <t xml:space="preserve">US$.  Assume that the new clients at these new branches </t>
  </si>
  <si>
    <t xml:space="preserve">produce twice the value </t>
  </si>
  <si>
    <t xml:space="preserve">added as existing clients for CEM, and that these new clients benefit by half of the incremental added value that they yield for </t>
  </si>
  <si>
    <t xml:space="preserve">CEM.  So CEM's incremental value added due to branch expansion is </t>
  </si>
  <si>
    <t xml:space="preserve">US$ and the benefit to these new </t>
  </si>
  <si>
    <t>clients is</t>
  </si>
  <si>
    <t>branches are completed.  The total expected annual benefit attributable to the compact would be</t>
  </si>
  <si>
    <t>US$.  If this measure, in turn, developed</t>
  </si>
  <si>
    <t xml:space="preserve">US$.  Assume that value added is </t>
  </si>
  <si>
    <t>times this amount, so that CEM's April 2003 value added was</t>
  </si>
  <si>
    <t xml:space="preserve">US$.  Suppose that the MCC  </t>
  </si>
  <si>
    <t>financing would increase value added by</t>
  </si>
  <si>
    <t xml:space="preserve">Total net non-crop-related income (net of input costs) for a marginal change of </t>
  </si>
  <si>
    <t xml:space="preserve">Trended at </t>
  </si>
  <si>
    <t>growth per annum yields annual prices of:</t>
  </si>
  <si>
    <t>$/ha 2004 price;</t>
  </si>
  <si>
    <t>Financial</t>
  </si>
  <si>
    <t>Land</t>
  </si>
  <si>
    <t>Admin</t>
  </si>
  <si>
    <t>Sum</t>
  </si>
  <si>
    <t>Monthly agricultural wages, in FMG</t>
  </si>
  <si>
    <t>Annual, in USD</t>
  </si>
  <si>
    <t>Number of earners per farming household</t>
  </si>
  <si>
    <t>Years of annual income held in savings</t>
  </si>
  <si>
    <t>Average hectares per farming household</t>
  </si>
  <si>
    <t>Total hectares in the zones</t>
  </si>
  <si>
    <t>Number of Households in the zones</t>
  </si>
  <si>
    <t>Total stock of savings</t>
  </si>
  <si>
    <t>Costs</t>
  </si>
  <si>
    <t>M&amp;E</t>
  </si>
  <si>
    <t>TOTAL</t>
  </si>
  <si>
    <t>Net:</t>
  </si>
  <si>
    <t>ERR:</t>
  </si>
  <si>
    <t xml:space="preserve">Costs - TOTAL </t>
  </si>
  <si>
    <t>C.1 Create and operate five Agricultural Business Centers (ABCs)</t>
  </si>
  <si>
    <t>C.2  Create NCC and coordinate activities with government ministries and ABCs</t>
  </si>
  <si>
    <t>C.3 Identify investment opportunities</t>
  </si>
  <si>
    <t>C.4 Build  management capacity in the zones</t>
  </si>
  <si>
    <t xml:space="preserve">stock market would introduce additional discipline into the relatively uncompetitive banking sector.  </t>
  </si>
  <si>
    <t xml:space="preserve">Under these assumptions, the expected annual economic benefit of this measure is </t>
  </si>
  <si>
    <t xml:space="preserve">compact was able to raise overall efficiency of CEM to 90%.  Suppose further that, on an annual basis, the </t>
  </si>
  <si>
    <t xml:space="preserve">US$.  Suppose that the above benefits begin accruing one year after the new </t>
  </si>
  <si>
    <t xml:space="preserve">US$.  The total annual </t>
  </si>
  <si>
    <t>US$ in annual expected economic benefit, beginning in the second year of the compact.</t>
  </si>
  <si>
    <t xml:space="preserve">to incomes in the five intervention zones.  We then have </t>
  </si>
  <si>
    <t xml:space="preserve">US$ in new business, beginning in the second year of the compact.  </t>
  </si>
  <si>
    <t xml:space="preserve">Then, the expected benefits to both banks and borrowers are </t>
  </si>
  <si>
    <t xml:space="preserve">this amount each year thereafter within the time horizon of analysis.  Accounting for the benefits to both the MFIs and the </t>
  </si>
  <si>
    <t>Madagascar economic analysis - Summary (US$) - Base case</t>
  </si>
  <si>
    <t>Madagascar economic analysis - Detail - Base case</t>
  </si>
  <si>
    <t xml:space="preserve">the ultimate goal of satisfying the refinancing needs of MFIs.  Accordingly, the benefits of this activity are incorporated in </t>
  </si>
  <si>
    <t xml:space="preserve">lending, since higher quality borrowers are now more readily identified.  Assume that this increment in returns to borrowers is equal to </t>
  </si>
  <si>
    <t>Base case</t>
  </si>
  <si>
    <t>Estimate of liquid savings</t>
  </si>
  <si>
    <t>Sensitivity analysis of marginal returns on borrowed funds</t>
  </si>
  <si>
    <t>Fraction held in liquid form</t>
  </si>
  <si>
    <t>BC-Summary</t>
  </si>
  <si>
    <t>BC-Detail</t>
  </si>
  <si>
    <t>Parameter values</t>
  </si>
  <si>
    <t>Description of key parameters</t>
  </si>
  <si>
    <t xml:space="preserve">Economic rate of return (ERR): </t>
  </si>
  <si>
    <t>Percentage of Malagasy GDP lost due to inefficiencies in the payments and settlement system</t>
  </si>
  <si>
    <t>Rate of return on microfinance institution lending</t>
  </si>
  <si>
    <t>Percentage increment to annual household income due to option of warehousing of agricultural output</t>
  </si>
  <si>
    <t>Land prices in four higher-priced investment zones (million FMG per hectare)</t>
  </si>
  <si>
    <t>ERR and sensitivity analysis</t>
  </si>
  <si>
    <t xml:space="preserve">Fraction of the market value of titled land that banks will recognize as collateral for loans to small landholders.  </t>
  </si>
  <si>
    <t>Side Calculation: Estimate of total stock of liquid savings held by households in the three zones</t>
  </si>
  <si>
    <t>Madagascar</t>
  </si>
  <si>
    <t>Summary</t>
  </si>
  <si>
    <t>Actual costs as a percentage of estimated costs</t>
  </si>
  <si>
    <t>80 - 120%</t>
  </si>
  <si>
    <t>Actual benefits as a percentage of estimated benefits</t>
  </si>
  <si>
    <t>Parameter type</t>
  </si>
  <si>
    <t>User Input</t>
  </si>
  <si>
    <t>MCC Estimate</t>
  </si>
  <si>
    <t>Values used in ERR computation</t>
  </si>
  <si>
    <t>Plausible range</t>
  </si>
  <si>
    <t>All summary parameters set to initial values?</t>
  </si>
  <si>
    <t xml:space="preserve">   More Info</t>
  </si>
  <si>
    <r>
      <t xml:space="preserve">   </t>
    </r>
    <r>
      <rPr>
        <u val="single"/>
        <sz val="10"/>
        <color indexed="12"/>
        <rFont val="Arial"/>
        <family val="0"/>
      </rPr>
      <t>User's Guide</t>
    </r>
  </si>
  <si>
    <t>Specific</t>
  </si>
  <si>
    <t>3.0 - 6.0</t>
  </si>
  <si>
    <t>0 - 15%</t>
  </si>
  <si>
    <t>30 - 50%</t>
  </si>
  <si>
    <t>0.1 - 1.5%</t>
  </si>
  <si>
    <t>20 - 80%</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</si>
  <si>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</si>
  <si>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Project name</t>
  </si>
  <si>
    <t>Amount of MCC funds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</si>
</sst>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
    <numFmt numFmtId="168" formatCode="0%."/>
    <numFmt numFmtId="169" formatCode="0.0%"/>
    <numFmt numFmtId="170" formatCode="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_-* #,##0.0\ _€_-;\-* #,##0.0\ _€_-;_-* &quot;-&quot;??\ _€_-;_-@_-"/>
    <numFmt numFmtId="180" formatCode="_-* #,##0\ _€_-;\-* #,##0\ _€_-;_-* &quot;-&quot;??\ _€_-;_-@_-"/>
    <numFmt numFmtId="181" formatCode="[$-40C]dddd\ d\ mmmm\ yyyy"/>
    <numFmt numFmtId="182" formatCode="[$-40C]mmm\-yy;@"/>
    <numFmt numFmtId="183" formatCode="mmm\-yyyy"/>
    <numFmt numFmtId="184" formatCode="_-[$$-409]* #,##0_ ;_-[$$-409]* \-#,##0\ ;_-[$$-409]* &quot;-&quot;_ ;_-@_ "/>
    <numFmt numFmtId="185" formatCode="[$$-409]#,##0;[Red][$$-409]#,##0"/>
    <numFmt numFmtId="186" formatCode="[$$-409]#,##0"/>
    <numFmt numFmtId="187" formatCode="0.00_);[Red]\(0.00\)"/>
    <numFmt numFmtId="188" formatCode="\(#,##0\)"/>
    <numFmt numFmtId="189" formatCode="#,##0.0"/>
    <numFmt numFmtId="190" formatCode="0.0000_);[Red]\(0.0000\)"/>
    <numFmt numFmtId="191" formatCode="0.0000%"/>
    <numFmt numFmtId="192" formatCode="&quot;$&quot;#,##0.00000"/>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0.000"/>
    <numFmt numFmtId="199" formatCode="&quot;$&quot;#,##0.000"/>
    <numFmt numFmtId="200" formatCode="_(* #,##0.0_);_(* \(#,##0.0\);_(* &quot;-&quot;??_);_(@_)"/>
    <numFmt numFmtId="201" formatCode="_(* #,##0_);_(* \(#,##0\);_(* &quot;-&quot;??_);_(@_)"/>
    <numFmt numFmtId="202" formatCode="#,##0.0_);[Red]\(#,##0.0\)"/>
    <numFmt numFmtId="203" formatCode="0.0%."/>
    <numFmt numFmtId="204" formatCode="0.00%."/>
    <numFmt numFmtId="205" formatCode="0.000%."/>
    <numFmt numFmtId="206" formatCode="0.0000%."/>
    <numFmt numFmtId="207" formatCode="#,##0.0_);\(#,##0.0\)"/>
    <numFmt numFmtId="208" formatCode="_(&quot;$&quot;* #,##0.0_);_(&quot;$&quot;* \(#,##0.0\);_(&quot;$&quot;* &quot;-&quot;??_);_(@_)"/>
    <numFmt numFmtId="209" formatCode="_(&quot;$&quot;* #,##0_);_(&quot;$&quot;* \(#,##0\);_(&quot;$&quot;* &quot;-&quot;??_);_(@_)"/>
  </numFmts>
  <fonts count="26">
    <font>
      <sz val="10"/>
      <name val="Arial"/>
      <family val="0"/>
    </font>
    <font>
      <b/>
      <sz val="14"/>
      <name val="Arial"/>
      <family val="2"/>
    </font>
    <font>
      <b/>
      <sz val="10"/>
      <name val="Arial"/>
      <family val="2"/>
    </font>
    <font>
      <sz val="8"/>
      <name val="Arial"/>
      <family val="0"/>
    </font>
    <font>
      <i/>
      <sz val="10"/>
      <name val="Arial"/>
      <family val="2"/>
    </font>
    <font>
      <b/>
      <i/>
      <sz val="10"/>
      <name val="Arial"/>
      <family val="2"/>
    </font>
    <font>
      <sz val="8"/>
      <name val="Tahoma"/>
      <family val="0"/>
    </font>
    <font>
      <b/>
      <sz val="8"/>
      <name val="Tahoma"/>
      <family val="0"/>
    </font>
    <font>
      <u val="single"/>
      <sz val="10"/>
      <color indexed="36"/>
      <name val="Arial"/>
      <family val="0"/>
    </font>
    <font>
      <u val="single"/>
      <sz val="10"/>
      <color indexed="12"/>
      <name val="Arial"/>
      <family val="0"/>
    </font>
    <font>
      <b/>
      <sz val="12"/>
      <name val="Arial"/>
      <family val="2"/>
    </font>
    <font>
      <sz val="10"/>
      <color indexed="22"/>
      <name val="Arial"/>
      <family val="0"/>
    </font>
    <font>
      <sz val="12"/>
      <name val="Arial"/>
      <family val="0"/>
    </font>
    <font>
      <b/>
      <sz val="16"/>
      <name val="Arial"/>
      <family val="2"/>
    </font>
    <font>
      <b/>
      <sz val="10"/>
      <color indexed="9"/>
      <name val="Arial"/>
      <family val="2"/>
    </font>
    <font>
      <b/>
      <sz val="10"/>
      <color indexed="12"/>
      <name val="Arial"/>
      <family val="2"/>
    </font>
    <font>
      <sz val="10"/>
      <color indexed="23"/>
      <name val="Arial"/>
      <family val="2"/>
    </font>
    <font>
      <b/>
      <sz val="10"/>
      <color indexed="55"/>
      <name val="Arial"/>
      <family val="2"/>
    </font>
    <font>
      <sz val="10"/>
      <color indexed="12"/>
      <name val="Arial"/>
      <family val="2"/>
    </font>
    <font>
      <b/>
      <sz val="8"/>
      <name val="Arial"/>
      <family val="2"/>
    </font>
    <font>
      <sz val="14"/>
      <name val="Arial"/>
      <family val="2"/>
    </font>
    <font>
      <sz val="8"/>
      <color indexed="17"/>
      <name val="Arial"/>
      <family val="2"/>
    </font>
    <font>
      <sz val="10"/>
      <color indexed="8"/>
      <name val="Arial"/>
      <family val="2"/>
    </font>
    <font>
      <sz val="10"/>
      <color indexed="9"/>
      <name val="Arial"/>
      <family val="2"/>
    </font>
    <font>
      <sz val="12"/>
      <color indexed="8"/>
      <name val="Arial"/>
      <family val="2"/>
    </font>
    <font>
      <sz val="9"/>
      <name val="Arial"/>
      <family val="0"/>
    </font>
  </fonts>
  <fills count="11">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34">
    <border>
      <left/>
      <right/>
      <top/>
      <bottom/>
      <diagonal/>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style="medium"/>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double"/>
      <top style="double"/>
      <bottom>
        <color indexed="63"/>
      </bottom>
    </border>
    <border>
      <left style="thin"/>
      <right style="double"/>
      <top>
        <color indexed="63"/>
      </top>
      <bottom style="thin"/>
    </border>
    <border>
      <left style="double"/>
      <right>
        <color indexed="63"/>
      </right>
      <top>
        <color indexed="63"/>
      </top>
      <bottom>
        <color indexed="63"/>
      </bottom>
    </border>
    <border>
      <left style="thin"/>
      <right style="double"/>
      <top>
        <color indexed="63"/>
      </top>
      <bottom>
        <color indexed="63"/>
      </bottom>
    </border>
    <border>
      <left style="double"/>
      <right>
        <color indexed="63"/>
      </right>
      <top style="thin"/>
      <bottom style="thin"/>
    </border>
    <border>
      <left style="thin"/>
      <right style="double"/>
      <top style="thin"/>
      <bottom style="thin"/>
    </border>
    <border>
      <left style="thin"/>
      <right style="double"/>
      <top style="thin"/>
      <bottom>
        <color indexed="63"/>
      </bottom>
    </border>
    <border>
      <left style="thin"/>
      <right style="double"/>
      <top>
        <color indexed="63"/>
      </top>
      <bottom style="double"/>
    </border>
    <border>
      <left>
        <color indexed="63"/>
      </left>
      <right>
        <color indexed="63"/>
      </right>
      <top style="double"/>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style="double"/>
    </border>
    <border>
      <left style="double"/>
      <right style="thin"/>
      <top style="double"/>
      <bottom>
        <color indexed="63"/>
      </bottom>
    </border>
    <border>
      <left style="double"/>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38" fontId="1" fillId="0" borderId="0" xfId="0" applyNumberFormat="1" applyFont="1" applyAlignment="1">
      <alignment/>
    </xf>
    <xf numFmtId="38" fontId="2" fillId="0" borderId="0" xfId="0" applyNumberFormat="1" applyFont="1" applyAlignment="1">
      <alignment/>
    </xf>
    <xf numFmtId="0" fontId="0" fillId="0" borderId="0" xfId="0" applyAlignment="1">
      <alignment/>
    </xf>
    <xf numFmtId="10" fontId="0" fillId="0" borderId="0" xfId="0" applyNumberFormat="1" applyAlignment="1">
      <alignment/>
    </xf>
    <xf numFmtId="38" fontId="3" fillId="2" borderId="0" xfId="15" applyNumberFormat="1" applyFont="1" applyFill="1" applyAlignment="1">
      <alignment/>
    </xf>
    <xf numFmtId="0" fontId="0" fillId="2" borderId="0" xfId="0" applyFill="1"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center"/>
    </xf>
    <xf numFmtId="0" fontId="4" fillId="0" borderId="0" xfId="0" applyFont="1" applyAlignment="1">
      <alignment horizontal="left"/>
    </xf>
    <xf numFmtId="3" fontId="0" fillId="0" borderId="0" xfId="0" applyNumberFormat="1" applyAlignment="1">
      <alignment horizontal="center"/>
    </xf>
    <xf numFmtId="0" fontId="0" fillId="0" borderId="0" xfId="0" applyAlignment="1">
      <alignment horizontal="left"/>
    </xf>
    <xf numFmtId="3" fontId="0" fillId="0" borderId="0" xfId="0" applyNumberFormat="1" applyAlignment="1">
      <alignment/>
    </xf>
    <xf numFmtId="3" fontId="4" fillId="0" borderId="0" xfId="0" applyNumberFormat="1" applyFont="1" applyAlignment="1">
      <alignment horizontal="left"/>
    </xf>
    <xf numFmtId="9" fontId="0" fillId="0" borderId="0" xfId="0" applyNumberFormat="1" applyAlignment="1">
      <alignment horizontal="center"/>
    </xf>
    <xf numFmtId="2" fontId="0" fillId="0" borderId="0" xfId="0" applyNumberFormat="1" applyAlignment="1">
      <alignment horizontal="center"/>
    </xf>
    <xf numFmtId="2" fontId="4" fillId="0" borderId="0" xfId="0" applyNumberFormat="1" applyFont="1" applyAlignment="1">
      <alignment horizontal="left"/>
    </xf>
    <xf numFmtId="0" fontId="0" fillId="0" borderId="0" xfId="0" applyFont="1" applyAlignment="1">
      <alignment/>
    </xf>
    <xf numFmtId="164" fontId="0" fillId="0" borderId="0" xfId="0" applyNumberFormat="1" applyAlignment="1">
      <alignment horizontal="center"/>
    </xf>
    <xf numFmtId="38" fontId="3" fillId="3" borderId="0" xfId="15" applyNumberFormat="1" applyFont="1" applyFill="1" applyAlignment="1">
      <alignment/>
    </xf>
    <xf numFmtId="0" fontId="0" fillId="3" borderId="0" xfId="0" applyFill="1" applyAlignment="1">
      <alignment/>
    </xf>
    <xf numFmtId="38" fontId="0" fillId="0" borderId="0" xfId="15" applyNumberFormat="1" applyFont="1" applyAlignment="1">
      <alignment/>
    </xf>
    <xf numFmtId="38" fontId="3" fillId="0" borderId="0" xfId="15" applyNumberFormat="1" applyFont="1" applyAlignment="1">
      <alignment/>
    </xf>
    <xf numFmtId="166" fontId="0" fillId="0" borderId="0" xfId="0" applyNumberFormat="1" applyAlignment="1">
      <alignment horizontal="center"/>
    </xf>
    <xf numFmtId="38" fontId="0" fillId="0" borderId="0" xfId="15" applyNumberFormat="1" applyFont="1" applyBorder="1" applyAlignment="1">
      <alignment horizontal="center"/>
    </xf>
    <xf numFmtId="38" fontId="0" fillId="0" borderId="0" xfId="15" applyNumberFormat="1" applyFont="1" applyFill="1" applyBorder="1" applyAlignment="1">
      <alignment/>
    </xf>
    <xf numFmtId="9" fontId="0" fillId="0" borderId="0" xfId="15" applyNumberFormat="1" applyFont="1" applyAlignment="1">
      <alignment horizontal="center"/>
    </xf>
    <xf numFmtId="40" fontId="0" fillId="0" borderId="0" xfId="15" applyNumberFormat="1" applyFont="1" applyAlignment="1">
      <alignment horizontal="center"/>
    </xf>
    <xf numFmtId="38" fontId="0" fillId="0" borderId="0" xfId="15" applyNumberFormat="1" applyFont="1" applyAlignment="1">
      <alignment horizontal="center"/>
    </xf>
    <xf numFmtId="3" fontId="0" fillId="0" borderId="1" xfId="0" applyNumberFormat="1" applyBorder="1" applyAlignment="1">
      <alignment horizontal="center"/>
    </xf>
    <xf numFmtId="1" fontId="0" fillId="0" borderId="0" xfId="0" applyNumberFormat="1" applyAlignment="1">
      <alignment horizontal="center"/>
    </xf>
    <xf numFmtId="169" fontId="0" fillId="0" borderId="0" xfId="0" applyNumberFormat="1" applyAlignment="1">
      <alignment horizontal="center"/>
    </xf>
    <xf numFmtId="38" fontId="0" fillId="0" borderId="1" xfId="15" applyNumberFormat="1" applyFont="1" applyBorder="1" applyAlignment="1">
      <alignment horizontal="center"/>
    </xf>
    <xf numFmtId="168" fontId="0" fillId="0" borderId="0" xfId="15" applyNumberFormat="1" applyFont="1" applyAlignment="1">
      <alignment horizontal="center"/>
    </xf>
    <xf numFmtId="168" fontId="0" fillId="0" borderId="0" xfId="15" applyNumberFormat="1" applyFont="1" applyAlignment="1">
      <alignment horizontal="left"/>
    </xf>
    <xf numFmtId="1" fontId="0" fillId="0" borderId="0" xfId="0" applyNumberFormat="1" applyAlignment="1">
      <alignment horizontal="left"/>
    </xf>
    <xf numFmtId="3" fontId="0" fillId="0" borderId="0" xfId="0" applyNumberFormat="1" applyAlignment="1">
      <alignment horizontal="left"/>
    </xf>
    <xf numFmtId="170" fontId="0" fillId="0" borderId="0" xfId="0" applyNumberFormat="1" applyAlignment="1">
      <alignment horizontal="center"/>
    </xf>
    <xf numFmtId="0" fontId="4" fillId="0" borderId="2" xfId="0" applyFont="1" applyBorder="1" applyAlignment="1">
      <alignment horizontal="center"/>
    </xf>
    <xf numFmtId="0" fontId="4" fillId="0" borderId="3" xfId="0" applyFont="1" applyBorder="1" applyAlignment="1">
      <alignment horizontal="left"/>
    </xf>
    <xf numFmtId="38" fontId="0" fillId="0" borderId="4" xfId="15" applyNumberFormat="1" applyFont="1" applyBorder="1" applyAlignment="1">
      <alignment/>
    </xf>
    <xf numFmtId="0" fontId="0" fillId="0" borderId="5" xfId="0" applyFont="1" applyBorder="1" applyAlignment="1">
      <alignment horizontal="center"/>
    </xf>
    <xf numFmtId="3" fontId="0" fillId="0" borderId="0" xfId="0" applyNumberFormat="1" applyFont="1" applyBorder="1" applyAlignment="1">
      <alignment horizontal="center"/>
    </xf>
    <xf numFmtId="38" fontId="0" fillId="0" borderId="6" xfId="15" applyNumberFormat="1" applyFont="1" applyBorder="1" applyAlignment="1">
      <alignment/>
    </xf>
    <xf numFmtId="0" fontId="0" fillId="0" borderId="6" xfId="0" applyBorder="1" applyAlignment="1">
      <alignment/>
    </xf>
    <xf numFmtId="0" fontId="0" fillId="0" borderId="7" xfId="0" applyFont="1" applyBorder="1" applyAlignment="1">
      <alignment horizontal="center"/>
    </xf>
    <xf numFmtId="3" fontId="0" fillId="0" borderId="8" xfId="0" applyNumberFormat="1" applyFont="1" applyBorder="1" applyAlignment="1">
      <alignment horizontal="center"/>
    </xf>
    <xf numFmtId="0" fontId="0" fillId="0" borderId="9" xfId="0" applyBorder="1" applyAlignment="1">
      <alignment/>
    </xf>
    <xf numFmtId="38" fontId="0" fillId="0" borderId="0" xfId="15" applyNumberFormat="1" applyFont="1" applyAlignment="1">
      <alignment/>
    </xf>
    <xf numFmtId="38" fontId="0" fillId="0" borderId="0" xfId="0" applyNumberFormat="1" applyAlignment="1">
      <alignment/>
    </xf>
    <xf numFmtId="0" fontId="0" fillId="0" borderId="0" xfId="0" applyNumberFormat="1" applyAlignment="1">
      <alignment horizontal="center"/>
    </xf>
    <xf numFmtId="38" fontId="10" fillId="0" borderId="0" xfId="0" applyNumberFormat="1" applyFont="1" applyAlignment="1">
      <alignment/>
    </xf>
    <xf numFmtId="38" fontId="0" fillId="2" borderId="0" xfId="0" applyNumberFormat="1" applyFill="1" applyAlignment="1">
      <alignment/>
    </xf>
    <xf numFmtId="38" fontId="0" fillId="0" borderId="0" xfId="0" applyNumberFormat="1" applyAlignment="1">
      <alignment horizontal="right"/>
    </xf>
    <xf numFmtId="3" fontId="0" fillId="0" borderId="0" xfId="0" applyNumberFormat="1" applyFont="1" applyBorder="1" applyAlignment="1">
      <alignment horizontal="right"/>
    </xf>
    <xf numFmtId="38" fontId="3" fillId="0" borderId="0" xfId="15" applyNumberFormat="1" applyFont="1" applyFill="1" applyAlignment="1">
      <alignment/>
    </xf>
    <xf numFmtId="38" fontId="0" fillId="0" borderId="0" xfId="0" applyNumberFormat="1" applyFill="1" applyAlignment="1">
      <alignment/>
    </xf>
    <xf numFmtId="38" fontId="10" fillId="4" borderId="8" xfId="15" applyNumberFormat="1" applyFont="1" applyFill="1" applyBorder="1" applyAlignment="1">
      <alignment/>
    </xf>
    <xf numFmtId="38" fontId="0" fillId="4" borderId="8" xfId="0" applyNumberFormat="1" applyFill="1" applyBorder="1" applyAlignment="1">
      <alignment/>
    </xf>
    <xf numFmtId="38" fontId="3" fillId="4" borderId="0" xfId="15" applyNumberFormat="1" applyFont="1" applyFill="1" applyAlignment="1">
      <alignment/>
    </xf>
    <xf numFmtId="38" fontId="0" fillId="4" borderId="0" xfId="0" applyNumberFormat="1" applyFill="1" applyAlignment="1">
      <alignment/>
    </xf>
    <xf numFmtId="9" fontId="0" fillId="4" borderId="0" xfId="0" applyNumberFormat="1" applyFill="1" applyAlignment="1">
      <alignment/>
    </xf>
    <xf numFmtId="38" fontId="0" fillId="4" borderId="8" xfId="0" applyNumberFormat="1" applyFont="1" applyFill="1" applyBorder="1" applyAlignment="1">
      <alignment/>
    </xf>
    <xf numFmtId="38" fontId="0" fillId="4" borderId="8" xfId="0" applyNumberFormat="1" applyFill="1" applyBorder="1" applyAlignment="1">
      <alignment horizontal="right"/>
    </xf>
    <xf numFmtId="38" fontId="10" fillId="5" borderId="8" xfId="0" applyNumberFormat="1" applyFont="1" applyFill="1" applyBorder="1" applyAlignment="1">
      <alignment/>
    </xf>
    <xf numFmtId="38" fontId="0" fillId="5" borderId="8" xfId="0" applyNumberFormat="1" applyFill="1" applyBorder="1" applyAlignment="1">
      <alignment/>
    </xf>
    <xf numFmtId="192" fontId="0" fillId="0" borderId="0" xfId="0" applyNumberFormat="1" applyAlignment="1">
      <alignment/>
    </xf>
    <xf numFmtId="38" fontId="0" fillId="0" borderId="1" xfId="0" applyNumberFormat="1" applyBorder="1" applyAlignment="1">
      <alignment horizontal="center"/>
    </xf>
    <xf numFmtId="165" fontId="0" fillId="0" borderId="0" xfId="0" applyNumberFormat="1" applyAlignment="1">
      <alignment horizontal="center"/>
    </xf>
    <xf numFmtId="0" fontId="0" fillId="0" borderId="0" xfId="0" applyFill="1" applyAlignment="1">
      <alignment/>
    </xf>
    <xf numFmtId="3" fontId="0" fillId="0" borderId="0" xfId="0" applyNumberFormat="1" applyFill="1" applyAlignment="1">
      <alignment/>
    </xf>
    <xf numFmtId="0" fontId="0" fillId="0" borderId="10" xfId="0" applyNumberFormat="1" applyBorder="1" applyAlignment="1">
      <alignment horizontal="center"/>
    </xf>
    <xf numFmtId="38" fontId="0" fillId="0" borderId="10" xfId="0" applyNumberFormat="1" applyBorder="1" applyAlignment="1">
      <alignment/>
    </xf>
    <xf numFmtId="38" fontId="0" fillId="0" borderId="10" xfId="0" applyNumberFormat="1" applyBorder="1" applyAlignment="1">
      <alignment horizontal="center"/>
    </xf>
    <xf numFmtId="165" fontId="0" fillId="0" borderId="7" xfId="0" applyNumberFormat="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0" fontId="0" fillId="0" borderId="2" xfId="0" applyNumberFormat="1" applyBorder="1" applyAlignment="1">
      <alignment horizontal="center"/>
    </xf>
    <xf numFmtId="0" fontId="0" fillId="0" borderId="3" xfId="0" applyNumberFormat="1" applyBorder="1" applyAlignment="1">
      <alignment horizontal="center"/>
    </xf>
    <xf numFmtId="0" fontId="0" fillId="0" borderId="11" xfId="0" applyNumberFormat="1" applyBorder="1" applyAlignment="1">
      <alignment horizontal="center"/>
    </xf>
    <xf numFmtId="38" fontId="0" fillId="0" borderId="10" xfId="0" applyNumberFormat="1" applyFill="1" applyBorder="1" applyAlignment="1">
      <alignment/>
    </xf>
    <xf numFmtId="9" fontId="0" fillId="0" borderId="0" xfId="0" applyNumberFormat="1" applyFill="1" applyAlignment="1">
      <alignment horizontal="center"/>
    </xf>
    <xf numFmtId="165" fontId="0" fillId="0" borderId="0" xfId="0" applyNumberFormat="1" applyBorder="1" applyAlignment="1">
      <alignment horizontal="center"/>
    </xf>
    <xf numFmtId="165" fontId="0" fillId="0" borderId="0" xfId="0" applyNumberFormat="1" applyBorder="1" applyAlignment="1">
      <alignment horizontal="left"/>
    </xf>
    <xf numFmtId="165" fontId="2" fillId="0" borderId="0" xfId="0" applyNumberFormat="1" applyFont="1" applyBorder="1" applyAlignment="1">
      <alignment horizontal="left"/>
    </xf>
    <xf numFmtId="3" fontId="0" fillId="0" borderId="0" xfId="0" applyNumberFormat="1" applyBorder="1" applyAlignment="1">
      <alignment horizontal="left"/>
    </xf>
    <xf numFmtId="4" fontId="0" fillId="0" borderId="0" xfId="0" applyNumberFormat="1" applyBorder="1" applyAlignment="1">
      <alignment horizontal="left"/>
    </xf>
    <xf numFmtId="38" fontId="0" fillId="6" borderId="0" xfId="0" applyNumberFormat="1" applyFill="1" applyAlignment="1">
      <alignment/>
    </xf>
    <xf numFmtId="165" fontId="0" fillId="0" borderId="0" xfId="0" applyNumberFormat="1" applyAlignment="1">
      <alignment/>
    </xf>
    <xf numFmtId="9" fontId="0" fillId="0" borderId="0" xfId="0" applyNumberFormat="1" applyAlignment="1">
      <alignment/>
    </xf>
    <xf numFmtId="6" fontId="0" fillId="4" borderId="8" xfId="0" applyNumberFormat="1" applyFont="1" applyFill="1" applyBorder="1" applyAlignment="1">
      <alignment horizontal="center"/>
    </xf>
    <xf numFmtId="199" fontId="0" fillId="0" borderId="0" xfId="0" applyNumberFormat="1" applyBorder="1" applyAlignment="1">
      <alignment horizontal="left"/>
    </xf>
    <xf numFmtId="0" fontId="3" fillId="3" borderId="0" xfId="0" applyFont="1" applyFill="1" applyAlignment="1">
      <alignment/>
    </xf>
    <xf numFmtId="0" fontId="3" fillId="0" borderId="0" xfId="0" applyFont="1" applyFill="1" applyAlignment="1">
      <alignment/>
    </xf>
    <xf numFmtId="38" fontId="0" fillId="0" borderId="0" xfId="15" applyNumberFormat="1" applyFont="1" applyFill="1" applyAlignment="1">
      <alignment/>
    </xf>
    <xf numFmtId="0" fontId="0" fillId="0" borderId="0" xfId="0" applyFill="1" applyAlignment="1">
      <alignment horizontal="center"/>
    </xf>
    <xf numFmtId="3" fontId="0" fillId="0" borderId="0" xfId="0" applyNumberFormat="1" applyFill="1" applyAlignment="1">
      <alignment horizontal="center"/>
    </xf>
    <xf numFmtId="1" fontId="0" fillId="0" borderId="0" xfId="0" applyNumberFormat="1" applyFill="1" applyAlignment="1">
      <alignment horizontal="left"/>
    </xf>
    <xf numFmtId="0" fontId="10" fillId="0" borderId="0" xfId="0" applyFont="1" applyAlignment="1">
      <alignment/>
    </xf>
    <xf numFmtId="1" fontId="0" fillId="0" borderId="0" xfId="0" applyNumberFormat="1" applyFill="1" applyAlignment="1">
      <alignment/>
    </xf>
    <xf numFmtId="10" fontId="11" fillId="0" borderId="0" xfId="0" applyNumberFormat="1" applyFont="1" applyAlignment="1">
      <alignment/>
    </xf>
    <xf numFmtId="0" fontId="2" fillId="0" borderId="0" xfId="0" applyFont="1" applyAlignment="1">
      <alignment horizontal="right"/>
    </xf>
    <xf numFmtId="38" fontId="0" fillId="0" borderId="0" xfId="0" applyNumberFormat="1" applyAlignment="1">
      <alignment horizontal="center"/>
    </xf>
    <xf numFmtId="4" fontId="0" fillId="0" borderId="0" xfId="0" applyNumberFormat="1" applyAlignment="1">
      <alignment/>
    </xf>
    <xf numFmtId="0" fontId="13" fillId="0" borderId="0" xfId="0" applyFont="1" applyAlignment="1">
      <alignment/>
    </xf>
    <xf numFmtId="169" fontId="14" fillId="7" borderId="12" xfId="21" applyNumberFormat="1" applyFont="1" applyFill="1" applyBorder="1" applyAlignment="1">
      <alignment horizontal="center"/>
    </xf>
    <xf numFmtId="0" fontId="0" fillId="0" borderId="13" xfId="0" applyBorder="1" applyAlignment="1">
      <alignment vertical="center" wrapText="1"/>
    </xf>
    <xf numFmtId="9" fontId="15" fillId="8" borderId="0"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10" fillId="0" borderId="0" xfId="0" applyFont="1" applyBorder="1" applyAlignment="1">
      <alignment/>
    </xf>
    <xf numFmtId="0" fontId="10" fillId="0" borderId="0" xfId="0" applyFont="1" applyBorder="1" applyAlignment="1">
      <alignment vertical="center"/>
    </xf>
    <xf numFmtId="0" fontId="0" fillId="0" borderId="0" xfId="0" applyFont="1" applyBorder="1" applyAlignment="1">
      <alignment horizontal="center" wrapText="1"/>
    </xf>
    <xf numFmtId="0" fontId="0" fillId="0" borderId="0" xfId="0" applyBorder="1" applyAlignment="1">
      <alignment horizontal="center" vertical="center"/>
    </xf>
    <xf numFmtId="0" fontId="15"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vertical="center"/>
    </xf>
    <xf numFmtId="9" fontId="15" fillId="8" borderId="15" xfId="0" applyNumberFormat="1" applyFont="1" applyFill="1" applyBorder="1" applyAlignment="1">
      <alignment horizontal="center" vertical="center"/>
    </xf>
    <xf numFmtId="0" fontId="0" fillId="0" borderId="15" xfId="0" applyFont="1" applyBorder="1" applyAlignment="1">
      <alignment horizontal="center" vertical="center" wrapText="1"/>
    </xf>
    <xf numFmtId="0" fontId="0" fillId="0" borderId="16" xfId="0" applyFont="1" applyFill="1" applyBorder="1" applyAlignment="1">
      <alignment vertical="center"/>
    </xf>
    <xf numFmtId="9" fontId="15" fillId="8"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9" fontId="0" fillId="0" borderId="17" xfId="0" applyNumberFormat="1" applyFont="1" applyBorder="1" applyAlignment="1">
      <alignment horizontal="center" vertical="center" wrapText="1"/>
    </xf>
    <xf numFmtId="9" fontId="0" fillId="0" borderId="18" xfId="0" applyNumberFormat="1" applyFont="1" applyBorder="1" applyAlignment="1">
      <alignment horizontal="center" vertical="center" wrapText="1"/>
    </xf>
    <xf numFmtId="9" fontId="0" fillId="9" borderId="17" xfId="0" applyNumberFormat="1" applyFont="1" applyFill="1" applyBorder="1" applyAlignment="1">
      <alignment horizontal="center" vertical="center" wrapText="1"/>
    </xf>
    <xf numFmtId="9" fontId="0" fillId="9" borderId="18" xfId="0" applyNumberFormat="1" applyFont="1" applyFill="1" applyBorder="1" applyAlignment="1">
      <alignment horizontal="center" vertical="center" wrapText="1"/>
    </xf>
    <xf numFmtId="0" fontId="15" fillId="8" borderId="15" xfId="0" applyFont="1" applyFill="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9" fontId="0" fillId="0" borderId="13" xfId="0" applyNumberFormat="1" applyBorder="1" applyAlignment="1">
      <alignment horizontal="center" vertical="center"/>
    </xf>
    <xf numFmtId="169" fontId="0" fillId="0" borderId="13" xfId="0" applyNumberFormat="1" applyBorder="1" applyAlignment="1">
      <alignment horizontal="center" vertical="center"/>
    </xf>
    <xf numFmtId="9" fontId="0" fillId="0" borderId="18" xfId="0" applyNumberFormat="1" applyBorder="1" applyAlignment="1">
      <alignment horizontal="center" vertical="center"/>
    </xf>
    <xf numFmtId="169" fontId="0" fillId="9" borderId="13" xfId="15" applyNumberFormat="1" applyFont="1" applyFill="1" applyBorder="1" applyAlignment="1">
      <alignment horizontal="center" vertical="center"/>
    </xf>
    <xf numFmtId="0" fontId="16" fillId="0" borderId="17" xfId="0" applyFont="1" applyBorder="1" applyAlignment="1">
      <alignment horizontal="center" vertical="center" wrapText="1"/>
    </xf>
    <xf numFmtId="0" fontId="17" fillId="0" borderId="18" xfId="0" applyFont="1" applyFill="1" applyBorder="1" applyAlignment="1">
      <alignment horizontal="center" vertical="center" wrapText="1"/>
    </xf>
    <xf numFmtId="0" fontId="2" fillId="0" borderId="12" xfId="0" applyFont="1" applyBorder="1" applyAlignment="1">
      <alignment vertical="center"/>
    </xf>
    <xf numFmtId="0" fontId="18" fillId="0" borderId="13" xfId="20" applyFont="1" applyBorder="1" applyAlignment="1">
      <alignment vertical="center"/>
    </xf>
    <xf numFmtId="0" fontId="18" fillId="0" borderId="18" xfId="20" applyFont="1" applyBorder="1" applyAlignment="1">
      <alignment vertical="center"/>
    </xf>
    <xf numFmtId="169" fontId="2" fillId="0" borderId="12" xfId="0" applyNumberFormat="1" applyFont="1" applyBorder="1" applyAlignment="1">
      <alignment horizontal="center"/>
    </xf>
    <xf numFmtId="0" fontId="0" fillId="0" borderId="14"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9" fontId="0" fillId="9" borderId="13" xfId="15" applyNumberFormat="1" applyFont="1" applyFill="1" applyBorder="1" applyAlignment="1">
      <alignment horizontal="center" vertical="center"/>
    </xf>
    <xf numFmtId="169" fontId="15" fillId="8" borderId="0" xfId="0" applyNumberFormat="1" applyFont="1" applyFill="1" applyBorder="1" applyAlignment="1">
      <alignment horizontal="center" vertical="center"/>
    </xf>
    <xf numFmtId="0" fontId="2" fillId="0" borderId="0" xfId="0" applyFont="1" applyFill="1" applyAlignment="1">
      <alignment horizontal="left" vertical="center" wrapText="1"/>
    </xf>
    <xf numFmtId="0" fontId="20" fillId="0" borderId="0" xfId="0" applyFont="1" applyAlignment="1">
      <alignment/>
    </xf>
    <xf numFmtId="207" fontId="0" fillId="9" borderId="17" xfId="15" applyNumberFormat="1" applyFont="1" applyFill="1" applyBorder="1" applyAlignment="1">
      <alignment horizontal="center" vertical="center"/>
    </xf>
    <xf numFmtId="9" fontId="0" fillId="9" borderId="18" xfId="15" applyNumberFormat="1" applyFont="1" applyFill="1" applyBorder="1" applyAlignment="1">
      <alignment horizontal="center" vertical="center"/>
    </xf>
    <xf numFmtId="14" fontId="21" fillId="0" borderId="0" xfId="0" applyNumberFormat="1" applyFont="1" applyAlignment="1">
      <alignment horizontal="right"/>
    </xf>
    <xf numFmtId="0" fontId="0" fillId="0" borderId="0" xfId="0" applyBorder="1" applyAlignment="1">
      <alignment vertical="center"/>
    </xf>
    <xf numFmtId="0" fontId="21" fillId="0" borderId="0" xfId="0" applyFont="1" applyBorder="1" applyAlignment="1">
      <alignment horizontal="right" vertical="center"/>
    </xf>
    <xf numFmtId="0" fontId="2"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vertical="center" wrapText="1"/>
    </xf>
    <xf numFmtId="0" fontId="0" fillId="0" borderId="23" xfId="0" applyFont="1" applyBorder="1" applyAlignment="1">
      <alignment horizontal="left" vertical="center" wrapText="1"/>
    </xf>
    <xf numFmtId="0" fontId="0" fillId="0" borderId="24" xfId="0" applyFont="1" applyBorder="1" applyAlignment="1">
      <alignment vertical="center" wrapText="1"/>
    </xf>
    <xf numFmtId="14" fontId="0" fillId="0" borderId="25" xfId="0" applyNumberFormat="1" applyFont="1" applyBorder="1" applyAlignment="1">
      <alignment horizontal="left" vertical="center" wrapText="1"/>
    </xf>
    <xf numFmtId="0" fontId="22" fillId="0" borderId="26" xfId="0" applyFont="1" applyBorder="1" applyAlignment="1">
      <alignment vertical="center" wrapText="1"/>
    </xf>
    <xf numFmtId="0" fontId="22" fillId="0" borderId="21" xfId="0" applyFont="1" applyBorder="1" applyAlignment="1">
      <alignment vertical="center" wrapText="1"/>
    </xf>
    <xf numFmtId="0" fontId="0" fillId="0" borderId="25" xfId="0" applyFont="1" applyBorder="1" applyAlignment="1">
      <alignment horizontal="lef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9" fillId="0" borderId="23" xfId="20" applyBorder="1" applyAlignment="1">
      <alignment vertical="center"/>
    </xf>
    <xf numFmtId="0" fontId="0" fillId="0" borderId="23" xfId="0" applyNumberFormat="1" applyBorder="1" applyAlignment="1">
      <alignment vertical="center" wrapText="1"/>
    </xf>
    <xf numFmtId="0" fontId="0" fillId="0" borderId="23" xfId="0" applyBorder="1" applyAlignment="1">
      <alignment vertical="center"/>
    </xf>
    <xf numFmtId="0" fontId="0" fillId="0" borderId="23" xfId="0" applyBorder="1" applyAlignment="1">
      <alignment vertical="center" wrapText="1"/>
    </xf>
    <xf numFmtId="0" fontId="13" fillId="0" borderId="0" xfId="0" applyFont="1" applyAlignment="1">
      <alignment wrapText="1"/>
    </xf>
    <xf numFmtId="0" fontId="0" fillId="0" borderId="27" xfId="0" applyBorder="1" applyAlignment="1">
      <alignment vertical="center" wrapText="1"/>
    </xf>
    <xf numFmtId="0" fontId="9" fillId="0" borderId="23" xfId="20" applyBorder="1" applyAlignment="1">
      <alignment vertical="center" wrapText="1"/>
    </xf>
    <xf numFmtId="0" fontId="0" fillId="0" borderId="23" xfId="0" applyFont="1" applyBorder="1" applyAlignment="1">
      <alignment horizontal="left" vertical="top" wrapText="1"/>
    </xf>
    <xf numFmtId="0" fontId="0" fillId="0" borderId="23" xfId="0" applyBorder="1" applyAlignment="1">
      <alignment wrapText="1"/>
    </xf>
    <xf numFmtId="0" fontId="0" fillId="0" borderId="0" xfId="0" applyAlignment="1">
      <alignment wrapText="1"/>
    </xf>
    <xf numFmtId="38" fontId="0" fillId="4" borderId="0" xfId="0" applyNumberFormat="1" applyFill="1" applyAlignment="1">
      <alignment horizontal="right"/>
    </xf>
    <xf numFmtId="38" fontId="0" fillId="4" borderId="0" xfId="0" applyNumberFormat="1" applyFont="1" applyFill="1" applyAlignment="1">
      <alignment/>
    </xf>
    <xf numFmtId="38" fontId="0" fillId="4" borderId="0" xfId="0" applyNumberFormat="1" applyFont="1" applyFill="1" applyAlignment="1">
      <alignment horizontal="right"/>
    </xf>
    <xf numFmtId="9" fontId="18" fillId="4" borderId="0" xfId="0" applyNumberFormat="1" applyFont="1" applyFill="1" applyAlignment="1">
      <alignment/>
    </xf>
    <xf numFmtId="0" fontId="23" fillId="0" borderId="0" xfId="0" applyFont="1" applyAlignment="1">
      <alignment horizontal="center" vertical="center"/>
    </xf>
    <xf numFmtId="0" fontId="2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wrapText="1"/>
    </xf>
    <xf numFmtId="169" fontId="23" fillId="7" borderId="0" xfId="0" applyNumberFormat="1" applyFont="1" applyFill="1" applyBorder="1" applyAlignment="1">
      <alignment horizontal="center"/>
    </xf>
    <xf numFmtId="0" fontId="24" fillId="0" borderId="0" xfId="0" applyFont="1" applyAlignment="1">
      <alignment horizontal="left" indent="4"/>
    </xf>
    <xf numFmtId="0" fontId="24" fillId="0" borderId="0" xfId="0" applyNumberFormat="1" applyFont="1" applyAlignment="1">
      <alignment horizontal="left" indent="4"/>
    </xf>
    <xf numFmtId="0" fontId="4" fillId="0" borderId="0" xfId="0" applyFont="1" applyAlignment="1">
      <alignment horizontal="left" wrapText="1" indent="2"/>
    </xf>
    <xf numFmtId="0" fontId="0" fillId="2" borderId="0" xfId="0" applyNumberFormat="1" applyFill="1" applyAlignment="1">
      <alignment horizontal="center"/>
    </xf>
    <xf numFmtId="0" fontId="2" fillId="0" borderId="0" xfId="0" applyFont="1" applyFill="1" applyAlignment="1">
      <alignment/>
    </xf>
    <xf numFmtId="38" fontId="0" fillId="7" borderId="0" xfId="0" applyNumberFormat="1" applyFill="1" applyAlignment="1">
      <alignment/>
    </xf>
    <xf numFmtId="9" fontId="0" fillId="7" borderId="0" xfId="0" applyNumberFormat="1" applyFill="1" applyAlignment="1">
      <alignment/>
    </xf>
    <xf numFmtId="9" fontId="18" fillId="10" borderId="0" xfId="0" applyNumberFormat="1" applyFont="1" applyFill="1" applyAlignment="1">
      <alignment horizontal="center"/>
    </xf>
    <xf numFmtId="0" fontId="18" fillId="10" borderId="0" xfId="0" applyFont="1" applyFill="1" applyAlignment="1">
      <alignment horizontal="center"/>
    </xf>
    <xf numFmtId="164" fontId="0" fillId="0" borderId="0" xfId="0" applyNumberFormat="1" applyFont="1" applyFill="1" applyAlignment="1">
      <alignment horizontal="center"/>
    </xf>
    <xf numFmtId="2" fontId="2" fillId="0" borderId="0" xfId="0" applyNumberFormat="1" applyFont="1" applyAlignment="1">
      <alignment horizontal="center"/>
    </xf>
    <xf numFmtId="209" fontId="0" fillId="0" borderId="0" xfId="17" applyNumberFormat="1" applyFill="1" applyBorder="1" applyAlignment="1">
      <alignment/>
    </xf>
    <xf numFmtId="165" fontId="16" fillId="0" borderId="0" xfId="0" applyNumberFormat="1" applyFont="1" applyBorder="1" applyAlignment="1">
      <alignment horizontal="left"/>
    </xf>
    <xf numFmtId="165" fontId="0" fillId="0" borderId="0" xfId="0" applyNumberFormat="1" applyFill="1" applyBorder="1" applyAlignment="1">
      <alignment horizontal="left"/>
    </xf>
    <xf numFmtId="167" fontId="0" fillId="0" borderId="0" xfId="0" applyNumberFormat="1" applyFill="1" applyAlignment="1">
      <alignment horizontal="center"/>
    </xf>
    <xf numFmtId="168" fontId="18" fillId="10" borderId="0" xfId="0" applyNumberFormat="1" applyFont="1" applyFill="1" applyAlignment="1">
      <alignment horizontal="center"/>
    </xf>
    <xf numFmtId="169" fontId="18" fillId="10" borderId="0" xfId="0" applyNumberFormat="1" applyFont="1" applyFill="1" applyAlignment="1">
      <alignment horizontal="center"/>
    </xf>
    <xf numFmtId="0" fontId="0" fillId="0" borderId="28" xfId="0" applyNumberFormat="1" applyFont="1" applyBorder="1" applyAlignment="1">
      <alignment horizontal="left" vertical="center" wrapText="1"/>
    </xf>
    <xf numFmtId="0" fontId="25" fillId="0" borderId="28" xfId="0" applyNumberFormat="1" applyFont="1" applyBorder="1" applyAlignment="1">
      <alignment horizontal="lef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9" xfId="0" applyBorder="1" applyAlignment="1">
      <alignment horizontal="left" vertical="center"/>
    </xf>
    <xf numFmtId="0" fontId="0" fillId="0" borderId="22" xfId="0" applyBorder="1" applyAlignment="1">
      <alignment horizontal="left" vertical="center"/>
    </xf>
    <xf numFmtId="0" fontId="0" fillId="0" borderId="31" xfId="0" applyBorder="1" applyAlignment="1">
      <alignment horizontal="left" vertical="center"/>
    </xf>
    <xf numFmtId="0" fontId="13" fillId="0" borderId="0" xfId="0" applyFont="1" applyBorder="1" applyAlignment="1">
      <alignment horizontal="center" vertical="center"/>
    </xf>
    <xf numFmtId="0" fontId="0" fillId="0" borderId="22"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0" xfId="0" applyAlignment="1">
      <alignment horizontal="left" wrapText="1"/>
    </xf>
    <xf numFmtId="0" fontId="2" fillId="0" borderId="0" xfId="0" applyFont="1" applyFill="1" applyAlignment="1">
      <alignment horizontal="left" vertical="center" wrapText="1"/>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0" fillId="0" borderId="0" xfId="0" applyFont="1" applyAlignment="1">
      <alignment wrapText="1"/>
    </xf>
    <xf numFmtId="49" fontId="0" fillId="0" borderId="0" xfId="0" applyNumberFormat="1" applyFont="1" applyAlignment="1">
      <alignment horizontal="left" vertical="center" wrapText="1" indent="3"/>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Madagascar MCC compact</a:t>
            </a:r>
          </a:p>
        </c:rich>
      </c:tx>
      <c:layout/>
      <c:spPr>
        <a:noFill/>
        <a:ln>
          <a:noFill/>
        </a:ln>
      </c:spPr>
    </c:title>
    <c:plotArea>
      <c:layout/>
      <c:areaChart>
        <c:grouping val="standard"/>
        <c:varyColors val="0"/>
        <c:ser>
          <c:idx val="0"/>
          <c:order val="0"/>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val>
            <c:numRef>
              <c:f>'BC-Summary'!$H$135:$Q$135</c:f>
              <c:numCache>
                <c:ptCount val="10"/>
                <c:pt idx="0">
                  <c:v>-17489066</c:v>
                </c:pt>
                <c:pt idx="1">
                  <c:v>-19932258.722100005</c:v>
                </c:pt>
                <c:pt idx="2">
                  <c:v>-1962132.8563684076</c:v>
                </c:pt>
                <c:pt idx="3">
                  <c:v>16597832.976875655</c:v>
                </c:pt>
                <c:pt idx="4">
                  <c:v>22095693.121426113</c:v>
                </c:pt>
                <c:pt idx="5">
                  <c:v>22618804.771035828</c:v>
                </c:pt>
                <c:pt idx="6">
                  <c:v>23159771.728381895</c:v>
                </c:pt>
                <c:pt idx="7">
                  <c:v>23719218.92923507</c:v>
                </c:pt>
                <c:pt idx="8">
                  <c:v>24297793.182118107</c:v>
                </c:pt>
                <c:pt idx="9">
                  <c:v>24896163.933852054</c:v>
                </c:pt>
              </c:numCache>
            </c:numRef>
          </c:val>
        </c:ser>
        <c:axId val="22475042"/>
        <c:axId val="948787"/>
      </c:areaChart>
      <c:catAx>
        <c:axId val="22475042"/>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200" b="1" i="0" u="none" baseline="0">
                <a:latin typeface="Arial"/>
                <a:ea typeface="Arial"/>
                <a:cs typeface="Arial"/>
              </a:defRPr>
            </a:pPr>
          </a:p>
        </c:txPr>
        <c:crossAx val="948787"/>
        <c:crosses val="autoZero"/>
        <c:auto val="1"/>
        <c:lblOffset val="100"/>
        <c:tickLblSkip val="1"/>
        <c:noMultiLvlLbl val="0"/>
      </c:catAx>
      <c:valAx>
        <c:axId val="948787"/>
        <c:scaling>
          <c:orientation val="minMax"/>
        </c:scaling>
        <c:axPos val="l"/>
        <c:title>
          <c:tx>
            <c:rich>
              <a:bodyPr vert="horz" rot="-5400000" anchor="ctr"/>
              <a:lstStyle/>
              <a:p>
                <a:pPr algn="ctr">
                  <a:defRPr/>
                </a:pPr>
                <a:r>
                  <a:rPr lang="en-US" cap="none" sz="1200" b="1" i="0" u="none" baseline="0">
                    <a:latin typeface="Arial"/>
                    <a:ea typeface="Arial"/>
                    <a:cs typeface="Arial"/>
                  </a:rPr>
                  <a:t>US$</a:t>
                </a:r>
              </a:p>
            </c:rich>
          </c:tx>
          <c:layout/>
          <c:overlay val="0"/>
          <c:spPr>
            <a:noFill/>
            <a:ln>
              <a:noFill/>
            </a:ln>
          </c:spPr>
        </c:title>
        <c:majorGridlines/>
        <c:delete val="0"/>
        <c:numFmt formatCode="#,##0" sourceLinked="0"/>
        <c:majorTickMark val="out"/>
        <c:minorTickMark val="none"/>
        <c:tickLblPos val="nextTo"/>
        <c:crossAx val="22475042"/>
        <c:crossesAt val="1"/>
        <c:crossBetween val="midCat"/>
        <c:dispUnits/>
      </c:valAx>
      <c:spPr>
        <a:solidFill>
          <a:srgbClr val="C0C0C0"/>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ERR Given Uncertainty in Key Parameters </a:t>
            </a:r>
            <a:r>
              <a:rPr lang="en-US" cap="none" sz="1000" b="1" i="0" u="none" baseline="0">
                <a:latin typeface="Arial"/>
                <a:ea typeface="Arial"/>
                <a:cs typeface="Arial"/>
              </a:rPr>
              <a:t>
</a:t>
            </a:r>
            <a:r>
              <a:rPr lang="en-US" cap="none" sz="800" b="1" i="0" u="none" baseline="0">
                <a:latin typeface="Arial"/>
                <a:ea typeface="Arial"/>
                <a:cs typeface="Arial"/>
              </a:rPr>
              <a:t>(as of 12/16/2004)</a:t>
            </a:r>
          </a:p>
        </c:rich>
      </c:tx>
      <c:layout/>
      <c:spPr>
        <a:noFill/>
        <a:ln>
          <a:noFill/>
        </a:ln>
      </c:spPr>
    </c:title>
    <c:plotArea>
      <c:layout>
        <c:manualLayout>
          <c:xMode val="edge"/>
          <c:yMode val="edge"/>
          <c:x val="0.0435"/>
          <c:y val="0.1365"/>
          <c:w val="0.943"/>
          <c:h val="0.8337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0.06900967924837069</c:v>
              </c:pt>
              <c:pt idx="10">
                <c:v>0.3020445144622991</c:v>
              </c:pt>
              <c:pt idx="20">
                <c:v>0.5350793496762275</c:v>
              </c:pt>
              <c:pt idx="30">
                <c:v>0.7681141848901558</c:v>
              </c:pt>
              <c:pt idx="40">
                <c:v>1.0011490201040842</c:v>
              </c:pt>
              <c:pt idx="49">
                <c:v>1.2108803717966197</c:v>
              </c:pt>
            </c:strLit>
          </c:cat>
          <c:val>
            <c:numLit>
              <c:ptCount val="50"/>
              <c:pt idx="0">
                <c:v>2</c:v>
              </c:pt>
              <c:pt idx="1">
                <c:v>16</c:v>
              </c:pt>
              <c:pt idx="2">
                <c:v>61</c:v>
              </c:pt>
              <c:pt idx="3">
                <c:v>119</c:v>
              </c:pt>
              <c:pt idx="4">
                <c:v>184</c:v>
              </c:pt>
              <c:pt idx="5">
                <c:v>290</c:v>
              </c:pt>
              <c:pt idx="6">
                <c:v>407</c:v>
              </c:pt>
              <c:pt idx="7">
                <c:v>515</c:v>
              </c:pt>
              <c:pt idx="8">
                <c:v>543</c:v>
              </c:pt>
              <c:pt idx="9">
                <c:v>585</c:v>
              </c:pt>
              <c:pt idx="10">
                <c:v>578</c:v>
              </c:pt>
              <c:pt idx="11">
                <c:v>644</c:v>
              </c:pt>
              <c:pt idx="12">
                <c:v>537</c:v>
              </c:pt>
              <c:pt idx="13">
                <c:v>544</c:v>
              </c:pt>
              <c:pt idx="14">
                <c:v>453</c:v>
              </c:pt>
              <c:pt idx="15">
                <c:v>446</c:v>
              </c:pt>
              <c:pt idx="16">
                <c:v>434</c:v>
              </c:pt>
              <c:pt idx="17">
                <c:v>395</c:v>
              </c:pt>
              <c:pt idx="18">
                <c:v>342</c:v>
              </c:pt>
              <c:pt idx="19">
                <c:v>309</c:v>
              </c:pt>
              <c:pt idx="20">
                <c:v>259</c:v>
              </c:pt>
              <c:pt idx="21">
                <c:v>269</c:v>
              </c:pt>
              <c:pt idx="22">
                <c:v>202</c:v>
              </c:pt>
              <c:pt idx="23">
                <c:v>171</c:v>
              </c:pt>
              <c:pt idx="24">
                <c:v>170</c:v>
              </c:pt>
              <c:pt idx="25">
                <c:v>161</c:v>
              </c:pt>
              <c:pt idx="26">
                <c:v>134</c:v>
              </c:pt>
              <c:pt idx="27">
                <c:v>112</c:v>
              </c:pt>
              <c:pt idx="28">
                <c:v>124</c:v>
              </c:pt>
              <c:pt idx="29">
                <c:v>101</c:v>
              </c:pt>
              <c:pt idx="30">
                <c:v>84</c:v>
              </c:pt>
              <c:pt idx="31">
                <c:v>81</c:v>
              </c:pt>
              <c:pt idx="32">
                <c:v>71</c:v>
              </c:pt>
              <c:pt idx="33">
                <c:v>60</c:v>
              </c:pt>
              <c:pt idx="34">
                <c:v>69</c:v>
              </c:pt>
              <c:pt idx="35">
                <c:v>46</c:v>
              </c:pt>
              <c:pt idx="36">
                <c:v>49</c:v>
              </c:pt>
              <c:pt idx="37">
                <c:v>45</c:v>
              </c:pt>
              <c:pt idx="38">
                <c:v>41</c:v>
              </c:pt>
              <c:pt idx="39">
                <c:v>35</c:v>
              </c:pt>
              <c:pt idx="40">
                <c:v>26</c:v>
              </c:pt>
              <c:pt idx="41">
                <c:v>22</c:v>
              </c:pt>
              <c:pt idx="42">
                <c:v>26</c:v>
              </c:pt>
              <c:pt idx="43">
                <c:v>20</c:v>
              </c:pt>
              <c:pt idx="44">
                <c:v>17</c:v>
              </c:pt>
              <c:pt idx="45">
                <c:v>16</c:v>
              </c:pt>
              <c:pt idx="46">
                <c:v>9</c:v>
              </c:pt>
              <c:pt idx="47">
                <c:v>9</c:v>
              </c:pt>
              <c:pt idx="48">
                <c:v>12</c:v>
              </c:pt>
              <c:pt idx="49">
                <c:v>10</c:v>
              </c:pt>
            </c:numLit>
          </c:val>
        </c:ser>
        <c:overlap val="100"/>
        <c:gapWidth val="10"/>
        <c:axId val="8539084"/>
        <c:axId val="9742893"/>
      </c:barChart>
      <c:catAx>
        <c:axId val="8539084"/>
        <c:scaling>
          <c:orientation val="minMax"/>
        </c:scaling>
        <c:axPos val="b"/>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9742893"/>
        <c:crosses val="autoZero"/>
        <c:auto val="0"/>
        <c:lblOffset val="100"/>
        <c:tickLblSkip val="1"/>
        <c:tickMarkSkip val="5"/>
        <c:noMultiLvlLbl val="0"/>
      </c:catAx>
      <c:valAx>
        <c:axId val="9742893"/>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8539084"/>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37</xdr:row>
      <xdr:rowOff>19050</xdr:rowOff>
    </xdr:from>
    <xdr:to>
      <xdr:col>1</xdr:col>
      <xdr:colOff>2200275</xdr:colOff>
      <xdr:row>38</xdr:row>
      <xdr:rowOff>9525</xdr:rowOff>
    </xdr:to>
    <xdr:pic>
      <xdr:nvPicPr>
        <xdr:cNvPr id="1" name="Picture 1"/>
        <xdr:cNvPicPr preferRelativeResize="1">
          <a:picLocks noChangeAspect="1"/>
        </xdr:cNvPicPr>
      </xdr:nvPicPr>
      <xdr:blipFill>
        <a:blip r:embed="rId1"/>
        <a:stretch>
          <a:fillRect/>
        </a:stretch>
      </xdr:blipFill>
      <xdr:spPr>
        <a:xfrm>
          <a:off x="419100" y="9725025"/>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24</xdr:row>
      <xdr:rowOff>123825</xdr:rowOff>
    </xdr:from>
    <xdr:to>
      <xdr:col>5</xdr:col>
      <xdr:colOff>914400</xdr:colOff>
      <xdr:row>44</xdr:row>
      <xdr:rowOff>76200</xdr:rowOff>
    </xdr:to>
    <xdr:graphicFrame>
      <xdr:nvGraphicFramePr>
        <xdr:cNvPr id="1" name="Chart 1"/>
        <xdr:cNvGraphicFramePr/>
      </xdr:nvGraphicFramePr>
      <xdr:xfrm>
        <a:off x="1638300" y="6657975"/>
        <a:ext cx="7048500" cy="319087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771525</xdr:colOff>
      <xdr:row>1</xdr:row>
      <xdr:rowOff>85725</xdr:rowOff>
    </xdr:from>
    <xdr:to>
      <xdr:col>7</xdr:col>
      <xdr:colOff>9525</xdr:colOff>
      <xdr:row>1</xdr:row>
      <xdr:rowOff>238125</xdr:rowOff>
    </xdr:to>
    <xdr:pic>
      <xdr:nvPicPr>
        <xdr:cNvPr id="2" name="Picture 2"/>
        <xdr:cNvPicPr preferRelativeResize="1">
          <a:picLocks noChangeAspect="1"/>
        </xdr:cNvPicPr>
      </xdr:nvPicPr>
      <xdr:blipFill>
        <a:blip r:embed="rId2"/>
        <a:stretch>
          <a:fillRect/>
        </a:stretch>
      </xdr:blipFill>
      <xdr:spPr>
        <a:xfrm>
          <a:off x="7581900" y="247650"/>
          <a:ext cx="2162175"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2</xdr:col>
      <xdr:colOff>66675</xdr:colOff>
      <xdr:row>46</xdr:row>
      <xdr:rowOff>95250</xdr:rowOff>
    </xdr:from>
    <xdr:to>
      <xdr:col>6</xdr:col>
      <xdr:colOff>19050</xdr:colOff>
      <xdr:row>66</xdr:row>
      <xdr:rowOff>57150</xdr:rowOff>
    </xdr:to>
    <xdr:graphicFrame>
      <xdr:nvGraphicFramePr>
        <xdr:cNvPr id="8" name="Chart 9"/>
        <xdr:cNvGraphicFramePr/>
      </xdr:nvGraphicFramePr>
      <xdr:xfrm>
        <a:off x="1647825" y="10191750"/>
        <a:ext cx="7115175" cy="32004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46"/>
  <sheetViews>
    <sheetView showGridLines="0" zoomScale="90" zoomScaleNormal="90" workbookViewId="0" topLeftCell="A1">
      <selection activeCell="A8" sqref="A8:A9"/>
    </sheetView>
  </sheetViews>
  <sheetFormatPr defaultColWidth="9.140625" defaultRowHeight="12.75"/>
  <cols>
    <col min="1" max="1" width="39.57421875" style="152" customWidth="1"/>
    <col min="2" max="2" width="106.421875" style="152" customWidth="1"/>
    <col min="3" max="16384" width="9.140625" style="152" customWidth="1"/>
  </cols>
  <sheetData>
    <row r="1" ht="12.75">
      <c r="B1" s="153" t="s">
        <v>49</v>
      </c>
    </row>
    <row r="2" ht="20.25" customHeight="1">
      <c r="B2" s="210" t="s">
        <v>412</v>
      </c>
    </row>
    <row r="3" ht="12.75">
      <c r="B3" s="210"/>
    </row>
    <row r="4" ht="12.75">
      <c r="B4" s="210"/>
    </row>
    <row r="5" ht="12.75">
      <c r="B5" s="210"/>
    </row>
    <row r="6" ht="12.75">
      <c r="B6" s="210"/>
    </row>
    <row r="7" ht="13.5" thickBot="1"/>
    <row r="8" spans="1:2" ht="18" customHeight="1" thickTop="1">
      <c r="A8" s="212" t="s">
        <v>432</v>
      </c>
      <c r="B8" s="154" t="s">
        <v>48</v>
      </c>
    </row>
    <row r="9" spans="1:2" ht="18" customHeight="1">
      <c r="A9" s="213"/>
      <c r="B9" s="155" t="s">
        <v>40</v>
      </c>
    </row>
    <row r="10" spans="1:2" ht="18" customHeight="1">
      <c r="A10" s="156" t="s">
        <v>45</v>
      </c>
      <c r="B10" s="157" t="s">
        <v>47</v>
      </c>
    </row>
    <row r="11" spans="1:2" ht="18" customHeight="1">
      <c r="A11" s="158" t="s">
        <v>46</v>
      </c>
      <c r="B11" s="159">
        <v>38337</v>
      </c>
    </row>
    <row r="12" spans="1:2" ht="18" customHeight="1">
      <c r="A12" s="211" t="s">
        <v>433</v>
      </c>
      <c r="B12" s="157" t="s">
        <v>25</v>
      </c>
    </row>
    <row r="13" spans="1:2" ht="18" customHeight="1">
      <c r="A13" s="211"/>
      <c r="B13" s="157" t="s">
        <v>26</v>
      </c>
    </row>
    <row r="14" spans="1:2" ht="25.5">
      <c r="A14" s="205" t="s">
        <v>19</v>
      </c>
      <c r="B14" s="160" t="s">
        <v>66</v>
      </c>
    </row>
    <row r="15" spans="1:2" ht="54.75" customHeight="1">
      <c r="A15" s="206"/>
      <c r="B15" s="161" t="s">
        <v>65</v>
      </c>
    </row>
    <row r="16" spans="1:2" ht="18" customHeight="1">
      <c r="A16" s="158" t="s">
        <v>16</v>
      </c>
      <c r="B16" s="162" t="s">
        <v>32</v>
      </c>
    </row>
    <row r="17" spans="1:2" ht="18" customHeight="1">
      <c r="A17" s="205" t="s">
        <v>17</v>
      </c>
      <c r="B17" s="163" t="s">
        <v>93</v>
      </c>
    </row>
    <row r="18" spans="1:2" ht="18" customHeight="1">
      <c r="A18" s="211"/>
      <c r="B18" s="164" t="s">
        <v>64</v>
      </c>
    </row>
    <row r="19" spans="1:2" ht="18" customHeight="1">
      <c r="A19" s="211"/>
      <c r="B19" s="164" t="s">
        <v>63</v>
      </c>
    </row>
    <row r="20" spans="1:2" ht="18" customHeight="1">
      <c r="A20" s="211"/>
      <c r="B20" s="164" t="s">
        <v>51</v>
      </c>
    </row>
    <row r="21" spans="1:2" ht="18" customHeight="1">
      <c r="A21" s="211"/>
      <c r="B21" s="164" t="s">
        <v>52</v>
      </c>
    </row>
    <row r="22" spans="1:2" ht="18" customHeight="1">
      <c r="A22" s="211"/>
      <c r="B22" s="164" t="s">
        <v>53</v>
      </c>
    </row>
    <row r="23" spans="1:2" ht="18" customHeight="1">
      <c r="A23" s="211"/>
      <c r="B23" s="164" t="s">
        <v>54</v>
      </c>
    </row>
    <row r="24" spans="1:2" ht="18" customHeight="1">
      <c r="A24" s="211"/>
      <c r="B24" s="164" t="s">
        <v>55</v>
      </c>
    </row>
    <row r="25" spans="1:2" ht="18" customHeight="1">
      <c r="A25" s="211"/>
      <c r="B25" s="164" t="s">
        <v>56</v>
      </c>
    </row>
    <row r="26" spans="1:2" ht="18" customHeight="1">
      <c r="A26" s="211"/>
      <c r="B26" s="164" t="s">
        <v>57</v>
      </c>
    </row>
    <row r="27" spans="1:2" ht="18" customHeight="1">
      <c r="A27" s="211"/>
      <c r="B27" s="164" t="s">
        <v>58</v>
      </c>
    </row>
    <row r="28" spans="1:2" ht="18" customHeight="1">
      <c r="A28" s="211"/>
      <c r="B28" s="164" t="s">
        <v>59</v>
      </c>
    </row>
    <row r="29" spans="1:2" ht="18" customHeight="1">
      <c r="A29" s="211"/>
      <c r="B29" s="164" t="s">
        <v>60</v>
      </c>
    </row>
    <row r="30" spans="1:2" ht="25.5">
      <c r="A30" s="206"/>
      <c r="B30" s="165" t="s">
        <v>61</v>
      </c>
    </row>
    <row r="31" spans="1:2" ht="18" customHeight="1">
      <c r="A31" s="205" t="s">
        <v>18</v>
      </c>
      <c r="B31" s="163" t="s">
        <v>62</v>
      </c>
    </row>
    <row r="32" spans="1:2" ht="38.25" customHeight="1">
      <c r="A32" s="206"/>
      <c r="B32" s="165" t="s">
        <v>33</v>
      </c>
    </row>
    <row r="33" spans="1:2" ht="6.75" customHeight="1">
      <c r="A33" s="207" t="s">
        <v>67</v>
      </c>
      <c r="B33" s="163"/>
    </row>
    <row r="34" spans="1:2" ht="12.75">
      <c r="A34" s="208"/>
      <c r="B34" s="172" t="s">
        <v>20</v>
      </c>
    </row>
    <row r="35" spans="1:2" ht="25.5">
      <c r="A35" s="208"/>
      <c r="B35" s="173" t="s">
        <v>22</v>
      </c>
    </row>
    <row r="36" spans="1:2" ht="12.75">
      <c r="A36" s="208"/>
      <c r="B36" s="164"/>
    </row>
    <row r="37" spans="1:2" ht="12.75">
      <c r="A37" s="208"/>
      <c r="B37" s="172" t="s">
        <v>21</v>
      </c>
    </row>
    <row r="38" spans="1:2" ht="12.75">
      <c r="A38" s="208"/>
      <c r="B38" s="174" t="s">
        <v>23</v>
      </c>
    </row>
    <row r="39" spans="1:2" ht="12.75">
      <c r="A39" s="208"/>
      <c r="B39" s="164"/>
    </row>
    <row r="40" spans="1:2" ht="12.75">
      <c r="A40" s="208"/>
      <c r="B40" s="166" t="s">
        <v>400</v>
      </c>
    </row>
    <row r="41" spans="1:2" ht="25.5">
      <c r="A41" s="208"/>
      <c r="B41" s="167" t="s">
        <v>68</v>
      </c>
    </row>
    <row r="42" spans="1:2" ht="12.75">
      <c r="A42" s="208"/>
      <c r="B42" s="168"/>
    </row>
    <row r="43" spans="1:2" ht="12.75">
      <c r="A43" s="208"/>
      <c r="B43" s="166" t="s">
        <v>401</v>
      </c>
    </row>
    <row r="44" spans="1:2" ht="12.75">
      <c r="A44" s="208"/>
      <c r="B44" s="169" t="s">
        <v>69</v>
      </c>
    </row>
    <row r="45" spans="1:2" ht="6.75" customHeight="1" thickBot="1">
      <c r="A45" s="209"/>
      <c r="B45" s="171"/>
    </row>
    <row r="46" spans="1:2" ht="54.75" customHeight="1" thickTop="1">
      <c r="A46" s="203" t="s">
        <v>41</v>
      </c>
      <c r="B46" s="204"/>
    </row>
  </sheetData>
  <mergeCells count="8">
    <mergeCell ref="A46:B46"/>
    <mergeCell ref="A14:A15"/>
    <mergeCell ref="A33:A45"/>
    <mergeCell ref="B2:B6"/>
    <mergeCell ref="A12:A13"/>
    <mergeCell ref="A17:A30"/>
    <mergeCell ref="A31:A32"/>
    <mergeCell ref="A8:A9"/>
  </mergeCells>
  <hyperlinks>
    <hyperlink ref="B40" location="'BC-Summary'!A1" display="BC-Summary"/>
    <hyperlink ref="B43" location="'BC-Detail'!A1" display="BC-Detail"/>
    <hyperlink ref="B37" location="'ERR &amp; Sensitivity analysis'!A1" display="ERR &amp; Sensitivity Analysis"/>
    <hyperlink ref="B34" location="'Compact Description'!A1" display="Compact Description"/>
  </hyperlinks>
  <printOptions/>
  <pageMargins left="0.75" right="0.75" top="1" bottom="1" header="0.5" footer="0.5"/>
  <pageSetup horizontalDpi="600" verticalDpi="600" orientation="portrait" scale="62" r:id="rId2"/>
  <drawing r:id="rId1"/>
</worksheet>
</file>

<file path=xl/worksheets/sheet2.xml><?xml version="1.0" encoding="utf-8"?>
<worksheet xmlns="http://schemas.openxmlformats.org/spreadsheetml/2006/main" xmlns:r="http://schemas.openxmlformats.org/officeDocument/2006/relationships">
  <sheetPr codeName="Sheet2"/>
  <dimension ref="B2:B45"/>
  <sheetViews>
    <sheetView showGridLines="0" tabSelected="1" workbookViewId="0" topLeftCell="A1">
      <selection activeCell="B9" sqref="B9"/>
    </sheetView>
  </sheetViews>
  <sheetFormatPr defaultColWidth="9.140625" defaultRowHeight="12.75"/>
  <cols>
    <col min="1" max="1" width="5.7109375" style="0" customWidth="1"/>
    <col min="2" max="2" width="132.28125" style="175" customWidth="1"/>
  </cols>
  <sheetData>
    <row r="2" ht="20.25">
      <c r="B2" s="170" t="s">
        <v>412</v>
      </c>
    </row>
    <row r="4" ht="18">
      <c r="B4" s="181" t="s">
        <v>20</v>
      </c>
    </row>
    <row r="6" ht="12.75">
      <c r="B6" s="182" t="s">
        <v>413</v>
      </c>
    </row>
    <row r="7" ht="6.75" customHeight="1"/>
    <row r="8" ht="51.75" customHeight="1">
      <c r="B8" s="175" t="s">
        <v>0</v>
      </c>
    </row>
    <row r="10" ht="12.75">
      <c r="B10" s="182" t="s">
        <v>24</v>
      </c>
    </row>
    <row r="11" ht="12.75">
      <c r="B11" s="182"/>
    </row>
    <row r="12" ht="12.75">
      <c r="B12" s="175" t="s">
        <v>28</v>
      </c>
    </row>
    <row r="13" ht="18.75" customHeight="1">
      <c r="B13" s="184" t="s">
        <v>37</v>
      </c>
    </row>
    <row r="14" ht="12.75">
      <c r="B14" s="219" t="s">
        <v>1</v>
      </c>
    </row>
    <row r="15" ht="26.25" customHeight="1">
      <c r="B15" s="219" t="s">
        <v>2</v>
      </c>
    </row>
    <row r="16" ht="12.75">
      <c r="B16" s="219" t="s">
        <v>3</v>
      </c>
    </row>
    <row r="17" ht="12.75">
      <c r="B17" s="219" t="s">
        <v>4</v>
      </c>
    </row>
    <row r="18" ht="12.75">
      <c r="B18" s="219" t="s">
        <v>5</v>
      </c>
    </row>
    <row r="19" ht="20.25" customHeight="1">
      <c r="B19" s="184" t="s">
        <v>44</v>
      </c>
    </row>
    <row r="20" ht="12.75" customHeight="1">
      <c r="B20" s="219" t="s">
        <v>6</v>
      </c>
    </row>
    <row r="21" ht="12.75">
      <c r="B21" s="219" t="s">
        <v>7</v>
      </c>
    </row>
    <row r="22" ht="12.75" customHeight="1">
      <c r="B22" s="219" t="s">
        <v>8</v>
      </c>
    </row>
    <row r="23" ht="12.75">
      <c r="B23" s="219" t="s">
        <v>9</v>
      </c>
    </row>
    <row r="24" ht="12.75" customHeight="1">
      <c r="B24" s="219" t="s">
        <v>10</v>
      </c>
    </row>
    <row r="25" ht="28.5" customHeight="1">
      <c r="B25" s="188" t="s">
        <v>36</v>
      </c>
    </row>
    <row r="26" ht="12.75">
      <c r="B26" s="219" t="s">
        <v>11</v>
      </c>
    </row>
    <row r="27" ht="25.5">
      <c r="B27" s="219" t="s">
        <v>12</v>
      </c>
    </row>
    <row r="28" ht="12.75">
      <c r="B28" s="219" t="s">
        <v>35</v>
      </c>
    </row>
    <row r="29" ht="12.75">
      <c r="B29" s="219" t="s">
        <v>13</v>
      </c>
    </row>
    <row r="30" ht="12.75">
      <c r="B30" s="183"/>
    </row>
    <row r="31" ht="12.75">
      <c r="B31" s="182" t="s">
        <v>27</v>
      </c>
    </row>
    <row r="32" ht="12.75">
      <c r="B32" s="182"/>
    </row>
    <row r="33" ht="63.75">
      <c r="B33" s="218" t="s">
        <v>14</v>
      </c>
    </row>
    <row r="34" ht="51">
      <c r="B34" s="218" t="s">
        <v>15</v>
      </c>
    </row>
    <row r="35" ht="51">
      <c r="B35" s="175" t="s">
        <v>39</v>
      </c>
    </row>
    <row r="36" ht="76.5">
      <c r="B36" s="175" t="s">
        <v>38</v>
      </c>
    </row>
    <row r="38" ht="12.75">
      <c r="B38" s="151" t="s">
        <v>49</v>
      </c>
    </row>
    <row r="39" ht="15">
      <c r="B39" s="187"/>
    </row>
    <row r="40" ht="15">
      <c r="B40" s="186"/>
    </row>
    <row r="41" ht="15">
      <c r="B41" s="187"/>
    </row>
    <row r="42" ht="15">
      <c r="B42" s="186"/>
    </row>
    <row r="43" ht="15">
      <c r="B43" s="186"/>
    </row>
    <row r="45" ht="12.75">
      <c r="B45"/>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B2:I23"/>
  <sheetViews>
    <sheetView showGridLines="0" zoomScale="80" zoomScaleNormal="80" workbookViewId="0" topLeftCell="A1">
      <selection activeCell="A1" sqref="A1"/>
    </sheetView>
  </sheetViews>
  <sheetFormatPr defaultColWidth="9.140625" defaultRowHeight="12.75"/>
  <cols>
    <col min="1" max="1" width="5.7109375" style="0" customWidth="1"/>
    <col min="2" max="2" width="18.00390625" style="0" bestFit="1" customWidth="1"/>
    <col min="3" max="3" width="64.00390625" style="0" customWidth="1"/>
    <col min="4" max="5" width="14.421875" style="0" customWidth="1"/>
    <col min="6" max="6" width="14.57421875" style="0" customWidth="1"/>
    <col min="7" max="7" width="14.8515625" style="0" customWidth="1"/>
    <col min="8" max="8" width="5.7109375" style="0" customWidth="1"/>
    <col min="9" max="9" width="20.00390625" style="0" customWidth="1"/>
  </cols>
  <sheetData>
    <row r="2" ht="20.25">
      <c r="B2" s="105" t="s">
        <v>412</v>
      </c>
    </row>
    <row r="4" spans="2:7" ht="18">
      <c r="B4" s="148" t="s">
        <v>409</v>
      </c>
      <c r="G4" s="151" t="s">
        <v>49</v>
      </c>
    </row>
    <row r="5" ht="12.75" customHeight="1">
      <c r="C5" s="99"/>
    </row>
    <row r="6" spans="2:7" ht="25.5" customHeight="1">
      <c r="B6" s="214" t="s">
        <v>431</v>
      </c>
      <c r="C6" s="214"/>
      <c r="D6" s="214"/>
      <c r="E6" s="214"/>
      <c r="F6" s="214"/>
      <c r="G6" s="214"/>
    </row>
    <row r="8" spans="2:7" s="99" customFormat="1" ht="15.75">
      <c r="B8" s="216" t="s">
        <v>417</v>
      </c>
      <c r="C8" s="216" t="s">
        <v>403</v>
      </c>
      <c r="D8" s="217" t="s">
        <v>402</v>
      </c>
      <c r="E8" s="217"/>
      <c r="F8" s="217"/>
      <c r="G8" s="217"/>
    </row>
    <row r="9" spans="2:9" s="99" customFormat="1" ht="38.25">
      <c r="B9" s="216"/>
      <c r="C9" s="216"/>
      <c r="D9" s="114" t="s">
        <v>418</v>
      </c>
      <c r="E9" s="115" t="s">
        <v>419</v>
      </c>
      <c r="F9" s="115" t="s">
        <v>421</v>
      </c>
      <c r="G9" s="115" t="s">
        <v>420</v>
      </c>
      <c r="I9" s="136" t="s">
        <v>422</v>
      </c>
    </row>
    <row r="10" spans="2:9" s="99" customFormat="1" ht="33" customHeight="1">
      <c r="B10" s="116" t="s">
        <v>413</v>
      </c>
      <c r="C10" s="122" t="s">
        <v>414</v>
      </c>
      <c r="D10" s="117">
        <v>1</v>
      </c>
      <c r="E10" s="124">
        <v>1</v>
      </c>
      <c r="F10" s="118" t="s">
        <v>415</v>
      </c>
      <c r="G10" s="126">
        <f>D10</f>
        <v>1</v>
      </c>
      <c r="I10" s="137" t="str">
        <f>IF(D10=E10,IF(D11=E11,"Y","N"),"N")</f>
        <v>Y</v>
      </c>
    </row>
    <row r="11" spans="2:9" s="99" customFormat="1" ht="33" customHeight="1">
      <c r="B11" s="119" t="s">
        <v>413</v>
      </c>
      <c r="C11" s="123" t="s">
        <v>416</v>
      </c>
      <c r="D11" s="120">
        <v>1</v>
      </c>
      <c r="E11" s="125">
        <v>1</v>
      </c>
      <c r="F11" s="121" t="s">
        <v>415</v>
      </c>
      <c r="G11" s="127">
        <f>D11</f>
        <v>1</v>
      </c>
      <c r="I11" s="180" t="str">
        <f>IF(D13=E13,IF(D14=E14,IF(D15=E15,IF(D16=E16,IF(D17=E17,"Y","N"),"N"),"N"),"N"),"N")</f>
        <v>Y</v>
      </c>
    </row>
    <row r="12" spans="2:7" s="99" customFormat="1" ht="12.75" customHeight="1">
      <c r="B12" s="110"/>
      <c r="C12" s="111"/>
      <c r="D12" s="109"/>
      <c r="E12" s="112"/>
      <c r="F12" s="112"/>
      <c r="G12" s="110"/>
    </row>
    <row r="13" spans="2:9" ht="33" customHeight="1">
      <c r="B13" s="142" t="s">
        <v>425</v>
      </c>
      <c r="C13" s="122" t="s">
        <v>408</v>
      </c>
      <c r="D13" s="128">
        <v>4.5</v>
      </c>
      <c r="E13" s="131">
        <v>4.5</v>
      </c>
      <c r="F13" s="129" t="s">
        <v>426</v>
      </c>
      <c r="G13" s="149">
        <f>IF($I$11="Y",D13,E13)</f>
        <v>4.5</v>
      </c>
      <c r="I13" s="138" t="s">
        <v>423</v>
      </c>
    </row>
    <row r="14" spans="2:9" ht="33" customHeight="1">
      <c r="B14" s="143" t="s">
        <v>425</v>
      </c>
      <c r="C14" s="107" t="s">
        <v>410</v>
      </c>
      <c r="D14" s="108">
        <v>0.4</v>
      </c>
      <c r="E14" s="132">
        <v>0.4</v>
      </c>
      <c r="F14" s="113" t="s">
        <v>430</v>
      </c>
      <c r="G14" s="145">
        <f>IF($I$11="Y",D14,E14)</f>
        <v>0.4</v>
      </c>
      <c r="I14" s="139" t="s">
        <v>34</v>
      </c>
    </row>
    <row r="15" spans="2:9" ht="33" customHeight="1">
      <c r="B15" s="143" t="s">
        <v>425</v>
      </c>
      <c r="C15" s="107" t="s">
        <v>405</v>
      </c>
      <c r="D15" s="146">
        <v>0.006</v>
      </c>
      <c r="E15" s="133">
        <v>0.006</v>
      </c>
      <c r="F15" s="113" t="s">
        <v>429</v>
      </c>
      <c r="G15" s="135">
        <f>IF($I$11="Y",D15,E15)</f>
        <v>0.006</v>
      </c>
      <c r="I15" s="140" t="s">
        <v>424</v>
      </c>
    </row>
    <row r="16" spans="2:7" ht="33" customHeight="1">
      <c r="B16" s="143" t="s">
        <v>425</v>
      </c>
      <c r="C16" s="107" t="s">
        <v>406</v>
      </c>
      <c r="D16" s="108">
        <v>0.39</v>
      </c>
      <c r="E16" s="132">
        <v>0.39</v>
      </c>
      <c r="F16" s="113" t="s">
        <v>428</v>
      </c>
      <c r="G16" s="145">
        <f>IF($I$11="Y",D16,E16)</f>
        <v>0.39</v>
      </c>
    </row>
    <row r="17" spans="2:7" ht="33" customHeight="1">
      <c r="B17" s="144" t="s">
        <v>425</v>
      </c>
      <c r="C17" s="123" t="s">
        <v>407</v>
      </c>
      <c r="D17" s="120">
        <v>0.05</v>
      </c>
      <c r="E17" s="134">
        <v>0.05</v>
      </c>
      <c r="F17" s="130" t="s">
        <v>427</v>
      </c>
      <c r="G17" s="150">
        <f>IF($I$11="Y",D17,E17)</f>
        <v>0.05</v>
      </c>
    </row>
    <row r="19" spans="2:7" ht="25.5" customHeight="1">
      <c r="B19" s="215">
        <f>IF($I$10="N",IF($I$11="N","Reminder: Please reset all summary parameters to original values before changing specific parameters.  Specific parameters will only be used in ERR computation when all summary parameters are set to initial values",0),0)</f>
        <v>0</v>
      </c>
      <c r="C19" s="215"/>
      <c r="D19" s="215"/>
      <c r="E19" s="215"/>
      <c r="F19" s="215"/>
      <c r="G19" s="215"/>
    </row>
    <row r="20" spans="2:7" ht="12.75">
      <c r="B20" s="147"/>
      <c r="C20" s="147"/>
      <c r="D20" s="147"/>
      <c r="E20" s="147"/>
      <c r="F20" s="147"/>
      <c r="G20" s="147"/>
    </row>
    <row r="21" spans="3:4" ht="12.75">
      <c r="C21" s="102" t="s">
        <v>404</v>
      </c>
      <c r="D21" s="106">
        <f>'BC-Summary'!B2</f>
        <v>0.310486284747805</v>
      </c>
    </row>
    <row r="22" ht="12.75">
      <c r="D22" s="9"/>
    </row>
    <row r="23" spans="3:4" ht="12.75">
      <c r="C23" s="102" t="s">
        <v>50</v>
      </c>
      <c r="D23" s="141">
        <v>0.31</v>
      </c>
    </row>
  </sheetData>
  <sheetProtection/>
  <mergeCells count="5">
    <mergeCell ref="B6:G6"/>
    <mergeCell ref="B19:G19"/>
    <mergeCell ref="C8:C9"/>
    <mergeCell ref="B8:B9"/>
    <mergeCell ref="D8:G8"/>
  </mergeCells>
  <conditionalFormatting sqref="B19:B20">
    <cfRule type="cellIs" priority="1" dxfId="0" operator="equal" stopIfTrue="1">
      <formula>0</formula>
    </cfRule>
    <cfRule type="cellIs" priority="2" dxfId="1" operator="notEqual" stopIfTrue="1">
      <formula>0</formula>
    </cfRule>
  </conditionalFormatting>
  <hyperlinks>
    <hyperlink ref="I14" location="'Compact Description'!A1" display="   Compact Description"/>
    <hyperlink ref="I15" location="'User''s Guide'!A1" display="User's Guide"/>
  </hyperlinks>
  <printOptions/>
  <pageMargins left="0.75" right="0.75" top="1" bottom="1" header="0.5" footer="0.5"/>
  <pageSetup horizontalDpi="600" verticalDpi="600" orientation="portrait" scale="62" r:id="rId3"/>
  <colBreaks count="1" manualBreakCount="1">
    <brk id="7"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154"/>
  <sheetViews>
    <sheetView workbookViewId="0" topLeftCell="A1">
      <selection activeCell="A3" sqref="A3"/>
    </sheetView>
  </sheetViews>
  <sheetFormatPr defaultColWidth="9.140625" defaultRowHeight="12.75"/>
  <cols>
    <col min="1" max="1" width="17.7109375" style="50" customWidth="1"/>
    <col min="2" max="2" width="11.140625" style="50" customWidth="1"/>
    <col min="3" max="3" width="11.7109375" style="50" customWidth="1"/>
    <col min="4" max="4" width="15.57421875" style="50" bestFit="1" customWidth="1"/>
    <col min="5" max="5" width="10.7109375" style="50" customWidth="1"/>
    <col min="6" max="6" width="10.421875" style="50" customWidth="1"/>
    <col min="7" max="7" width="16.8515625" style="50" customWidth="1"/>
    <col min="8" max="8" width="11.28125" style="50" bestFit="1" customWidth="1"/>
    <col min="9" max="11" width="11.28125" style="50" customWidth="1"/>
    <col min="12" max="12" width="12.28125" style="50" customWidth="1"/>
    <col min="13" max="13" width="11.7109375" style="50" customWidth="1"/>
    <col min="14" max="17" width="10.7109375" style="50" customWidth="1"/>
    <col min="18" max="18" width="12.28125" style="50" bestFit="1" customWidth="1"/>
    <col min="19" max="19" width="9.140625" style="50" customWidth="1"/>
    <col min="20" max="20" width="10.7109375" style="50" bestFit="1" customWidth="1"/>
    <col min="21" max="16384" width="9.140625" style="50" customWidth="1"/>
  </cols>
  <sheetData>
    <row r="1" ht="18">
      <c r="A1" s="1" t="s">
        <v>392</v>
      </c>
    </row>
    <row r="2" spans="1:3" ht="12.75">
      <c r="A2" s="2" t="s">
        <v>376</v>
      </c>
      <c r="B2" s="185">
        <f>IRR($H$135:$Q$135)</f>
        <v>0.310486284747805</v>
      </c>
      <c r="C2" s="2" t="s">
        <v>259</v>
      </c>
    </row>
    <row r="3" spans="8:17" ht="12.75">
      <c r="H3" s="51">
        <v>2005</v>
      </c>
      <c r="I3" s="51">
        <f>H3+1</f>
        <v>2006</v>
      </c>
      <c r="J3" s="51">
        <f aca="true" t="shared" si="0" ref="J3:Q3">I3+1</f>
        <v>2007</v>
      </c>
      <c r="K3" s="51">
        <f t="shared" si="0"/>
        <v>2008</v>
      </c>
      <c r="L3" s="51">
        <f t="shared" si="0"/>
        <v>2009</v>
      </c>
      <c r="M3" s="51">
        <f t="shared" si="0"/>
        <v>2010</v>
      </c>
      <c r="N3" s="51">
        <f t="shared" si="0"/>
        <v>2011</v>
      </c>
      <c r="O3" s="51">
        <f t="shared" si="0"/>
        <v>2012</v>
      </c>
      <c r="P3" s="51">
        <f t="shared" si="0"/>
        <v>2013</v>
      </c>
      <c r="Q3" s="51">
        <f t="shared" si="0"/>
        <v>2014</v>
      </c>
    </row>
    <row r="4" spans="1:13" ht="15.75">
      <c r="A4" s="52" t="s">
        <v>288</v>
      </c>
      <c r="H4" s="51"/>
      <c r="I4" s="51"/>
      <c r="J4" s="51"/>
      <c r="K4" s="51"/>
      <c r="L4" s="51"/>
      <c r="M4" s="51"/>
    </row>
    <row r="5" spans="1:13" s="53" customFormat="1" ht="12.75">
      <c r="A5" s="5" t="s">
        <v>92</v>
      </c>
      <c r="H5" s="189"/>
      <c r="I5" s="189"/>
      <c r="J5" s="189"/>
      <c r="K5" s="189"/>
      <c r="L5" s="189"/>
      <c r="M5" s="189"/>
    </row>
    <row r="6" spans="1:17" s="57" customFormat="1" ht="12.75">
      <c r="A6" s="190" t="s">
        <v>94</v>
      </c>
      <c r="H6" s="57">
        <f>'BC-Detail'!A67</f>
        <v>9526450.5</v>
      </c>
      <c r="I6" s="57">
        <f>'BC-Detail'!B67</f>
        <v>9859876.267499996</v>
      </c>
      <c r="J6" s="57">
        <f>'BC-Detail'!C67</f>
        <v>10204971.936862497</v>
      </c>
      <c r="K6" s="57">
        <f>'BC-Detail'!D67</f>
        <v>10562145.954652686</v>
      </c>
      <c r="L6" s="57">
        <f>'BC-Detail'!E67</f>
        <v>10931821.063065529</v>
      </c>
      <c r="M6" s="57">
        <f>'BC-Detail'!F67</f>
        <v>11314434.800272815</v>
      </c>
      <c r="N6" s="57">
        <f>'BC-Detail'!G67</f>
        <v>11710440.018282365</v>
      </c>
      <c r="O6" s="57">
        <f>'BC-Detail'!H67</f>
        <v>12120305.418922247</v>
      </c>
      <c r="P6" s="57">
        <f>'BC-Detail'!I67</f>
        <v>12544516.108584523</v>
      </c>
      <c r="Q6" s="57">
        <f>'BC-Detail'!J67</f>
        <v>12983574.172384985</v>
      </c>
    </row>
    <row r="7" spans="1:17" s="57" customFormat="1" ht="12.75">
      <c r="A7" s="190" t="s">
        <v>95</v>
      </c>
      <c r="H7" s="57">
        <f>'BC-Detail'!A74</f>
        <v>3175483.5</v>
      </c>
      <c r="I7" s="57">
        <f>'BC-Detail'!B74</f>
        <v>3286625.422499999</v>
      </c>
      <c r="J7" s="57">
        <f>'BC-Detail'!C74</f>
        <v>3401657.3122874987</v>
      </c>
      <c r="K7" s="57">
        <f>'BC-Detail'!D74</f>
        <v>3520715.318217562</v>
      </c>
      <c r="L7" s="57">
        <f>'BC-Detail'!E74</f>
        <v>3643940.3543551764</v>
      </c>
      <c r="M7" s="57">
        <f>'BC-Detail'!F74</f>
        <v>3771478.266757605</v>
      </c>
      <c r="N7" s="57">
        <f>'BC-Detail'!G74</f>
        <v>3903480.006094122</v>
      </c>
      <c r="O7" s="57">
        <f>'BC-Detail'!H74</f>
        <v>4040101.806307416</v>
      </c>
      <c r="P7" s="57">
        <f>'BC-Detail'!I74</f>
        <v>4181505.3695281744</v>
      </c>
      <c r="Q7" s="57">
        <f>'BC-Detail'!J74</f>
        <v>4327858.057461661</v>
      </c>
    </row>
    <row r="8" ht="12.75" hidden="1">
      <c r="A8" s="23" t="s">
        <v>260</v>
      </c>
    </row>
    <row r="9" ht="12.75" hidden="1">
      <c r="A9" s="23" t="s">
        <v>261</v>
      </c>
    </row>
    <row r="10" ht="12.75" hidden="1">
      <c r="A10" s="23" t="s">
        <v>262</v>
      </c>
    </row>
    <row r="11" ht="12.75" hidden="1">
      <c r="A11" s="23" t="s">
        <v>263</v>
      </c>
    </row>
    <row r="12" ht="12.75" hidden="1">
      <c r="A12" s="23" t="s">
        <v>264</v>
      </c>
    </row>
    <row r="13" ht="12.75" hidden="1">
      <c r="A13" s="23" t="s">
        <v>266</v>
      </c>
    </row>
    <row r="14" ht="12.75" hidden="1">
      <c r="A14" s="23" t="s">
        <v>265</v>
      </c>
    </row>
    <row r="15" ht="12.75" hidden="1">
      <c r="A15" s="23" t="s">
        <v>267</v>
      </c>
    </row>
    <row r="16" ht="12.75" hidden="1">
      <c r="A16" s="23" t="s">
        <v>268</v>
      </c>
    </row>
    <row r="17" ht="12.75" hidden="1">
      <c r="A17" s="23" t="s">
        <v>269</v>
      </c>
    </row>
    <row r="18" ht="12.75" hidden="1">
      <c r="A18" s="23" t="s">
        <v>270</v>
      </c>
    </row>
    <row r="19" ht="12.75" hidden="1">
      <c r="A19" s="23" t="s">
        <v>271</v>
      </c>
    </row>
    <row r="20" ht="12.75" hidden="1">
      <c r="A20" s="23" t="s">
        <v>273</v>
      </c>
    </row>
    <row r="21" ht="12.75" hidden="1">
      <c r="A21" s="23" t="s">
        <v>272</v>
      </c>
    </row>
    <row r="22" ht="12.75" hidden="1">
      <c r="A22" s="23" t="s">
        <v>274</v>
      </c>
    </row>
    <row r="23" ht="12.75" hidden="1">
      <c r="A23" s="23" t="s">
        <v>275</v>
      </c>
    </row>
    <row r="24" ht="12.75" hidden="1">
      <c r="A24" s="23" t="s">
        <v>276</v>
      </c>
    </row>
    <row r="25" ht="12.75" hidden="1">
      <c r="A25" s="23" t="s">
        <v>277</v>
      </c>
    </row>
    <row r="26" ht="12.75" hidden="1">
      <c r="A26" s="23" t="s">
        <v>278</v>
      </c>
    </row>
    <row r="27" ht="12.75" hidden="1">
      <c r="A27" s="23" t="s">
        <v>281</v>
      </c>
    </row>
    <row r="28" ht="12.75" hidden="1">
      <c r="A28" s="23" t="s">
        <v>279</v>
      </c>
    </row>
    <row r="29" ht="12.75" hidden="1">
      <c r="A29" s="23" t="s">
        <v>280</v>
      </c>
    </row>
    <row r="30" ht="12.75" hidden="1">
      <c r="A30" s="23" t="s">
        <v>282</v>
      </c>
    </row>
    <row r="31" ht="12.75" hidden="1">
      <c r="A31" s="23" t="s">
        <v>283</v>
      </c>
    </row>
    <row r="32" ht="12.75" hidden="1">
      <c r="A32" s="23" t="s">
        <v>284</v>
      </c>
    </row>
    <row r="33" ht="12.75" hidden="1">
      <c r="A33" s="23" t="s">
        <v>285</v>
      </c>
    </row>
    <row r="34" ht="12.75" hidden="1">
      <c r="A34" s="23" t="s">
        <v>286</v>
      </c>
    </row>
    <row r="35" ht="12.75">
      <c r="A35" s="23"/>
    </row>
    <row r="36" spans="1:17" s="53" customFormat="1" ht="12.75">
      <c r="A36" s="5" t="s">
        <v>135</v>
      </c>
      <c r="H36" s="53">
        <f>SUM(H37:H57)</f>
        <v>50000</v>
      </c>
      <c r="I36" s="53">
        <f aca="true" t="shared" si="1" ref="I36:Q36">SUM(I37:I57)</f>
        <v>3322239.5878999997</v>
      </c>
      <c r="J36" s="53">
        <f t="shared" si="1"/>
        <v>4911237.894481599</v>
      </c>
      <c r="K36" s="53">
        <f t="shared" si="1"/>
        <v>7506971.704005409</v>
      </c>
      <c r="L36" s="53">
        <f t="shared" si="1"/>
        <v>7519931.704005409</v>
      </c>
      <c r="M36" s="53">
        <f t="shared" si="1"/>
        <v>7532891.704005409</v>
      </c>
      <c r="N36" s="53">
        <f t="shared" si="1"/>
        <v>7545851.704005409</v>
      </c>
      <c r="O36" s="53">
        <f t="shared" si="1"/>
        <v>7558811.704005409</v>
      </c>
      <c r="P36" s="53">
        <f t="shared" si="1"/>
        <v>7571771.704005409</v>
      </c>
      <c r="Q36" s="53">
        <f t="shared" si="1"/>
        <v>7584731.704005409</v>
      </c>
    </row>
    <row r="37" spans="1:17" ht="12.75">
      <c r="A37" s="56" t="s">
        <v>136</v>
      </c>
      <c r="H37" s="50">
        <v>0</v>
      </c>
      <c r="I37" s="50">
        <v>0</v>
      </c>
      <c r="J37" s="50">
        <v>0</v>
      </c>
      <c r="K37" s="50">
        <f>'BC-Detail'!$A$102</f>
        <v>328716.6666666666</v>
      </c>
      <c r="L37" s="50">
        <f>'BC-Detail'!$A$102</f>
        <v>328716.6666666666</v>
      </c>
      <c r="M37" s="50">
        <f>'BC-Detail'!$A$102</f>
        <v>328716.6666666666</v>
      </c>
      <c r="N37" s="50">
        <f>'BC-Detail'!$A$102</f>
        <v>328716.6666666666</v>
      </c>
      <c r="O37" s="50">
        <f>'BC-Detail'!$A$102</f>
        <v>328716.6666666666</v>
      </c>
      <c r="P37" s="50">
        <f>'BC-Detail'!$A$102</f>
        <v>328716.6666666666</v>
      </c>
      <c r="Q37" s="50">
        <f>'BC-Detail'!$A$102</f>
        <v>328716.6666666666</v>
      </c>
    </row>
    <row r="38" ht="12.75">
      <c r="A38" s="56" t="s">
        <v>146</v>
      </c>
    </row>
    <row r="39" ht="12.75">
      <c r="A39" s="56" t="s">
        <v>309</v>
      </c>
    </row>
    <row r="40" ht="12.75">
      <c r="A40" s="56" t="s">
        <v>292</v>
      </c>
    </row>
    <row r="41" spans="1:17" ht="12.75">
      <c r="A41" s="56" t="s">
        <v>293</v>
      </c>
      <c r="H41" s="50">
        <v>0</v>
      </c>
      <c r="I41" s="50">
        <f>'BC-Detail'!$A$136</f>
        <v>609000</v>
      </c>
      <c r="J41" s="50">
        <f>'BC-Detail'!$A$137</f>
        <v>644000</v>
      </c>
      <c r="K41" s="50">
        <f>'BC-Detail'!$A$137</f>
        <v>644000</v>
      </c>
      <c r="L41" s="50">
        <f>'BC-Detail'!$A$137</f>
        <v>644000</v>
      </c>
      <c r="M41" s="50">
        <f>'BC-Detail'!$A$137</f>
        <v>644000</v>
      </c>
      <c r="N41" s="50">
        <f>'BC-Detail'!$A$137</f>
        <v>644000</v>
      </c>
      <c r="O41" s="50">
        <f>'BC-Detail'!$A$137</f>
        <v>644000</v>
      </c>
      <c r="P41" s="50">
        <f>'BC-Detail'!$A$137</f>
        <v>644000</v>
      </c>
      <c r="Q41" s="50">
        <f>'BC-Detail'!$A$137</f>
        <v>644000</v>
      </c>
    </row>
    <row r="42" spans="1:17" ht="12.75">
      <c r="A42" s="56" t="s">
        <v>170</v>
      </c>
      <c r="H42" s="50">
        <v>0</v>
      </c>
      <c r="I42" s="50">
        <f>'BC-Detail'!$A$148</f>
        <v>314987.13</v>
      </c>
      <c r="J42" s="50">
        <f>'BC-Detail'!$A$148</f>
        <v>314987.13</v>
      </c>
      <c r="K42" s="50">
        <f>'BC-Detail'!$A$148</f>
        <v>314987.13</v>
      </c>
      <c r="L42" s="50">
        <f>'BC-Detail'!$A$148</f>
        <v>314987.13</v>
      </c>
      <c r="M42" s="50">
        <f>'BC-Detail'!$A$148</f>
        <v>314987.13</v>
      </c>
      <c r="N42" s="50">
        <f>'BC-Detail'!$A$148</f>
        <v>314987.13</v>
      </c>
      <c r="O42" s="50">
        <f>'BC-Detail'!$A$148</f>
        <v>314987.13</v>
      </c>
      <c r="P42" s="50">
        <f>'BC-Detail'!$A$148</f>
        <v>314987.13</v>
      </c>
      <c r="Q42" s="50">
        <f>'BC-Detail'!$A$148</f>
        <v>314987.13</v>
      </c>
    </row>
    <row r="43" spans="1:17" ht="12.75">
      <c r="A43" s="56" t="s">
        <v>319</v>
      </c>
      <c r="H43" s="50">
        <f>'BC-Detail'!$A$156</f>
        <v>50000</v>
      </c>
      <c r="I43" s="50">
        <f>'BC-Detail'!$A$156</f>
        <v>50000</v>
      </c>
      <c r="J43" s="50">
        <f>'BC-Detail'!$A$156</f>
        <v>50000</v>
      </c>
      <c r="K43" s="50">
        <f>'BC-Detail'!$A$156</f>
        <v>50000</v>
      </c>
      <c r="L43" s="50">
        <f>'BC-Detail'!$A$156</f>
        <v>50000</v>
      </c>
      <c r="M43" s="50">
        <f>'BC-Detail'!$A$156</f>
        <v>50000</v>
      </c>
      <c r="N43" s="50">
        <f>'BC-Detail'!$A$156</f>
        <v>50000</v>
      </c>
      <c r="O43" s="50">
        <f>'BC-Detail'!$A$156</f>
        <v>50000</v>
      </c>
      <c r="P43" s="50">
        <f>'BC-Detail'!$A$156</f>
        <v>50000</v>
      </c>
      <c r="Q43" s="50">
        <f>'BC-Detail'!$A$156</f>
        <v>50000</v>
      </c>
    </row>
    <row r="44" ht="12.75">
      <c r="A44" s="56" t="s">
        <v>310</v>
      </c>
    </row>
    <row r="45" spans="1:17" ht="12.75">
      <c r="A45" s="56" t="s">
        <v>296</v>
      </c>
      <c r="H45" s="50">
        <v>0</v>
      </c>
      <c r="I45" s="50">
        <f>'BC-Detail'!$A$172</f>
        <v>1608360</v>
      </c>
      <c r="J45" s="50">
        <f>'BC-Detail'!$A$172</f>
        <v>1608360</v>
      </c>
      <c r="K45" s="50">
        <f>'BC-Detail'!$A$172</f>
        <v>1608360</v>
      </c>
      <c r="L45" s="50">
        <f>'BC-Detail'!$A$172</f>
        <v>1608360</v>
      </c>
      <c r="M45" s="50">
        <f>'BC-Detail'!$A$172</f>
        <v>1608360</v>
      </c>
      <c r="N45" s="50">
        <f>'BC-Detail'!$A$172</f>
        <v>1608360</v>
      </c>
      <c r="O45" s="50">
        <f>'BC-Detail'!$A$172</f>
        <v>1608360</v>
      </c>
      <c r="P45" s="50">
        <f>'BC-Detail'!$A$172</f>
        <v>1608360</v>
      </c>
      <c r="Q45" s="50">
        <f>'BC-Detail'!$A$172</f>
        <v>1608360</v>
      </c>
    </row>
    <row r="46" spans="1:17" ht="12.75">
      <c r="A46" s="56" t="s">
        <v>301</v>
      </c>
      <c r="H46" s="50">
        <v>0</v>
      </c>
      <c r="I46" s="50">
        <v>0</v>
      </c>
      <c r="J46" s="50">
        <f>'BC-Detail'!$A$181</f>
        <v>1050000</v>
      </c>
      <c r="K46" s="50">
        <f>'BC-Detail'!$A$181</f>
        <v>1050000</v>
      </c>
      <c r="L46" s="50">
        <f>'BC-Detail'!$A$181</f>
        <v>1050000</v>
      </c>
      <c r="M46" s="50">
        <f>'BC-Detail'!$A$181</f>
        <v>1050000</v>
      </c>
      <c r="N46" s="50">
        <f>'BC-Detail'!$A$181</f>
        <v>1050000</v>
      </c>
      <c r="O46" s="50">
        <f>'BC-Detail'!$A$181</f>
        <v>1050000</v>
      </c>
      <c r="P46" s="50">
        <f>'BC-Detail'!$A$181</f>
        <v>1050000</v>
      </c>
      <c r="Q46" s="50">
        <f>'BC-Detail'!$A$181</f>
        <v>1050000</v>
      </c>
    </row>
    <row r="47" spans="1:17" ht="12.75">
      <c r="A47" s="56" t="s">
        <v>302</v>
      </c>
      <c r="H47" s="50">
        <v>0</v>
      </c>
      <c r="I47" s="50">
        <f>'BC-Detail'!$A$193</f>
        <v>19892.457900000005</v>
      </c>
      <c r="J47" s="50">
        <f>'BC-Detail'!$A$193</f>
        <v>19892.457900000005</v>
      </c>
      <c r="K47" s="50">
        <f>'BC-Detail'!$A$193</f>
        <v>19892.457900000005</v>
      </c>
      <c r="L47" s="50">
        <f>'BC-Detail'!$A$193</f>
        <v>19892.457900000005</v>
      </c>
      <c r="M47" s="50">
        <f>'BC-Detail'!$A$193</f>
        <v>19892.457900000005</v>
      </c>
      <c r="N47" s="50">
        <f>'BC-Detail'!$A$193</f>
        <v>19892.457900000005</v>
      </c>
      <c r="O47" s="50">
        <f>'BC-Detail'!$A$193</f>
        <v>19892.457900000005</v>
      </c>
      <c r="P47" s="50">
        <f>'BC-Detail'!$A$193</f>
        <v>19892.457900000005</v>
      </c>
      <c r="Q47" s="50">
        <f>'BC-Detail'!$A$193</f>
        <v>19892.457900000005</v>
      </c>
    </row>
    <row r="48" ht="12.75">
      <c r="A48" s="56" t="s">
        <v>303</v>
      </c>
    </row>
    <row r="49" ht="12.75">
      <c r="A49" s="56" t="s">
        <v>304</v>
      </c>
    </row>
    <row r="50" spans="1:17" ht="12.75">
      <c r="A50" s="56" t="s">
        <v>305</v>
      </c>
      <c r="H50" s="50">
        <v>0</v>
      </c>
      <c r="I50" s="50">
        <v>0</v>
      </c>
      <c r="J50" s="50">
        <v>0</v>
      </c>
      <c r="K50" s="50">
        <f>'BC-Detail'!$A$209</f>
        <v>2254057.142857143</v>
      </c>
      <c r="L50" s="50">
        <f>'BC-Detail'!$A$209</f>
        <v>2254057.142857143</v>
      </c>
      <c r="M50" s="50">
        <f>'BC-Detail'!$A$209</f>
        <v>2254057.142857143</v>
      </c>
      <c r="N50" s="50">
        <f>'BC-Detail'!$A$209</f>
        <v>2254057.142857143</v>
      </c>
      <c r="O50" s="50">
        <f>'BC-Detail'!$A$209</f>
        <v>2254057.142857143</v>
      </c>
      <c r="P50" s="50">
        <f>'BC-Detail'!$A$209</f>
        <v>2254057.142857143</v>
      </c>
      <c r="Q50" s="50">
        <f>'BC-Detail'!$A$209</f>
        <v>2254057.142857143</v>
      </c>
    </row>
    <row r="51" spans="1:17" ht="12.75">
      <c r="A51" s="56" t="s">
        <v>307</v>
      </c>
      <c r="H51" s="50">
        <v>0</v>
      </c>
      <c r="I51" s="50">
        <f>'BC-Detail'!$A$220</f>
        <v>720000</v>
      </c>
      <c r="J51" s="50">
        <f>'BC-Detail'!$A$220</f>
        <v>720000</v>
      </c>
      <c r="K51" s="50">
        <f>'BC-Detail'!$A$220</f>
        <v>720000</v>
      </c>
      <c r="L51" s="50">
        <f>'BC-Detail'!$A$220</f>
        <v>720000</v>
      </c>
      <c r="M51" s="50">
        <f>'BC-Detail'!$A$220</f>
        <v>720000</v>
      </c>
      <c r="N51" s="50">
        <f>'BC-Detail'!$A$220</f>
        <v>720000</v>
      </c>
      <c r="O51" s="50">
        <f>'BC-Detail'!$A$220</f>
        <v>720000</v>
      </c>
      <c r="P51" s="50">
        <f>'BC-Detail'!$A$220</f>
        <v>720000</v>
      </c>
      <c r="Q51" s="50">
        <f>'BC-Detail'!$A$220</f>
        <v>720000</v>
      </c>
    </row>
    <row r="52" ht="12.75">
      <c r="A52" s="56" t="s">
        <v>308</v>
      </c>
    </row>
    <row r="53" ht="12.75">
      <c r="A53" s="56" t="s">
        <v>311</v>
      </c>
    </row>
    <row r="54" ht="12.75">
      <c r="A54" s="56" t="s">
        <v>312</v>
      </c>
    </row>
    <row r="55" ht="12.75">
      <c r="A55" s="56" t="s">
        <v>313</v>
      </c>
    </row>
    <row r="56" spans="1:17" ht="12.75">
      <c r="A56" s="56" t="s">
        <v>316</v>
      </c>
      <c r="H56" s="50">
        <v>0</v>
      </c>
      <c r="I56" s="50">
        <v>0</v>
      </c>
      <c r="J56" s="54">
        <f>'BC-Detail'!$A$246</f>
        <v>471168.0165816</v>
      </c>
      <c r="K56" s="54">
        <f>'BC-Detail'!$A$246</f>
        <v>471168.0165816</v>
      </c>
      <c r="L56" s="54">
        <f>'BC-Detail'!$A$246</f>
        <v>471168.0165816</v>
      </c>
      <c r="M56" s="54">
        <f>'BC-Detail'!$A$246</f>
        <v>471168.0165816</v>
      </c>
      <c r="N56" s="54">
        <f>'BC-Detail'!$A$246</f>
        <v>471168.0165816</v>
      </c>
      <c r="O56" s="54">
        <f>'BC-Detail'!$A$246</f>
        <v>471168.0165816</v>
      </c>
      <c r="P56" s="54">
        <f>'BC-Detail'!$A$246</f>
        <v>471168.0165816</v>
      </c>
      <c r="Q56" s="54">
        <f>'BC-Detail'!$A$246</f>
        <v>471168.0165816</v>
      </c>
    </row>
    <row r="57" spans="1:17" ht="12.75">
      <c r="A57" s="56" t="s">
        <v>318</v>
      </c>
      <c r="H57" s="50">
        <v>0</v>
      </c>
      <c r="I57" s="50">
        <v>0</v>
      </c>
      <c r="J57" s="55">
        <f>'BC-Detail'!$B$268</f>
        <v>32830.29000000001</v>
      </c>
      <c r="K57" s="55">
        <f>'BC-Detail'!$B$269</f>
        <v>45790.29000000001</v>
      </c>
      <c r="L57" s="55">
        <f>'BC-Detail'!$B$270</f>
        <v>58750.29000000001</v>
      </c>
      <c r="M57" s="55">
        <f>'BC-Detail'!$B$271</f>
        <v>71710.29000000001</v>
      </c>
      <c r="N57" s="55">
        <f>'BC-Detail'!$B$272</f>
        <v>84670.29000000001</v>
      </c>
      <c r="O57" s="55">
        <f>'BC-Detail'!$B$273</f>
        <v>97630.29000000001</v>
      </c>
      <c r="P57" s="55">
        <f>'BC-Detail'!$B$274</f>
        <v>110590.29000000001</v>
      </c>
      <c r="Q57" s="55">
        <f>'BC-Detail'!$B$275</f>
        <v>123550.29000000001</v>
      </c>
    </row>
    <row r="58" ht="12.75">
      <c r="A58" s="23"/>
    </row>
    <row r="59" s="53" customFormat="1" ht="12.75">
      <c r="A59" s="5" t="s">
        <v>257</v>
      </c>
    </row>
    <row r="60" s="57" customFormat="1" ht="12.75">
      <c r="A60" s="56" t="s">
        <v>322</v>
      </c>
    </row>
    <row r="61" s="57" customFormat="1" ht="12.75">
      <c r="A61" s="56" t="s">
        <v>323</v>
      </c>
    </row>
    <row r="62" s="57" customFormat="1" ht="12.75">
      <c r="A62" s="56" t="s">
        <v>324</v>
      </c>
    </row>
    <row r="63" s="57" customFormat="1" ht="12.75">
      <c r="A63" s="56" t="s">
        <v>325</v>
      </c>
    </row>
    <row r="64" s="57" customFormat="1" ht="12.75"/>
    <row r="65" s="57" customFormat="1" ht="12.75">
      <c r="A65" s="56"/>
    </row>
    <row r="66" s="53" customFormat="1" ht="12.75">
      <c r="A66" s="5" t="s">
        <v>287</v>
      </c>
    </row>
    <row r="67" s="57" customFormat="1" ht="12.75">
      <c r="A67" s="56"/>
    </row>
    <row r="68" spans="1:5" s="177" customFormat="1" ht="12.75">
      <c r="A68" s="60"/>
      <c r="D68" s="178" t="s">
        <v>416</v>
      </c>
      <c r="E68" s="179">
        <f>'ERR &amp; Sensitivity analysis'!D11</f>
        <v>1</v>
      </c>
    </row>
    <row r="69" spans="1:17" s="59" customFormat="1" ht="16.5" thickBot="1">
      <c r="A69" s="58" t="s">
        <v>258</v>
      </c>
      <c r="H69" s="59">
        <f>(SUM(H6:H7,H36))*$E$68</f>
        <v>12751934</v>
      </c>
      <c r="I69" s="59">
        <f aca="true" t="shared" si="2" ref="I69:Q69">(SUM(I6:I7,I36))*$E$68</f>
        <v>16468741.277899995</v>
      </c>
      <c r="J69" s="59">
        <f t="shared" si="2"/>
        <v>18517867.143631592</v>
      </c>
      <c r="K69" s="59">
        <f t="shared" si="2"/>
        <v>21589832.976875655</v>
      </c>
      <c r="L69" s="59">
        <f t="shared" si="2"/>
        <v>22095693.121426113</v>
      </c>
      <c r="M69" s="59">
        <f t="shared" si="2"/>
        <v>22618804.771035828</v>
      </c>
      <c r="N69" s="59">
        <f t="shared" si="2"/>
        <v>23159771.728381895</v>
      </c>
      <c r="O69" s="59">
        <f t="shared" si="2"/>
        <v>23719218.92923507</v>
      </c>
      <c r="P69" s="59">
        <f t="shared" si="2"/>
        <v>24297793.182118107</v>
      </c>
      <c r="Q69" s="59">
        <f t="shared" si="2"/>
        <v>24896163.933852054</v>
      </c>
    </row>
    <row r="71" ht="15.75">
      <c r="A71" s="52" t="s">
        <v>289</v>
      </c>
    </row>
    <row r="72" s="53" customFormat="1" ht="12.75">
      <c r="A72" s="5" t="s">
        <v>92</v>
      </c>
    </row>
    <row r="73" ht="12.75" hidden="1">
      <c r="A73" s="23" t="s">
        <v>260</v>
      </c>
    </row>
    <row r="74" ht="12.75" hidden="1">
      <c r="A74" s="23" t="s">
        <v>261</v>
      </c>
    </row>
    <row r="75" ht="12.75" hidden="1">
      <c r="A75" s="23" t="s">
        <v>262</v>
      </c>
    </row>
    <row r="76" ht="12.75" hidden="1">
      <c r="A76" s="23" t="s">
        <v>263</v>
      </c>
    </row>
    <row r="77" ht="12.75" hidden="1">
      <c r="A77" s="23" t="s">
        <v>264</v>
      </c>
    </row>
    <row r="78" ht="12.75" hidden="1">
      <c r="A78" s="23" t="s">
        <v>266</v>
      </c>
    </row>
    <row r="79" ht="12.75" hidden="1">
      <c r="A79" s="23" t="s">
        <v>265</v>
      </c>
    </row>
    <row r="80" ht="12.75" hidden="1">
      <c r="A80" s="23" t="s">
        <v>267</v>
      </c>
    </row>
    <row r="81" ht="12.75" hidden="1">
      <c r="A81" s="23" t="s">
        <v>268</v>
      </c>
    </row>
    <row r="82" ht="12.75" hidden="1">
      <c r="A82" s="23" t="s">
        <v>269</v>
      </c>
    </row>
    <row r="83" ht="12.75" hidden="1">
      <c r="A83" s="23" t="s">
        <v>270</v>
      </c>
    </row>
    <row r="84" ht="12.75" hidden="1">
      <c r="A84" s="23" t="s">
        <v>271</v>
      </c>
    </row>
    <row r="85" ht="12.75" hidden="1">
      <c r="A85" s="23" t="s">
        <v>273</v>
      </c>
    </row>
    <row r="86" ht="12.75" hidden="1">
      <c r="A86" s="23" t="s">
        <v>272</v>
      </c>
    </row>
    <row r="87" ht="12.75" hidden="1">
      <c r="A87" s="23" t="s">
        <v>274</v>
      </c>
    </row>
    <row r="88" ht="12.75" hidden="1">
      <c r="A88" s="23" t="s">
        <v>275</v>
      </c>
    </row>
    <row r="89" ht="12.75" hidden="1">
      <c r="A89" s="23" t="s">
        <v>276</v>
      </c>
    </row>
    <row r="90" ht="12.75" hidden="1">
      <c r="A90" s="23" t="s">
        <v>277</v>
      </c>
    </row>
    <row r="91" ht="12.75" hidden="1">
      <c r="A91" s="23" t="s">
        <v>278</v>
      </c>
    </row>
    <row r="92" ht="12.75" hidden="1">
      <c r="A92" s="23" t="s">
        <v>281</v>
      </c>
    </row>
    <row r="93" ht="12.75" hidden="1">
      <c r="A93" s="23" t="s">
        <v>279</v>
      </c>
    </row>
    <row r="94" ht="12.75" hidden="1">
      <c r="A94" s="23" t="s">
        <v>280</v>
      </c>
    </row>
    <row r="95" ht="12.75" hidden="1">
      <c r="A95" s="23" t="s">
        <v>282</v>
      </c>
    </row>
    <row r="96" ht="12.75" hidden="1">
      <c r="A96" s="23" t="s">
        <v>283</v>
      </c>
    </row>
    <row r="97" ht="12.75" hidden="1">
      <c r="A97" s="23" t="s">
        <v>284</v>
      </c>
    </row>
    <row r="98" ht="12.75" hidden="1">
      <c r="A98" s="23" t="s">
        <v>285</v>
      </c>
    </row>
    <row r="99" ht="12.75" hidden="1">
      <c r="A99" s="23" t="s">
        <v>286</v>
      </c>
    </row>
    <row r="100" ht="12.75">
      <c r="A100" s="23"/>
    </row>
    <row r="101" s="53" customFormat="1" ht="12.75">
      <c r="A101" s="5" t="s">
        <v>135</v>
      </c>
    </row>
    <row r="102" ht="12.75" hidden="1">
      <c r="A102" s="56" t="s">
        <v>136</v>
      </c>
    </row>
    <row r="103" ht="12.75" hidden="1">
      <c r="A103" s="56" t="s">
        <v>146</v>
      </c>
    </row>
    <row r="104" ht="12.75" hidden="1">
      <c r="A104" s="56" t="s">
        <v>309</v>
      </c>
    </row>
    <row r="105" ht="12.75" hidden="1">
      <c r="A105" s="56" t="s">
        <v>292</v>
      </c>
    </row>
    <row r="106" ht="12.75" hidden="1">
      <c r="A106" s="56" t="s">
        <v>293</v>
      </c>
    </row>
    <row r="107" ht="12.75" hidden="1">
      <c r="A107" s="56" t="s">
        <v>170</v>
      </c>
    </row>
    <row r="108" ht="12.75" hidden="1">
      <c r="A108" s="56" t="s">
        <v>319</v>
      </c>
    </row>
    <row r="109" ht="12.75" hidden="1">
      <c r="A109" s="56" t="s">
        <v>310</v>
      </c>
    </row>
    <row r="110" ht="12.75" hidden="1">
      <c r="A110" s="56" t="s">
        <v>296</v>
      </c>
    </row>
    <row r="111" ht="12.75" hidden="1">
      <c r="A111" s="56" t="s">
        <v>301</v>
      </c>
    </row>
    <row r="112" ht="12.75" hidden="1">
      <c r="A112" s="56" t="s">
        <v>302</v>
      </c>
    </row>
    <row r="113" ht="12.75" hidden="1">
      <c r="A113" s="56" t="s">
        <v>303</v>
      </c>
    </row>
    <row r="114" ht="12.75" hidden="1">
      <c r="A114" s="56" t="s">
        <v>304</v>
      </c>
    </row>
    <row r="115" ht="12.75" hidden="1">
      <c r="A115" s="56" t="s">
        <v>305</v>
      </c>
    </row>
    <row r="116" ht="12.75" hidden="1">
      <c r="A116" s="56" t="s">
        <v>307</v>
      </c>
    </row>
    <row r="117" ht="12.75" hidden="1">
      <c r="A117" s="56" t="s">
        <v>308</v>
      </c>
    </row>
    <row r="118" ht="12.75" hidden="1">
      <c r="A118" s="56" t="s">
        <v>311</v>
      </c>
    </row>
    <row r="119" ht="12.75" hidden="1">
      <c r="A119" s="56" t="s">
        <v>312</v>
      </c>
    </row>
    <row r="120" ht="12.75" hidden="1">
      <c r="A120" s="56" t="s">
        <v>313</v>
      </c>
    </row>
    <row r="121" ht="12.75" hidden="1">
      <c r="A121" s="56" t="s">
        <v>316</v>
      </c>
    </row>
    <row r="122" ht="12.75" hidden="1">
      <c r="A122" s="56" t="s">
        <v>318</v>
      </c>
    </row>
    <row r="123" ht="12.75">
      <c r="A123" s="23"/>
    </row>
    <row r="124" s="53" customFormat="1" ht="12.75" hidden="1">
      <c r="A124" s="5" t="s">
        <v>42</v>
      </c>
    </row>
    <row r="125" s="57" customFormat="1" ht="12.75" hidden="1">
      <c r="A125" s="56" t="s">
        <v>378</v>
      </c>
    </row>
    <row r="126" s="57" customFormat="1" ht="12.75" hidden="1">
      <c r="A126" s="94" t="s">
        <v>379</v>
      </c>
    </row>
    <row r="127" s="57" customFormat="1" ht="12.75" hidden="1">
      <c r="A127" s="56" t="s">
        <v>380</v>
      </c>
    </row>
    <row r="128" s="57" customFormat="1" ht="12.75" hidden="1">
      <c r="A128" s="56" t="s">
        <v>381</v>
      </c>
    </row>
    <row r="129" ht="12.75" hidden="1">
      <c r="A129" s="56"/>
    </row>
    <row r="130" s="53" customFormat="1" ht="12.75">
      <c r="A130" s="5" t="s">
        <v>287</v>
      </c>
    </row>
    <row r="131" s="57" customFormat="1" ht="12.75">
      <c r="A131" s="56"/>
    </row>
    <row r="132" spans="1:18" s="61" customFormat="1" ht="12.75">
      <c r="A132" s="60"/>
      <c r="D132" s="176" t="s">
        <v>414</v>
      </c>
      <c r="E132" s="179">
        <f>'ERR &amp; Sensitivity analysis'!D10</f>
        <v>1</v>
      </c>
      <c r="R132" s="62">
        <f>SUM(H132:Q132)</f>
        <v>0</v>
      </c>
    </row>
    <row r="133" spans="1:18" s="59" customFormat="1" ht="16.5" thickBot="1">
      <c r="A133" s="58" t="s">
        <v>377</v>
      </c>
      <c r="D133" s="91"/>
      <c r="E133" s="63"/>
      <c r="H133" s="64">
        <f>(-B143)*$E$132</f>
        <v>-30241000</v>
      </c>
      <c r="I133" s="64">
        <f>(-C143)*$E$132</f>
        <v>-36401000</v>
      </c>
      <c r="J133" s="64">
        <f>(-D143)*$E$132</f>
        <v>-20480000</v>
      </c>
      <c r="K133" s="64">
        <f>(-E143)*$E$132</f>
        <v>-4992000</v>
      </c>
      <c r="L133" s="64">
        <f>F137*(-$D$133)</f>
        <v>0</v>
      </c>
      <c r="M133" s="64">
        <v>0</v>
      </c>
      <c r="N133" s="64">
        <v>0</v>
      </c>
      <c r="O133" s="64">
        <v>0</v>
      </c>
      <c r="P133" s="64">
        <v>0</v>
      </c>
      <c r="Q133" s="64">
        <v>0</v>
      </c>
      <c r="R133" s="59">
        <f>SUM(H133:Q133)</f>
        <v>-92114000</v>
      </c>
    </row>
    <row r="134" spans="8:17" ht="12.75">
      <c r="H134" s="104"/>
      <c r="I134" s="104"/>
      <c r="J134" s="104"/>
      <c r="K134" s="104"/>
      <c r="L134" s="104"/>
      <c r="M134" s="104"/>
      <c r="N134" s="104"/>
      <c r="O134" s="104"/>
      <c r="P134" s="104"/>
      <c r="Q134" s="104"/>
    </row>
    <row r="135" spans="1:17" s="66" customFormat="1" ht="16.5" thickBot="1">
      <c r="A135" s="65" t="s">
        <v>43</v>
      </c>
      <c r="H135" s="66">
        <f>H69+H133</f>
        <v>-17489066</v>
      </c>
      <c r="I135" s="66">
        <f aca="true" t="shared" si="3" ref="I135:Q135">I69+I133</f>
        <v>-19932258.722100005</v>
      </c>
      <c r="J135" s="66">
        <f t="shared" si="3"/>
        <v>-1962132.8563684076</v>
      </c>
      <c r="K135" s="66">
        <f t="shared" si="3"/>
        <v>16597832.976875655</v>
      </c>
      <c r="L135" s="66">
        <f t="shared" si="3"/>
        <v>22095693.121426113</v>
      </c>
      <c r="M135" s="66">
        <f t="shared" si="3"/>
        <v>22618804.771035828</v>
      </c>
      <c r="N135" s="66">
        <f t="shared" si="3"/>
        <v>23159771.728381895</v>
      </c>
      <c r="O135" s="66">
        <f t="shared" si="3"/>
        <v>23719218.92923507</v>
      </c>
      <c r="P135" s="66">
        <f t="shared" si="3"/>
        <v>24297793.182118107</v>
      </c>
      <c r="Q135" s="66">
        <f t="shared" si="3"/>
        <v>24896163.933852054</v>
      </c>
    </row>
    <row r="136" spans="8:17" ht="12.75">
      <c r="H136" s="103">
        <v>1</v>
      </c>
      <c r="I136" s="103">
        <f>H136+1</f>
        <v>2</v>
      </c>
      <c r="J136" s="103">
        <f aca="true" t="shared" si="4" ref="J136:Q136">I136+1</f>
        <v>3</v>
      </c>
      <c r="K136" s="103">
        <f t="shared" si="4"/>
        <v>4</v>
      </c>
      <c r="L136" s="103">
        <f t="shared" si="4"/>
        <v>5</v>
      </c>
      <c r="M136" s="103">
        <f t="shared" si="4"/>
        <v>6</v>
      </c>
      <c r="N136" s="103">
        <f t="shared" si="4"/>
        <v>7</v>
      </c>
      <c r="O136" s="103">
        <f t="shared" si="4"/>
        <v>8</v>
      </c>
      <c r="P136" s="103">
        <f t="shared" si="4"/>
        <v>9</v>
      </c>
      <c r="Q136" s="103">
        <f t="shared" si="4"/>
        <v>10</v>
      </c>
    </row>
    <row r="137" spans="1:12" ht="12.75">
      <c r="A137" s="2" t="s">
        <v>372</v>
      </c>
      <c r="B137" s="82"/>
      <c r="C137" s="82"/>
      <c r="D137" s="82"/>
      <c r="E137" s="82"/>
      <c r="F137" s="82"/>
      <c r="L137" s="15"/>
    </row>
    <row r="138" spans="1:12" ht="12.75">
      <c r="A138" s="73" t="s">
        <v>255</v>
      </c>
      <c r="B138" s="72">
        <v>2005</v>
      </c>
      <c r="C138" s="72">
        <f aca="true" t="shared" si="5" ref="C138:K138">B138+1</f>
        <v>2006</v>
      </c>
      <c r="D138" s="72">
        <f t="shared" si="5"/>
        <v>2007</v>
      </c>
      <c r="E138" s="72">
        <f t="shared" si="5"/>
        <v>2008</v>
      </c>
      <c r="F138" s="72">
        <f t="shared" si="5"/>
        <v>2009</v>
      </c>
      <c r="G138" s="72">
        <f t="shared" si="5"/>
        <v>2010</v>
      </c>
      <c r="H138" s="72">
        <f t="shared" si="5"/>
        <v>2011</v>
      </c>
      <c r="I138" s="72">
        <f t="shared" si="5"/>
        <v>2012</v>
      </c>
      <c r="J138" s="72">
        <f t="shared" si="5"/>
        <v>2013</v>
      </c>
      <c r="K138" s="72">
        <f t="shared" si="5"/>
        <v>2014</v>
      </c>
      <c r="L138" s="74" t="s">
        <v>363</v>
      </c>
    </row>
    <row r="139" spans="1:12" ht="12.75">
      <c r="A139" s="88" t="s">
        <v>361</v>
      </c>
      <c r="B139" s="88">
        <v>16506000</v>
      </c>
      <c r="C139" s="88">
        <v>14500000</v>
      </c>
      <c r="D139" s="88">
        <v>5387000</v>
      </c>
      <c r="E139" s="88">
        <v>0</v>
      </c>
      <c r="F139" s="88"/>
      <c r="L139" s="50">
        <f>SUM(B139:F139)</f>
        <v>36393000</v>
      </c>
    </row>
    <row r="140" spans="1:12" ht="12.75">
      <c r="A140" s="50" t="s">
        <v>360</v>
      </c>
      <c r="B140" s="50">
        <v>8825000</v>
      </c>
      <c r="C140" s="50">
        <v>17426000</v>
      </c>
      <c r="D140" s="50">
        <v>10631000</v>
      </c>
      <c r="E140" s="50">
        <v>0</v>
      </c>
      <c r="F140" s="50">
        <v>0</v>
      </c>
      <c r="L140" s="50">
        <f>SUM(B140:F140)</f>
        <v>36882000</v>
      </c>
    </row>
    <row r="141" spans="1:12" ht="12.75">
      <c r="A141" s="50" t="s">
        <v>373</v>
      </c>
      <c r="B141" s="50">
        <v>305000</v>
      </c>
      <c r="C141" s="50">
        <v>847000</v>
      </c>
      <c r="D141" s="50">
        <v>844000</v>
      </c>
      <c r="E141" s="50">
        <v>1379000</v>
      </c>
      <c r="L141" s="73">
        <f>SUM(B141:F141)</f>
        <v>3375000</v>
      </c>
    </row>
    <row r="142" spans="1:12" ht="12.75">
      <c r="A142" s="73" t="s">
        <v>362</v>
      </c>
      <c r="B142" s="73">
        <v>4605000</v>
      </c>
      <c r="C142" s="73">
        <v>3628000</v>
      </c>
      <c r="D142" s="73">
        <v>3618000</v>
      </c>
      <c r="E142" s="73">
        <v>3613000</v>
      </c>
      <c r="F142" s="81">
        <v>0</v>
      </c>
      <c r="G142" s="81">
        <v>0</v>
      </c>
      <c r="H142" s="81">
        <v>0</v>
      </c>
      <c r="I142" s="81">
        <v>0</v>
      </c>
      <c r="J142" s="81">
        <v>0</v>
      </c>
      <c r="K142" s="81">
        <v>0</v>
      </c>
      <c r="L142" s="73">
        <f>SUM(B142:F142)</f>
        <v>15464000</v>
      </c>
    </row>
    <row r="143" spans="1:12" ht="12.75">
      <c r="A143" s="50" t="s">
        <v>363</v>
      </c>
      <c r="B143" s="50">
        <f>SUM(B139:B142)</f>
        <v>30241000</v>
      </c>
      <c r="C143" s="50">
        <f>SUM(C139:C142)</f>
        <v>36401000</v>
      </c>
      <c r="D143" s="50">
        <f>SUM(D139:D142)</f>
        <v>20480000</v>
      </c>
      <c r="E143" s="50">
        <f>SUM(E139:E142)</f>
        <v>4992000</v>
      </c>
      <c r="F143" s="50">
        <f>SUM(F139:F142)</f>
        <v>0</v>
      </c>
      <c r="G143" s="50">
        <f aca="true" t="shared" si="6" ref="G143:L143">SUM(G139:G142)</f>
        <v>0</v>
      </c>
      <c r="H143" s="50">
        <f t="shared" si="6"/>
        <v>0</v>
      </c>
      <c r="I143" s="50">
        <f t="shared" si="6"/>
        <v>0</v>
      </c>
      <c r="J143" s="50">
        <f t="shared" si="6"/>
        <v>0</v>
      </c>
      <c r="K143" s="50">
        <f t="shared" si="6"/>
        <v>0</v>
      </c>
      <c r="L143" s="50">
        <f t="shared" si="6"/>
        <v>92114000</v>
      </c>
    </row>
    <row r="144" ht="12.75">
      <c r="A144" s="50" t="s">
        <v>31</v>
      </c>
    </row>
    <row r="145" ht="12.75">
      <c r="A145" s="2" t="s">
        <v>288</v>
      </c>
    </row>
    <row r="146" spans="1:12" ht="12.75">
      <c r="A146" s="50" t="s">
        <v>361</v>
      </c>
      <c r="B146" s="50">
        <f aca="true" t="shared" si="7" ref="B146:K146">SUM(H6:H7)</f>
        <v>12701934</v>
      </c>
      <c r="C146" s="50">
        <f t="shared" si="7"/>
        <v>13146501.689999996</v>
      </c>
      <c r="D146" s="50">
        <f t="shared" si="7"/>
        <v>13606629.249149995</v>
      </c>
      <c r="E146" s="50">
        <f t="shared" si="7"/>
        <v>14082861.272870248</v>
      </c>
      <c r="F146" s="50">
        <f t="shared" si="7"/>
        <v>14575761.417420706</v>
      </c>
      <c r="G146" s="50">
        <f t="shared" si="7"/>
        <v>15085913.06703042</v>
      </c>
      <c r="H146" s="50">
        <f t="shared" si="7"/>
        <v>15613920.024376487</v>
      </c>
      <c r="I146" s="50">
        <f t="shared" si="7"/>
        <v>16160407.225229664</v>
      </c>
      <c r="J146" s="50">
        <f t="shared" si="7"/>
        <v>16726021.478112698</v>
      </c>
      <c r="K146" s="50">
        <f t="shared" si="7"/>
        <v>17311432.229846645</v>
      </c>
      <c r="L146" s="50">
        <f>SUM(B146:K146)</f>
        <v>149011381.65403685</v>
      </c>
    </row>
    <row r="147" spans="1:12" ht="12.75">
      <c r="A147" s="50" t="s">
        <v>360</v>
      </c>
      <c r="B147" s="50">
        <f aca="true" t="shared" si="8" ref="B147:K147">+H36</f>
        <v>50000</v>
      </c>
      <c r="C147" s="50">
        <f t="shared" si="8"/>
        <v>3322239.5878999997</v>
      </c>
      <c r="D147" s="50">
        <f t="shared" si="8"/>
        <v>4911237.894481599</v>
      </c>
      <c r="E147" s="50">
        <f t="shared" si="8"/>
        <v>7506971.704005409</v>
      </c>
      <c r="F147" s="50">
        <f t="shared" si="8"/>
        <v>7519931.704005409</v>
      </c>
      <c r="G147" s="50">
        <f t="shared" si="8"/>
        <v>7532891.704005409</v>
      </c>
      <c r="H147" s="50">
        <f t="shared" si="8"/>
        <v>7545851.704005409</v>
      </c>
      <c r="I147" s="50">
        <f t="shared" si="8"/>
        <v>7558811.704005409</v>
      </c>
      <c r="J147" s="50">
        <f t="shared" si="8"/>
        <v>7571771.704005409</v>
      </c>
      <c r="K147" s="50">
        <f t="shared" si="8"/>
        <v>7584731.704005409</v>
      </c>
      <c r="L147" s="50">
        <f>SUM(B147:K147)</f>
        <v>61104439.41041945</v>
      </c>
    </row>
    <row r="148" ht="12.75">
      <c r="A148" s="50" t="s">
        <v>375</v>
      </c>
    </row>
    <row r="149" spans="1:14" ht="12.75">
      <c r="A149" s="50" t="s">
        <v>361</v>
      </c>
      <c r="B149" s="50">
        <f>+B146-B139</f>
        <v>-3804066</v>
      </c>
      <c r="C149" s="50">
        <f aca="true" t="shared" si="9" ref="C149:L149">+C146-C139</f>
        <v>-1353498.3100000042</v>
      </c>
      <c r="D149" s="50">
        <f t="shared" si="9"/>
        <v>8219629.249149995</v>
      </c>
      <c r="E149" s="50">
        <f t="shared" si="9"/>
        <v>14082861.272870248</v>
      </c>
      <c r="F149" s="50">
        <f t="shared" si="9"/>
        <v>14575761.417420706</v>
      </c>
      <c r="G149" s="50">
        <f t="shared" si="9"/>
        <v>15085913.06703042</v>
      </c>
      <c r="H149" s="50">
        <f t="shared" si="9"/>
        <v>15613920.024376487</v>
      </c>
      <c r="I149" s="50">
        <f t="shared" si="9"/>
        <v>16160407.225229664</v>
      </c>
      <c r="J149" s="50">
        <f t="shared" si="9"/>
        <v>16726021.478112698</v>
      </c>
      <c r="K149" s="50">
        <f t="shared" si="9"/>
        <v>17311432.229846645</v>
      </c>
      <c r="L149" s="50">
        <f t="shared" si="9"/>
        <v>112618381.65403685</v>
      </c>
      <c r="N149" s="90"/>
    </row>
    <row r="150" spans="1:14" ht="12.75">
      <c r="A150" s="50" t="s">
        <v>360</v>
      </c>
      <c r="B150" s="50">
        <f>+B147-B140</f>
        <v>-8775000</v>
      </c>
      <c r="C150" s="50">
        <f aca="true" t="shared" si="10" ref="C150:L150">+C147-C140</f>
        <v>-14103760.4121</v>
      </c>
      <c r="D150" s="50">
        <f t="shared" si="10"/>
        <v>-5719762.105518401</v>
      </c>
      <c r="E150" s="50">
        <f t="shared" si="10"/>
        <v>7506971.704005409</v>
      </c>
      <c r="F150" s="50">
        <f t="shared" si="10"/>
        <v>7519931.704005409</v>
      </c>
      <c r="G150" s="50">
        <f t="shared" si="10"/>
        <v>7532891.704005409</v>
      </c>
      <c r="H150" s="50">
        <f t="shared" si="10"/>
        <v>7545851.704005409</v>
      </c>
      <c r="I150" s="50">
        <f t="shared" si="10"/>
        <v>7558811.704005409</v>
      </c>
      <c r="J150" s="50">
        <f t="shared" si="10"/>
        <v>7571771.704005409</v>
      </c>
      <c r="K150" s="50">
        <f t="shared" si="10"/>
        <v>7584731.704005409</v>
      </c>
      <c r="L150" s="50">
        <f t="shared" si="10"/>
        <v>24222439.41041945</v>
      </c>
      <c r="N150" s="90"/>
    </row>
    <row r="152" ht="12.75">
      <c r="A152" s="50" t="s">
        <v>376</v>
      </c>
    </row>
    <row r="153" spans="1:2" ht="12.75">
      <c r="A153" s="191" t="s">
        <v>374</v>
      </c>
      <c r="B153" s="192">
        <f>+B2</f>
        <v>0.310486284747805</v>
      </c>
    </row>
    <row r="154" ht="12.75">
      <c r="H154" s="90"/>
    </row>
  </sheetData>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O293"/>
  <sheetViews>
    <sheetView workbookViewId="0" topLeftCell="A1">
      <selection activeCell="A2" sqref="A2"/>
    </sheetView>
  </sheetViews>
  <sheetFormatPr defaultColWidth="9.140625" defaultRowHeight="12.75"/>
  <cols>
    <col min="1" max="1" width="12.00390625" style="0" customWidth="1"/>
    <col min="2" max="4" width="12.00390625" style="0" bestFit="1" customWidth="1"/>
    <col min="5" max="6" width="12.00390625" style="0" customWidth="1"/>
    <col min="7" max="7" width="12.00390625" style="0" bestFit="1" customWidth="1"/>
    <col min="8" max="8" width="12.00390625" style="0" customWidth="1"/>
    <col min="9" max="10" width="12.00390625" style="0" bestFit="1" customWidth="1"/>
    <col min="11" max="11" width="12.7109375" style="0" customWidth="1"/>
    <col min="12" max="12" width="15.00390625" style="0" bestFit="1" customWidth="1"/>
  </cols>
  <sheetData>
    <row r="1" ht="18">
      <c r="A1" s="1" t="s">
        <v>393</v>
      </c>
    </row>
    <row r="2" ht="12.75" customHeight="1"/>
    <row r="3" ht="12.75" customHeight="1">
      <c r="A3" s="2" t="s">
        <v>88</v>
      </c>
    </row>
    <row r="4" spans="1:6" ht="12.75">
      <c r="A4" t="s">
        <v>89</v>
      </c>
      <c r="E4">
        <v>10000</v>
      </c>
      <c r="F4" t="s">
        <v>90</v>
      </c>
    </row>
    <row r="5" spans="1:5" ht="12.75">
      <c r="A5" s="3" t="s">
        <v>91</v>
      </c>
      <c r="E5" s="4">
        <v>0.0043</v>
      </c>
    </row>
    <row r="6" spans="1:5" ht="12.75">
      <c r="A6" s="3"/>
      <c r="E6" s="4"/>
    </row>
    <row r="7" s="6" customFormat="1" ht="12.75">
      <c r="A7" s="5" t="s">
        <v>92</v>
      </c>
    </row>
    <row r="8" ht="12.75">
      <c r="A8" t="s">
        <v>93</v>
      </c>
    </row>
    <row r="9" ht="12.75">
      <c r="B9" s="7" t="s">
        <v>94</v>
      </c>
    </row>
    <row r="10" ht="12.75">
      <c r="B10" s="7" t="s">
        <v>95</v>
      </c>
    </row>
    <row r="12" ht="12.75">
      <c r="A12" s="7" t="s">
        <v>96</v>
      </c>
    </row>
    <row r="13" ht="12.75">
      <c r="A13" s="8" t="s">
        <v>97</v>
      </c>
    </row>
    <row r="14" spans="1:2" ht="12.75">
      <c r="A14" s="9">
        <v>4</v>
      </c>
      <c r="B14" t="s">
        <v>98</v>
      </c>
    </row>
    <row r="15" ht="12.75">
      <c r="A15" s="9"/>
    </row>
    <row r="16" ht="12.75">
      <c r="A16" s="10" t="s">
        <v>99</v>
      </c>
    </row>
    <row r="17" spans="1:2" ht="12.75">
      <c r="A17" s="11">
        <v>250000</v>
      </c>
      <c r="B17" t="s">
        <v>100</v>
      </c>
    </row>
    <row r="18" ht="12.75">
      <c r="A18" s="11"/>
    </row>
    <row r="19" spans="1:2" ht="12.75">
      <c r="A19" s="10" t="s">
        <v>101</v>
      </c>
      <c r="B19" s="12"/>
    </row>
    <row r="20" spans="1:2" ht="12.75">
      <c r="A20" s="11">
        <f>A17/A14</f>
        <v>62500</v>
      </c>
      <c r="B20" t="s">
        <v>102</v>
      </c>
    </row>
    <row r="21" ht="12.75">
      <c r="A21" s="9"/>
    </row>
    <row r="22" ht="12.75">
      <c r="A22" s="8" t="s">
        <v>103</v>
      </c>
    </row>
    <row r="23" ht="12.75">
      <c r="B23" t="s">
        <v>104</v>
      </c>
    </row>
    <row r="24" ht="12.75">
      <c r="B24" t="s">
        <v>105</v>
      </c>
    </row>
    <row r="25" spans="2:7" ht="12.75">
      <c r="B25" t="s">
        <v>106</v>
      </c>
      <c r="F25" s="9">
        <v>2</v>
      </c>
      <c r="G25" t="s">
        <v>107</v>
      </c>
    </row>
    <row r="26" spans="2:4" ht="12.75">
      <c r="B26" t="s">
        <v>108</v>
      </c>
      <c r="C26" s="194">
        <f>'ERR &amp; Sensitivity analysis'!D13</f>
        <v>4.5</v>
      </c>
      <c r="D26" t="s">
        <v>109</v>
      </c>
    </row>
    <row r="27" ht="12.75">
      <c r="B27" t="s">
        <v>110</v>
      </c>
    </row>
    <row r="28" spans="2:3" ht="12.75">
      <c r="B28" s="9">
        <f>(F25*1000000*1+C26*1000000*4)/((1+4)*E4)</f>
        <v>400</v>
      </c>
      <c r="C28" t="s">
        <v>359</v>
      </c>
    </row>
    <row r="29" spans="1:3" ht="12.75">
      <c r="A29" s="9" t="s">
        <v>357</v>
      </c>
      <c r="B29" s="32">
        <v>0.035</v>
      </c>
      <c r="C29" t="s">
        <v>358</v>
      </c>
    </row>
    <row r="30" spans="1:10" ht="12.75">
      <c r="A30" s="72">
        <v>2005</v>
      </c>
      <c r="B30" s="72">
        <f>A30+1</f>
        <v>2006</v>
      </c>
      <c r="C30" s="72">
        <f aca="true" t="shared" si="0" ref="C30:J30">B30+1</f>
        <v>2007</v>
      </c>
      <c r="D30" s="72">
        <f t="shared" si="0"/>
        <v>2008</v>
      </c>
      <c r="E30" s="72">
        <f t="shared" si="0"/>
        <v>2009</v>
      </c>
      <c r="F30" s="72">
        <f t="shared" si="0"/>
        <v>2010</v>
      </c>
      <c r="G30" s="72">
        <f t="shared" si="0"/>
        <v>2011</v>
      </c>
      <c r="H30" s="72">
        <f t="shared" si="0"/>
        <v>2012</v>
      </c>
      <c r="I30" s="72">
        <f t="shared" si="0"/>
        <v>2013</v>
      </c>
      <c r="J30" s="72">
        <f t="shared" si="0"/>
        <v>2014</v>
      </c>
    </row>
    <row r="31" spans="1:10" ht="12.75">
      <c r="A31" s="31">
        <f>B28*(1+B29)</f>
        <v>413.99999999999994</v>
      </c>
      <c r="B31" s="31">
        <f>A31*(1+$B$29)</f>
        <v>428.4899999999999</v>
      </c>
      <c r="C31" s="31">
        <f aca="true" t="shared" si="1" ref="C31:J31">B31*(1+$B$29)</f>
        <v>443.4871499999999</v>
      </c>
      <c r="D31" s="31">
        <f t="shared" si="1"/>
        <v>459.0092002499998</v>
      </c>
      <c r="E31" s="31">
        <f t="shared" si="1"/>
        <v>475.07452225874977</v>
      </c>
      <c r="F31" s="31">
        <f t="shared" si="1"/>
        <v>491.70213053780594</v>
      </c>
      <c r="G31" s="31">
        <f t="shared" si="1"/>
        <v>508.9117051066291</v>
      </c>
      <c r="H31" s="31">
        <f t="shared" si="1"/>
        <v>526.7236147853611</v>
      </c>
      <c r="I31" s="31">
        <f t="shared" si="1"/>
        <v>545.1589413028487</v>
      </c>
      <c r="J31" s="31">
        <f t="shared" si="1"/>
        <v>564.2395042484484</v>
      </c>
    </row>
    <row r="32" spans="1:5" ht="12.75">
      <c r="A32" s="11"/>
      <c r="C32" s="70"/>
      <c r="D32" s="71"/>
      <c r="E32" s="70"/>
    </row>
    <row r="33" ht="12.75">
      <c r="A33" s="14" t="s">
        <v>111</v>
      </c>
    </row>
    <row r="34" spans="1:2" ht="12.75">
      <c r="A34" s="15">
        <v>0.75</v>
      </c>
      <c r="B34" t="s">
        <v>112</v>
      </c>
    </row>
    <row r="35" spans="1:2" ht="12.75">
      <c r="A35" s="11"/>
      <c r="B35" t="s">
        <v>113</v>
      </c>
    </row>
    <row r="36" ht="12.75">
      <c r="A36" s="16"/>
    </row>
    <row r="37" spans="1:12" ht="12.75">
      <c r="A37" s="17" t="s">
        <v>114</v>
      </c>
      <c r="K37" t="s">
        <v>29</v>
      </c>
      <c r="L37" s="101"/>
    </row>
    <row r="38" spans="1:11" ht="12.75">
      <c r="A38" s="193">
        <f>'ERR &amp; Sensitivity analysis'!D14</f>
        <v>0.4</v>
      </c>
      <c r="B38" t="s">
        <v>115</v>
      </c>
      <c r="K38" s="197">
        <f>A38*A34*B28*A17</f>
        <v>30000000.000000004</v>
      </c>
    </row>
    <row r="39" ht="12.75">
      <c r="B39" t="s">
        <v>116</v>
      </c>
    </row>
    <row r="41" spans="1:10" ht="12.75">
      <c r="A41" s="8" t="s">
        <v>117</v>
      </c>
      <c r="J41" t="s">
        <v>398</v>
      </c>
    </row>
    <row r="42" spans="1:11" ht="12.75">
      <c r="A42" s="15">
        <v>0.9</v>
      </c>
      <c r="B42" t="s">
        <v>118</v>
      </c>
      <c r="J42">
        <f>0.93+0.84</f>
        <v>1.77</v>
      </c>
      <c r="K42" s="90">
        <f>J42/5</f>
        <v>0.354</v>
      </c>
    </row>
    <row r="43" spans="2:12" ht="12.75">
      <c r="B43" t="s">
        <v>119</v>
      </c>
      <c r="J43">
        <f>0.9+0.81</f>
        <v>1.71</v>
      </c>
      <c r="K43" s="90">
        <f>J43/5</f>
        <v>0.34199999999999997</v>
      </c>
      <c r="L43" t="s">
        <v>396</v>
      </c>
    </row>
    <row r="44" spans="10:11" ht="12.75">
      <c r="J44">
        <f>0.85+0.77</f>
        <v>1.62</v>
      </c>
      <c r="K44" s="90">
        <f>J44/5</f>
        <v>0.324</v>
      </c>
    </row>
    <row r="45" spans="1:13" ht="12.75">
      <c r="A45" s="8" t="s">
        <v>120</v>
      </c>
      <c r="M45" s="90"/>
    </row>
    <row r="46" spans="1:9" ht="12.75">
      <c r="A46" s="195">
        <f>1793*5/E4</f>
        <v>0.8965</v>
      </c>
      <c r="B46" s="18" t="s">
        <v>121</v>
      </c>
      <c r="H46" s="19">
        <f>50000/E4</f>
        <v>5</v>
      </c>
      <c r="I46" t="s">
        <v>122</v>
      </c>
    </row>
    <row r="47" ht="12.75">
      <c r="B47" s="18" t="s">
        <v>123</v>
      </c>
    </row>
    <row r="49" ht="12.75">
      <c r="A49" s="8" t="s">
        <v>124</v>
      </c>
    </row>
    <row r="50" spans="1:9" ht="12.75">
      <c r="A50" s="195">
        <f>(3409-1793)*5/E4</f>
        <v>0.808</v>
      </c>
      <c r="B50" s="18" t="s">
        <v>356</v>
      </c>
      <c r="H50" s="19">
        <f>50000/E4</f>
        <v>5</v>
      </c>
      <c r="I50" t="s">
        <v>122</v>
      </c>
    </row>
    <row r="51" ht="12.75">
      <c r="B51" s="18" t="s">
        <v>123</v>
      </c>
    </row>
    <row r="52" spans="1:2" ht="12.75">
      <c r="A52" s="67"/>
      <c r="B52" s="18"/>
    </row>
    <row r="53" ht="12.75">
      <c r="A53" s="7" t="s">
        <v>125</v>
      </c>
    </row>
    <row r="54" ht="12.75">
      <c r="A54" t="s">
        <v>126</v>
      </c>
    </row>
    <row r="55" spans="1:15" ht="12.75">
      <c r="A55" t="s">
        <v>127</v>
      </c>
      <c r="K55" s="70"/>
      <c r="L55" s="70"/>
      <c r="M55" s="70"/>
      <c r="N55" s="70"/>
      <c r="O55" s="70"/>
    </row>
    <row r="56" spans="6:11" ht="12.75">
      <c r="F56" s="70"/>
      <c r="G56" s="70"/>
      <c r="H56" s="70"/>
      <c r="I56" s="70"/>
      <c r="J56" s="70"/>
      <c r="K56" s="70"/>
    </row>
    <row r="57" ht="12.75">
      <c r="A57" s="8" t="s">
        <v>128</v>
      </c>
    </row>
    <row r="58" spans="1:10" ht="12.75">
      <c r="A58" s="72">
        <v>2005</v>
      </c>
      <c r="B58" s="72">
        <f>A58+1</f>
        <v>2006</v>
      </c>
      <c r="C58" s="72">
        <f aca="true" t="shared" si="2" ref="C58:J58">B58+1</f>
        <v>2007</v>
      </c>
      <c r="D58" s="72">
        <f t="shared" si="2"/>
        <v>2008</v>
      </c>
      <c r="E58" s="72">
        <f t="shared" si="2"/>
        <v>2009</v>
      </c>
      <c r="F58" s="72">
        <f t="shared" si="2"/>
        <v>2010</v>
      </c>
      <c r="G58" s="72">
        <f t="shared" si="2"/>
        <v>2011</v>
      </c>
      <c r="H58" s="72">
        <f t="shared" si="2"/>
        <v>2012</v>
      </c>
      <c r="I58" s="72">
        <f t="shared" si="2"/>
        <v>2013</v>
      </c>
      <c r="J58" s="72">
        <f t="shared" si="2"/>
        <v>2014</v>
      </c>
    </row>
    <row r="59" spans="1:10" ht="12.75">
      <c r="A59" s="69">
        <f aca="true" t="shared" si="3" ref="A59:J59">$A$17*A31*$A$34*$A$38*$A$42*($A$46/$H$46)</f>
        <v>5010538.499999999</v>
      </c>
      <c r="B59" s="69">
        <f t="shared" si="3"/>
        <v>5185907.347499997</v>
      </c>
      <c r="C59" s="69">
        <f t="shared" si="3"/>
        <v>5367414.1046624975</v>
      </c>
      <c r="D59" s="69">
        <f t="shared" si="3"/>
        <v>5555273.598325686</v>
      </c>
      <c r="E59" s="69">
        <f t="shared" si="3"/>
        <v>5749708.174267084</v>
      </c>
      <c r="F59" s="69">
        <f t="shared" si="3"/>
        <v>5950947.960366429</v>
      </c>
      <c r="G59" s="69">
        <f t="shared" si="3"/>
        <v>6159231.138979254</v>
      </c>
      <c r="H59" s="69">
        <f t="shared" si="3"/>
        <v>6374804.228843528</v>
      </c>
      <c r="I59" s="69">
        <f t="shared" si="3"/>
        <v>6597922.376853051</v>
      </c>
      <c r="J59" s="69">
        <f t="shared" si="3"/>
        <v>6828849.660042909</v>
      </c>
    </row>
    <row r="61" ht="12.75">
      <c r="A61" s="8" t="s">
        <v>129</v>
      </c>
    </row>
    <row r="62" spans="1:10" ht="12.75">
      <c r="A62" s="72">
        <v>2005</v>
      </c>
      <c r="B62" s="72">
        <f>A62+1</f>
        <v>2006</v>
      </c>
      <c r="C62" s="72">
        <f aca="true" t="shared" si="4" ref="C62:J62">B62+1</f>
        <v>2007</v>
      </c>
      <c r="D62" s="72">
        <f t="shared" si="4"/>
        <v>2008</v>
      </c>
      <c r="E62" s="72">
        <f t="shared" si="4"/>
        <v>2009</v>
      </c>
      <c r="F62" s="72">
        <f t="shared" si="4"/>
        <v>2010</v>
      </c>
      <c r="G62" s="72">
        <f t="shared" si="4"/>
        <v>2011</v>
      </c>
      <c r="H62" s="72">
        <f t="shared" si="4"/>
        <v>2012</v>
      </c>
      <c r="I62" s="72">
        <f t="shared" si="4"/>
        <v>2013</v>
      </c>
      <c r="J62" s="72">
        <f t="shared" si="4"/>
        <v>2014</v>
      </c>
    </row>
    <row r="63" spans="1:10" s="9" customFormat="1" ht="12.75">
      <c r="A63" s="69">
        <f aca="true" t="shared" si="5" ref="A63:J63">$A$17*A31*$A$34*$A$38*$A$42*($A$50/$H$50)</f>
        <v>4515912</v>
      </c>
      <c r="B63" s="69">
        <f t="shared" si="5"/>
        <v>4673968.919999999</v>
      </c>
      <c r="C63" s="69">
        <f t="shared" si="5"/>
        <v>4837557.832199999</v>
      </c>
      <c r="D63" s="69">
        <f t="shared" si="5"/>
        <v>5006872.356326999</v>
      </c>
      <c r="E63" s="69">
        <f t="shared" si="5"/>
        <v>5182112.888798444</v>
      </c>
      <c r="F63" s="69">
        <f t="shared" si="5"/>
        <v>5363486.839906387</v>
      </c>
      <c r="G63" s="69">
        <f t="shared" si="5"/>
        <v>5551208.879303111</v>
      </c>
      <c r="H63" s="69">
        <f t="shared" si="5"/>
        <v>5745501.1900787195</v>
      </c>
      <c r="I63" s="69">
        <f t="shared" si="5"/>
        <v>5946593.7317314735</v>
      </c>
      <c r="J63" s="69">
        <f t="shared" si="5"/>
        <v>6154724.512342077</v>
      </c>
    </row>
    <row r="65" ht="13.5" thickBot="1">
      <c r="A65" s="8" t="s">
        <v>130</v>
      </c>
    </row>
    <row r="66" spans="1:10" ht="12.75">
      <c r="A66" s="78">
        <v>2005</v>
      </c>
      <c r="B66" s="79">
        <f>A66+1</f>
        <v>2006</v>
      </c>
      <c r="C66" s="79">
        <f aca="true" t="shared" si="6" ref="C66:J66">B66+1</f>
        <v>2007</v>
      </c>
      <c r="D66" s="79">
        <f t="shared" si="6"/>
        <v>2008</v>
      </c>
      <c r="E66" s="79">
        <f t="shared" si="6"/>
        <v>2009</v>
      </c>
      <c r="F66" s="79">
        <f t="shared" si="6"/>
        <v>2010</v>
      </c>
      <c r="G66" s="79">
        <f t="shared" si="6"/>
        <v>2011</v>
      </c>
      <c r="H66" s="79">
        <f t="shared" si="6"/>
        <v>2012</v>
      </c>
      <c r="I66" s="79">
        <f t="shared" si="6"/>
        <v>2013</v>
      </c>
      <c r="J66" s="80">
        <f t="shared" si="6"/>
        <v>2014</v>
      </c>
    </row>
    <row r="67" spans="1:12" ht="13.5" thickBot="1">
      <c r="A67" s="75">
        <f>A59+A63</f>
        <v>9526450.5</v>
      </c>
      <c r="B67" s="76">
        <f aca="true" t="shared" si="7" ref="B67:J67">B59+B63</f>
        <v>9859876.267499996</v>
      </c>
      <c r="C67" s="76">
        <f t="shared" si="7"/>
        <v>10204971.936862497</v>
      </c>
      <c r="D67" s="76">
        <f t="shared" si="7"/>
        <v>10562145.954652686</v>
      </c>
      <c r="E67" s="76">
        <f t="shared" si="7"/>
        <v>10931821.063065529</v>
      </c>
      <c r="F67" s="76">
        <f t="shared" si="7"/>
        <v>11314434.800272815</v>
      </c>
      <c r="G67" s="76">
        <f t="shared" si="7"/>
        <v>11710440.018282365</v>
      </c>
      <c r="H67" s="76">
        <f t="shared" si="7"/>
        <v>12120305.418922247</v>
      </c>
      <c r="I67" s="76">
        <f t="shared" si="7"/>
        <v>12544516.108584523</v>
      </c>
      <c r="J67" s="77">
        <f t="shared" si="7"/>
        <v>12983574.172384985</v>
      </c>
      <c r="L67" s="89">
        <f>SUM(A67:J67)</f>
        <v>111758536.24052763</v>
      </c>
    </row>
    <row r="69" ht="12.75">
      <c r="A69" s="7" t="s">
        <v>131</v>
      </c>
    </row>
    <row r="70" spans="1:9" ht="12.75">
      <c r="A70" t="s">
        <v>132</v>
      </c>
      <c r="I70" s="196">
        <f>1/3</f>
        <v>0.3333333333333333</v>
      </c>
    </row>
    <row r="71" ht="12.75">
      <c r="A71" t="s">
        <v>133</v>
      </c>
    </row>
    <row r="72" ht="13.5" thickBot="1">
      <c r="A72" t="s">
        <v>134</v>
      </c>
    </row>
    <row r="73" spans="1:10" ht="12.75">
      <c r="A73" s="78">
        <v>2005</v>
      </c>
      <c r="B73" s="79">
        <f>A73+1</f>
        <v>2006</v>
      </c>
      <c r="C73" s="79">
        <f aca="true" t="shared" si="8" ref="C73:J73">B73+1</f>
        <v>2007</v>
      </c>
      <c r="D73" s="79">
        <f t="shared" si="8"/>
        <v>2008</v>
      </c>
      <c r="E73" s="79">
        <f t="shared" si="8"/>
        <v>2009</v>
      </c>
      <c r="F73" s="79">
        <f t="shared" si="8"/>
        <v>2010</v>
      </c>
      <c r="G73" s="79">
        <f t="shared" si="8"/>
        <v>2011</v>
      </c>
      <c r="H73" s="79">
        <f t="shared" si="8"/>
        <v>2012</v>
      </c>
      <c r="I73" s="79">
        <f t="shared" si="8"/>
        <v>2013</v>
      </c>
      <c r="J73" s="80">
        <f t="shared" si="8"/>
        <v>2014</v>
      </c>
    </row>
    <row r="74" spans="1:12" ht="13.5" thickBot="1">
      <c r="A74" s="75">
        <f>A67/3</f>
        <v>3175483.5</v>
      </c>
      <c r="B74" s="76">
        <f aca="true" t="shared" si="9" ref="B74:J74">B67/3</f>
        <v>3286625.422499999</v>
      </c>
      <c r="C74" s="76">
        <f t="shared" si="9"/>
        <v>3401657.3122874987</v>
      </c>
      <c r="D74" s="76">
        <f t="shared" si="9"/>
        <v>3520715.318217562</v>
      </c>
      <c r="E74" s="76">
        <f t="shared" si="9"/>
        <v>3643940.3543551764</v>
      </c>
      <c r="F74" s="76">
        <f t="shared" si="9"/>
        <v>3771478.266757605</v>
      </c>
      <c r="G74" s="76">
        <f t="shared" si="9"/>
        <v>3903480.006094122</v>
      </c>
      <c r="H74" s="76">
        <f t="shared" si="9"/>
        <v>4040101.806307416</v>
      </c>
      <c r="I74" s="76">
        <f t="shared" si="9"/>
        <v>4181505.3695281744</v>
      </c>
      <c r="J74" s="77">
        <f t="shared" si="9"/>
        <v>4327858.057461661</v>
      </c>
      <c r="L74" s="89">
        <f>SUM(A74:J74)</f>
        <v>37252845.41350921</v>
      </c>
    </row>
    <row r="75" spans="1:10" ht="12.75">
      <c r="A75" s="83"/>
      <c r="B75" s="83"/>
      <c r="C75" s="83"/>
      <c r="D75" s="83"/>
      <c r="E75" s="83"/>
      <c r="F75" s="83"/>
      <c r="G75" s="83"/>
      <c r="H75" s="83"/>
      <c r="I75" s="83"/>
      <c r="J75" s="83"/>
    </row>
    <row r="76" spans="1:10" ht="12.75">
      <c r="A76" s="85" t="s">
        <v>411</v>
      </c>
      <c r="B76" s="83"/>
      <c r="C76" s="83"/>
      <c r="D76" s="83"/>
      <c r="E76" s="83"/>
      <c r="F76" s="83"/>
      <c r="G76" s="83"/>
      <c r="H76" s="83"/>
      <c r="I76" s="83"/>
      <c r="J76" s="83"/>
    </row>
    <row r="77" spans="1:10" ht="12.75">
      <c r="A77" s="84"/>
      <c r="B77" s="84"/>
      <c r="C77" s="84"/>
      <c r="D77" s="84"/>
      <c r="E77" s="84"/>
      <c r="F77" s="84"/>
      <c r="G77" s="84"/>
      <c r="H77" s="84"/>
      <c r="I77" s="92"/>
      <c r="J77" s="84"/>
    </row>
    <row r="78" spans="1:10" ht="12.75">
      <c r="A78" s="86">
        <v>350000</v>
      </c>
      <c r="B78" s="84" t="s">
        <v>364</v>
      </c>
      <c r="C78" s="84"/>
      <c r="D78" s="84"/>
      <c r="E78" s="84"/>
      <c r="F78" s="84"/>
      <c r="G78" s="84"/>
      <c r="H78" s="84"/>
      <c r="I78" s="84"/>
      <c r="J78" s="84"/>
    </row>
    <row r="79" spans="1:10" ht="12.75">
      <c r="A79" s="84">
        <f>+A78*12/$E$4</f>
        <v>420</v>
      </c>
      <c r="B79" s="84" t="s">
        <v>365</v>
      </c>
      <c r="C79" s="84"/>
      <c r="D79" s="84"/>
      <c r="E79" s="84"/>
      <c r="F79" s="84"/>
      <c r="G79" s="84"/>
      <c r="H79" s="84"/>
      <c r="I79" s="84"/>
      <c r="J79" s="84"/>
    </row>
    <row r="80" spans="1:10" ht="12.75">
      <c r="A80" s="86">
        <v>2</v>
      </c>
      <c r="B80" s="84" t="s">
        <v>366</v>
      </c>
      <c r="C80" s="84"/>
      <c r="D80" s="84"/>
      <c r="E80" s="84"/>
      <c r="F80" s="84"/>
      <c r="G80" s="84"/>
      <c r="H80" s="84"/>
      <c r="I80" s="84"/>
      <c r="J80" s="84"/>
    </row>
    <row r="81" spans="1:10" ht="12.75">
      <c r="A81" s="86">
        <v>1</v>
      </c>
      <c r="B81" s="84" t="s">
        <v>367</v>
      </c>
      <c r="C81" s="84"/>
      <c r="D81" s="84"/>
      <c r="E81" s="84"/>
      <c r="F81" s="84"/>
      <c r="G81" s="84"/>
      <c r="H81" s="84"/>
      <c r="I81" s="84"/>
      <c r="J81" s="84"/>
    </row>
    <row r="82" spans="1:10" ht="12.75">
      <c r="A82" s="86">
        <v>4</v>
      </c>
      <c r="B82" s="84" t="s">
        <v>368</v>
      </c>
      <c r="C82" s="84"/>
      <c r="D82" s="84"/>
      <c r="E82" s="84"/>
      <c r="F82" s="84"/>
      <c r="G82" s="84"/>
      <c r="H82" s="84"/>
      <c r="I82" s="84"/>
      <c r="J82" s="84"/>
    </row>
    <row r="83" spans="1:10" ht="12.75">
      <c r="A83" s="86">
        <v>250000</v>
      </c>
      <c r="B83" s="84" t="s">
        <v>369</v>
      </c>
      <c r="C83" s="84"/>
      <c r="D83" s="84"/>
      <c r="E83" s="84"/>
      <c r="F83" s="84"/>
      <c r="G83" s="84"/>
      <c r="H83" s="84"/>
      <c r="I83" s="84"/>
      <c r="J83" s="84"/>
    </row>
    <row r="84" spans="1:10" ht="12.75">
      <c r="A84" s="86">
        <f>+A83/A82</f>
        <v>62500</v>
      </c>
      <c r="B84" s="84" t="s">
        <v>370</v>
      </c>
      <c r="C84" s="84"/>
      <c r="D84" s="84"/>
      <c r="E84" s="84"/>
      <c r="F84" s="84"/>
      <c r="G84" s="84"/>
      <c r="H84" s="84"/>
      <c r="I84" s="84"/>
      <c r="J84" s="84"/>
    </row>
    <row r="85" spans="1:10" ht="12.75">
      <c r="A85" s="84">
        <f>+A84*A80*A79</f>
        <v>52500000</v>
      </c>
      <c r="B85" s="84" t="s">
        <v>371</v>
      </c>
      <c r="C85" s="84"/>
      <c r="D85" s="84"/>
      <c r="E85" s="84"/>
      <c r="F85" s="84"/>
      <c r="G85" s="84"/>
      <c r="H85" s="84"/>
      <c r="I85" s="84"/>
      <c r="J85" s="84"/>
    </row>
    <row r="86" spans="1:10" ht="12.75">
      <c r="A86" s="87">
        <v>0.7</v>
      </c>
      <c r="B86" s="84" t="s">
        <v>399</v>
      </c>
      <c r="C86" s="84"/>
      <c r="D86" s="84"/>
      <c r="E86" s="84"/>
      <c r="F86" s="84"/>
      <c r="G86" s="84"/>
      <c r="H86" s="84"/>
      <c r="I86" s="84"/>
      <c r="J86" s="84"/>
    </row>
    <row r="87" spans="1:10" ht="12.75">
      <c r="A87" s="199">
        <f>+A85*A86</f>
        <v>36750000</v>
      </c>
      <c r="B87" s="199" t="s">
        <v>397</v>
      </c>
      <c r="C87" s="199"/>
      <c r="D87" s="84"/>
      <c r="E87" s="198" t="s">
        <v>30</v>
      </c>
      <c r="F87" s="84"/>
      <c r="G87" s="84"/>
      <c r="H87" s="84"/>
      <c r="I87" s="84"/>
      <c r="J87" s="84"/>
    </row>
    <row r="89" s="6" customFormat="1" ht="12.75">
      <c r="A89" s="5" t="s">
        <v>135</v>
      </c>
    </row>
    <row r="90" s="21" customFormat="1" ht="12.75">
      <c r="A90" s="20" t="s">
        <v>136</v>
      </c>
    </row>
    <row r="91" ht="12.75">
      <c r="A91" s="22" t="s">
        <v>137</v>
      </c>
    </row>
    <row r="92" ht="12.75">
      <c r="A92" s="22" t="s">
        <v>138</v>
      </c>
    </row>
    <row r="93" ht="12.75">
      <c r="A93" s="22" t="s">
        <v>139</v>
      </c>
    </row>
    <row r="94" ht="12.75">
      <c r="A94" s="22" t="s">
        <v>140</v>
      </c>
    </row>
    <row r="95" ht="12.75">
      <c r="A95" s="22" t="s">
        <v>141</v>
      </c>
    </row>
    <row r="96" ht="12.75">
      <c r="A96" s="22" t="s">
        <v>142</v>
      </c>
    </row>
    <row r="97" spans="1:6" ht="12.75">
      <c r="A97" s="22" t="s">
        <v>143</v>
      </c>
      <c r="B97" s="11">
        <f>35%*39446/10.5</f>
        <v>1314.8666666666666</v>
      </c>
      <c r="C97" t="s">
        <v>144</v>
      </c>
      <c r="E97" s="13">
        <f>$B$97*1000000000/$E$4</f>
        <v>131486666.66666666</v>
      </c>
      <c r="F97" s="12" t="s">
        <v>79</v>
      </c>
    </row>
    <row r="98" spans="1:6" ht="12.75">
      <c r="A98" s="15">
        <v>0.25</v>
      </c>
      <c r="B98" s="22" t="s">
        <v>80</v>
      </c>
      <c r="E98" s="13">
        <f>$E$97*A98</f>
        <v>32871666.666666664</v>
      </c>
      <c r="F98" t="s">
        <v>81</v>
      </c>
    </row>
    <row r="99" spans="1:6" ht="12.75">
      <c r="A99" s="22" t="s">
        <v>82</v>
      </c>
      <c r="E99" s="15">
        <v>0.01</v>
      </c>
      <c r="F99" t="s">
        <v>83</v>
      </c>
    </row>
    <row r="100" ht="12.75">
      <c r="A100" s="22" t="s">
        <v>382</v>
      </c>
    </row>
    <row r="101" ht="13.5" thickBot="1">
      <c r="A101" s="22" t="s">
        <v>383</v>
      </c>
    </row>
    <row r="102" spans="1:2" ht="13.5" thickBot="1">
      <c r="A102" s="30">
        <f>$E$98*E99</f>
        <v>328716.6666666666</v>
      </c>
      <c r="B102" t="s">
        <v>320</v>
      </c>
    </row>
    <row r="103" ht="12.75">
      <c r="A103" s="13"/>
    </row>
    <row r="104" s="21" customFormat="1" ht="12.75">
      <c r="A104" s="20" t="s">
        <v>146</v>
      </c>
    </row>
    <row r="105" ht="12.75">
      <c r="A105" s="22" t="s">
        <v>147</v>
      </c>
    </row>
    <row r="106" ht="12.75">
      <c r="A106" s="22"/>
    </row>
    <row r="107" s="21" customFormat="1" ht="12.75">
      <c r="A107" s="20" t="s">
        <v>309</v>
      </c>
    </row>
    <row r="108" ht="12.75">
      <c r="A108" s="22" t="s">
        <v>291</v>
      </c>
    </row>
    <row r="109" ht="12.75">
      <c r="A109" s="23"/>
    </row>
    <row r="110" s="21" customFormat="1" ht="12.75">
      <c r="A110" s="20" t="s">
        <v>292</v>
      </c>
    </row>
    <row r="111" ht="12.75">
      <c r="A111" s="22" t="s">
        <v>149</v>
      </c>
    </row>
    <row r="112" ht="12.75">
      <c r="A112" s="22" t="s">
        <v>150</v>
      </c>
    </row>
    <row r="113" ht="12.75">
      <c r="A113" s="22" t="s">
        <v>151</v>
      </c>
    </row>
    <row r="114" ht="12.75">
      <c r="A114" s="22" t="s">
        <v>152</v>
      </c>
    </row>
    <row r="115" ht="12.75">
      <c r="A115" s="22" t="s">
        <v>153</v>
      </c>
    </row>
    <row r="116" ht="12.75">
      <c r="A116" s="22" t="s">
        <v>154</v>
      </c>
    </row>
    <row r="117" ht="12.75">
      <c r="A117" s="22" t="s">
        <v>155</v>
      </c>
    </row>
    <row r="118" ht="12.75">
      <c r="A118" s="22" t="s">
        <v>156</v>
      </c>
    </row>
    <row r="119" ht="12.75">
      <c r="A119" s="22" t="s">
        <v>157</v>
      </c>
    </row>
    <row r="120" ht="12.75">
      <c r="A120" s="22" t="s">
        <v>158</v>
      </c>
    </row>
    <row r="121" ht="12.75">
      <c r="A121" s="22" t="s">
        <v>159</v>
      </c>
    </row>
    <row r="123" s="21" customFormat="1" ht="12.75">
      <c r="A123" s="20" t="s">
        <v>293</v>
      </c>
    </row>
    <row r="124" ht="12.75">
      <c r="A124" s="22" t="s">
        <v>160</v>
      </c>
    </row>
    <row r="125" ht="12.75">
      <c r="A125" s="22" t="s">
        <v>161</v>
      </c>
    </row>
    <row r="126" ht="12.75">
      <c r="A126" s="22" t="s">
        <v>162</v>
      </c>
    </row>
    <row r="127" spans="1:8" ht="12.75">
      <c r="A127" s="22" t="s">
        <v>163</v>
      </c>
      <c r="D127" s="24">
        <v>1.4</v>
      </c>
      <c r="E127" t="s">
        <v>164</v>
      </c>
      <c r="G127" s="11">
        <f>$D$127*1000000000/$E$4</f>
        <v>140000</v>
      </c>
      <c r="H127" t="s">
        <v>352</v>
      </c>
    </row>
    <row r="128" spans="1:8" ht="12.75">
      <c r="A128" s="29">
        <v>3</v>
      </c>
      <c r="B128" t="s">
        <v>353</v>
      </c>
      <c r="D128" s="24"/>
      <c r="G128" s="11">
        <f>G127*A128</f>
        <v>420000</v>
      </c>
      <c r="H128" t="s">
        <v>354</v>
      </c>
    </row>
    <row r="129" spans="1:10" ht="12.75">
      <c r="A129" s="22" t="s">
        <v>384</v>
      </c>
      <c r="D129" s="24"/>
      <c r="F129" s="70"/>
      <c r="G129" s="71"/>
      <c r="H129" s="70"/>
      <c r="I129" s="70"/>
      <c r="J129" s="70"/>
    </row>
    <row r="130" spans="1:10" ht="12.75">
      <c r="A130" s="22" t="s">
        <v>70</v>
      </c>
      <c r="D130" s="24"/>
      <c r="E130" s="38">
        <v>0.3</v>
      </c>
      <c r="F130" s="22" t="s">
        <v>71</v>
      </c>
      <c r="G130" s="13"/>
      <c r="I130" s="15">
        <v>0.15</v>
      </c>
      <c r="J130" t="s">
        <v>72</v>
      </c>
    </row>
    <row r="131" spans="1:8" ht="12.75">
      <c r="A131" s="22" t="s">
        <v>73</v>
      </c>
      <c r="D131" s="22"/>
      <c r="G131" s="25">
        <f>G128*(1+E130+I130)</f>
        <v>609000</v>
      </c>
      <c r="H131" t="s">
        <v>74</v>
      </c>
    </row>
    <row r="132" spans="1:7" ht="12.75">
      <c r="A132" t="s">
        <v>75</v>
      </c>
      <c r="D132" s="24"/>
      <c r="G132" s="13"/>
    </row>
    <row r="133" spans="1:7" ht="12.75">
      <c r="A133" t="s">
        <v>76</v>
      </c>
      <c r="D133" s="22"/>
      <c r="E133" s="15">
        <v>0.25</v>
      </c>
      <c r="F133" t="s">
        <v>77</v>
      </c>
      <c r="G133" s="13"/>
    </row>
    <row r="134" spans="1:8" ht="12.75">
      <c r="A134" s="22" t="s">
        <v>78</v>
      </c>
      <c r="D134" s="24"/>
      <c r="G134" s="29">
        <f>G128*E133*(1-2/3)</f>
        <v>35000.00000000001</v>
      </c>
      <c r="H134" t="s">
        <v>166</v>
      </c>
    </row>
    <row r="135" spans="1:7" ht="13.5" thickBot="1">
      <c r="A135" s="26" t="s">
        <v>167</v>
      </c>
      <c r="B135" s="22"/>
      <c r="D135" s="24"/>
      <c r="G135" s="13"/>
    </row>
    <row r="136" spans="1:7" ht="13.5" thickBot="1">
      <c r="A136" s="68">
        <f>$G$131</f>
        <v>609000</v>
      </c>
      <c r="B136" s="22" t="s">
        <v>168</v>
      </c>
      <c r="D136" s="24"/>
      <c r="G136" s="13"/>
    </row>
    <row r="137" spans="1:7" ht="13.5" thickBot="1">
      <c r="A137" s="68">
        <f>$G$131+$G$134</f>
        <v>644000</v>
      </c>
      <c r="B137" s="22" t="s">
        <v>169</v>
      </c>
      <c r="D137" s="24"/>
      <c r="G137" s="13"/>
    </row>
    <row r="138" ht="12.75">
      <c r="A138" s="23"/>
    </row>
    <row r="139" s="21" customFormat="1" ht="12.75">
      <c r="A139" s="20" t="s">
        <v>170</v>
      </c>
    </row>
    <row r="140" ht="12.75">
      <c r="A140" s="22" t="s">
        <v>171</v>
      </c>
    </row>
    <row r="141" spans="1:8" ht="12.75">
      <c r="A141" t="s">
        <v>172</v>
      </c>
      <c r="B141" s="27">
        <v>0.25</v>
      </c>
      <c r="C141" t="s">
        <v>173</v>
      </c>
      <c r="G141" s="11">
        <v>736812</v>
      </c>
      <c r="H141" t="s">
        <v>174</v>
      </c>
    </row>
    <row r="142" spans="1:7" ht="12.75">
      <c r="A142" s="28">
        <v>0.19</v>
      </c>
      <c r="B142" t="s">
        <v>341</v>
      </c>
      <c r="F142" s="9">
        <v>3</v>
      </c>
      <c r="G142" t="s">
        <v>342</v>
      </c>
    </row>
    <row r="143" spans="1:9" ht="12.75">
      <c r="A143" t="s">
        <v>343</v>
      </c>
      <c r="B143" s="28">
        <f>A142*F142</f>
        <v>0.5700000000000001</v>
      </c>
      <c r="C143" t="s">
        <v>344</v>
      </c>
      <c r="G143" s="9"/>
      <c r="H143" s="200">
        <f>G141*B141</f>
        <v>184203</v>
      </c>
      <c r="I143" t="s">
        <v>345</v>
      </c>
    </row>
    <row r="144" ht="12.75">
      <c r="A144" s="22" t="s">
        <v>346</v>
      </c>
    </row>
    <row r="145" spans="1:8" ht="12.75">
      <c r="A145" s="22" t="s">
        <v>347</v>
      </c>
      <c r="G145" s="11">
        <f>H143*B143*2</f>
        <v>209991.42</v>
      </c>
      <c r="H145" t="s">
        <v>348</v>
      </c>
    </row>
    <row r="146" spans="1:3" s="70" customFormat="1" ht="12.75">
      <c r="A146" s="70" t="s">
        <v>349</v>
      </c>
      <c r="B146" s="95">
        <f>G145/2</f>
        <v>104995.71</v>
      </c>
      <c r="C146" s="70" t="s">
        <v>385</v>
      </c>
    </row>
    <row r="147" ht="13.5" thickBot="1">
      <c r="A147" s="22" t="s">
        <v>350</v>
      </c>
    </row>
    <row r="148" spans="1:2" ht="13.5" thickBot="1">
      <c r="A148" s="33">
        <f>(G145+B146)</f>
        <v>314987.13</v>
      </c>
      <c r="B148" t="s">
        <v>175</v>
      </c>
    </row>
    <row r="149" ht="12.75">
      <c r="A149" s="22"/>
    </row>
    <row r="150" s="21" customFormat="1" ht="12.75">
      <c r="A150" s="20" t="s">
        <v>319</v>
      </c>
    </row>
    <row r="151" ht="12.75">
      <c r="A151" s="26" t="s">
        <v>176</v>
      </c>
    </row>
    <row r="152" spans="1:8" ht="12.75">
      <c r="A152" s="22" t="s">
        <v>177</v>
      </c>
      <c r="G152" s="9">
        <v>10</v>
      </c>
      <c r="H152" t="s">
        <v>178</v>
      </c>
    </row>
    <row r="153" spans="1:4" ht="12.75">
      <c r="A153" s="22" t="s">
        <v>179</v>
      </c>
      <c r="C153" s="11">
        <f>G152*1000000000/$E$4</f>
        <v>1000000</v>
      </c>
      <c r="D153" t="s">
        <v>339</v>
      </c>
    </row>
    <row r="154" spans="1:10" ht="12.75">
      <c r="A154" s="22" t="s">
        <v>340</v>
      </c>
      <c r="B154" s="15">
        <v>0.05</v>
      </c>
      <c r="C154" t="s">
        <v>180</v>
      </c>
      <c r="G154" s="9">
        <f>C153*B154</f>
        <v>50000</v>
      </c>
      <c r="H154" s="70" t="s">
        <v>386</v>
      </c>
      <c r="I154" s="70"/>
      <c r="J154" s="70"/>
    </row>
    <row r="155" ht="13.5" thickBot="1">
      <c r="A155" s="22" t="s">
        <v>181</v>
      </c>
    </row>
    <row r="156" spans="1:2" ht="13.5" thickBot="1">
      <c r="A156" s="33">
        <f>G154</f>
        <v>50000</v>
      </c>
      <c r="B156" t="s">
        <v>182</v>
      </c>
    </row>
    <row r="157" ht="12.75">
      <c r="A157" s="22"/>
    </row>
    <row r="158" s="21" customFormat="1" ht="12.75">
      <c r="A158" s="20" t="s">
        <v>310</v>
      </c>
    </row>
    <row r="159" ht="12.75">
      <c r="A159" s="22" t="s">
        <v>294</v>
      </c>
    </row>
    <row r="160" ht="12.75">
      <c r="A160" s="22" t="s">
        <v>394</v>
      </c>
    </row>
    <row r="161" spans="1:2" ht="12.75">
      <c r="A161" s="22" t="s">
        <v>295</v>
      </c>
      <c r="B161" s="11"/>
    </row>
    <row r="162" spans="1:2" ht="12.75">
      <c r="A162" s="22"/>
      <c r="B162" s="11"/>
    </row>
    <row r="163" s="21" customFormat="1" ht="12.75">
      <c r="A163" s="20" t="s">
        <v>296</v>
      </c>
    </row>
    <row r="164" ht="12.75">
      <c r="A164" s="22" t="s">
        <v>183</v>
      </c>
    </row>
    <row r="165" ht="12.75">
      <c r="A165" s="22" t="s">
        <v>297</v>
      </c>
    </row>
    <row r="166" spans="1:2" ht="12.75">
      <c r="A166" s="11">
        <v>5155000</v>
      </c>
      <c r="B166" t="s">
        <v>184</v>
      </c>
    </row>
    <row r="167" ht="12.75">
      <c r="A167" s="22" t="s">
        <v>185</v>
      </c>
    </row>
    <row r="168" ht="12.75">
      <c r="A168" s="22" t="s">
        <v>186</v>
      </c>
    </row>
    <row r="169" spans="1:4" ht="12.75">
      <c r="A169" s="22" t="s">
        <v>187</v>
      </c>
      <c r="C169" s="201">
        <f>'ERR &amp; Sensitivity analysis'!D16</f>
        <v>0.39</v>
      </c>
      <c r="D169" t="s">
        <v>298</v>
      </c>
    </row>
    <row r="170" spans="1:4" ht="12.75">
      <c r="A170" s="22" t="s">
        <v>299</v>
      </c>
      <c r="B170" s="15">
        <v>0.2</v>
      </c>
      <c r="C170" t="s">
        <v>300</v>
      </c>
      <c r="D170" s="11"/>
    </row>
    <row r="171" spans="1:7" ht="13.5" thickBot="1">
      <c r="A171" s="29">
        <f>A166*(1-B170)</f>
        <v>4124000</v>
      </c>
      <c r="B171" t="s">
        <v>321</v>
      </c>
      <c r="G171" s="29"/>
    </row>
    <row r="172" spans="1:2" ht="13.5" thickBot="1">
      <c r="A172" s="30">
        <f>C169*A171</f>
        <v>1608360</v>
      </c>
      <c r="B172" t="s">
        <v>387</v>
      </c>
    </row>
    <row r="173" spans="1:2" ht="12.75">
      <c r="A173" s="22"/>
      <c r="B173" s="11"/>
    </row>
    <row r="174" s="21" customFormat="1" ht="12.75">
      <c r="A174" s="20" t="s">
        <v>301</v>
      </c>
    </row>
    <row r="175" ht="12.75">
      <c r="A175" s="22" t="s">
        <v>189</v>
      </c>
    </row>
    <row r="176" spans="1:8" ht="12.75">
      <c r="A176" t="s">
        <v>190</v>
      </c>
      <c r="D176" s="9">
        <v>50</v>
      </c>
      <c r="E176" t="s">
        <v>191</v>
      </c>
      <c r="H176" s="22"/>
    </row>
    <row r="177" spans="1:5" ht="12.75">
      <c r="A177" t="s">
        <v>192</v>
      </c>
      <c r="D177" s="9">
        <v>500</v>
      </c>
      <c r="E177" t="s">
        <v>193</v>
      </c>
    </row>
    <row r="178" spans="1:4" ht="12.75">
      <c r="A178" s="22" t="s">
        <v>194</v>
      </c>
      <c r="C178" s="9">
        <v>420</v>
      </c>
      <c r="D178" t="s">
        <v>195</v>
      </c>
    </row>
    <row r="179" spans="1:9" ht="12.75">
      <c r="A179" s="22" t="s">
        <v>196</v>
      </c>
      <c r="C179" s="193">
        <f>'ERR &amp; Sensitivity analysis'!D17</f>
        <v>0.05</v>
      </c>
      <c r="D179" t="s">
        <v>197</v>
      </c>
      <c r="H179" s="11">
        <f>D176*D177*C178*2*C179</f>
        <v>1050000</v>
      </c>
      <c r="I179" t="s">
        <v>165</v>
      </c>
    </row>
    <row r="180" spans="1:3" s="70" customFormat="1" ht="13.5" thickBot="1">
      <c r="A180" s="95" t="s">
        <v>388</v>
      </c>
      <c r="C180" s="96"/>
    </row>
    <row r="181" spans="1:3" ht="13.5" thickBot="1">
      <c r="A181" s="33">
        <f>H179</f>
        <v>1050000</v>
      </c>
      <c r="B181" t="s">
        <v>188</v>
      </c>
      <c r="C181" s="9"/>
    </row>
    <row r="182" ht="12.75">
      <c r="A182" s="22"/>
    </row>
    <row r="183" s="21" customFormat="1" ht="12.75">
      <c r="A183" s="20" t="s">
        <v>302</v>
      </c>
    </row>
    <row r="184" ht="12.75">
      <c r="A184" s="22" t="s">
        <v>198</v>
      </c>
    </row>
    <row r="185" ht="12.75">
      <c r="A185" s="22" t="s">
        <v>199</v>
      </c>
    </row>
    <row r="186" spans="1:3" ht="12.75">
      <c r="A186" s="26" t="s">
        <v>200</v>
      </c>
      <c r="B186" s="29">
        <v>23000</v>
      </c>
      <c r="C186" t="s">
        <v>201</v>
      </c>
    </row>
    <row r="187" ht="12.75">
      <c r="A187" s="22" t="s">
        <v>202</v>
      </c>
    </row>
    <row r="188" ht="12.75">
      <c r="A188" s="22" t="s">
        <v>203</v>
      </c>
    </row>
    <row r="189" ht="12.75">
      <c r="A189" s="22" t="s">
        <v>204</v>
      </c>
    </row>
    <row r="190" spans="1:10" ht="12.75">
      <c r="A190" s="22" t="s">
        <v>205</v>
      </c>
      <c r="I190" s="31">
        <f>28.7%*10746*$E$5</f>
        <v>13.2616386</v>
      </c>
      <c r="J190" t="s">
        <v>144</v>
      </c>
    </row>
    <row r="191" spans="1:10" ht="12.75">
      <c r="A191" s="11">
        <f>I190*1000000000/$E$4</f>
        <v>1326163.86</v>
      </c>
      <c r="B191" t="s">
        <v>206</v>
      </c>
      <c r="G191" s="15">
        <v>0.1</v>
      </c>
      <c r="H191" s="22" t="s">
        <v>207</v>
      </c>
      <c r="J191" s="11">
        <f>G191*A191</f>
        <v>132616.38600000003</v>
      </c>
    </row>
    <row r="192" spans="1:11" ht="13.5" thickBot="1">
      <c r="A192" s="22" t="s">
        <v>351</v>
      </c>
      <c r="D192" s="15">
        <v>0.15</v>
      </c>
      <c r="E192" t="s">
        <v>208</v>
      </c>
      <c r="H192" s="11"/>
      <c r="K192" s="11"/>
    </row>
    <row r="193" spans="1:2" ht="13.5" thickBot="1">
      <c r="A193" s="30">
        <f>J191*D192</f>
        <v>19892.457900000005</v>
      </c>
      <c r="B193" t="s">
        <v>389</v>
      </c>
    </row>
    <row r="195" s="21" customFormat="1" ht="12.75">
      <c r="A195" s="20" t="s">
        <v>303</v>
      </c>
    </row>
    <row r="196" ht="12.75">
      <c r="A196" s="22" t="s">
        <v>148</v>
      </c>
    </row>
    <row r="198" s="21" customFormat="1" ht="12.75">
      <c r="A198" s="20" t="s">
        <v>304</v>
      </c>
    </row>
    <row r="199" ht="12.75">
      <c r="A199" s="22" t="s">
        <v>148</v>
      </c>
    </row>
    <row r="200" ht="12.75">
      <c r="A200" s="23"/>
    </row>
    <row r="201" s="21" customFormat="1" ht="12.75">
      <c r="A201" s="20" t="s">
        <v>305</v>
      </c>
    </row>
    <row r="202" ht="12.75">
      <c r="A202" s="22" t="s">
        <v>290</v>
      </c>
    </row>
    <row r="203" ht="12.75">
      <c r="A203" s="22" t="s">
        <v>209</v>
      </c>
    </row>
    <row r="204" ht="12.75">
      <c r="A204" s="22" t="s">
        <v>210</v>
      </c>
    </row>
    <row r="205" ht="12.75">
      <c r="A205" s="22" t="s">
        <v>211</v>
      </c>
    </row>
    <row r="206" ht="12.75">
      <c r="A206" t="s">
        <v>212</v>
      </c>
    </row>
    <row r="207" spans="1:9" ht="12.75">
      <c r="A207" s="95" t="s">
        <v>213</v>
      </c>
      <c r="B207" s="70"/>
      <c r="C207" s="70"/>
      <c r="D207" s="202">
        <f>'ERR &amp; Sensitivity analysis'!D15</f>
        <v>0.006</v>
      </c>
      <c r="E207" t="s">
        <v>214</v>
      </c>
      <c r="H207" s="11">
        <f>39446/10.5</f>
        <v>3756.7619047619046</v>
      </c>
      <c r="I207" s="12" t="s">
        <v>215</v>
      </c>
    </row>
    <row r="208" spans="1:10" ht="13.5" thickBot="1">
      <c r="A208" t="s">
        <v>216</v>
      </c>
      <c r="C208" s="29">
        <f>D207*H207</f>
        <v>22.54057142857143</v>
      </c>
      <c r="D208" t="s">
        <v>217</v>
      </c>
      <c r="F208" s="11"/>
      <c r="G208" s="70"/>
      <c r="H208" s="70"/>
      <c r="I208" s="70"/>
      <c r="J208" s="70"/>
    </row>
    <row r="209" spans="1:2" ht="13.5" thickBot="1">
      <c r="A209" s="33">
        <f>C208*1000000000/E4</f>
        <v>2254057.142857143</v>
      </c>
      <c r="B209" t="s">
        <v>306</v>
      </c>
    </row>
    <row r="210" ht="12.75">
      <c r="A210" s="22"/>
    </row>
    <row r="211" s="21" customFormat="1" ht="12.75">
      <c r="A211" s="20" t="s">
        <v>307</v>
      </c>
    </row>
    <row r="212" ht="12.75">
      <c r="A212" s="22" t="s">
        <v>218</v>
      </c>
    </row>
    <row r="213" ht="12.75">
      <c r="A213" s="22" t="s">
        <v>219</v>
      </c>
    </row>
    <row r="214" spans="1:8" ht="12.75">
      <c r="A214" s="22" t="s">
        <v>220</v>
      </c>
      <c r="G214" s="11">
        <v>300000</v>
      </c>
      <c r="H214" t="s">
        <v>221</v>
      </c>
    </row>
    <row r="215" ht="12.75">
      <c r="A215" s="22" t="s">
        <v>222</v>
      </c>
    </row>
    <row r="216" spans="1:10" ht="12.75">
      <c r="A216" s="9">
        <v>4</v>
      </c>
      <c r="B216" s="22" t="s">
        <v>223</v>
      </c>
      <c r="F216" s="11">
        <v>4200000</v>
      </c>
      <c r="G216" t="s">
        <v>224</v>
      </c>
      <c r="J216" s="15">
        <v>0.3</v>
      </c>
    </row>
    <row r="217" spans="1:8" ht="12.75">
      <c r="A217" t="s">
        <v>334</v>
      </c>
      <c r="G217" s="11">
        <f>A216*F216*J216*G214/1000000000/10.5</f>
        <v>144</v>
      </c>
      <c r="H217" t="s">
        <v>335</v>
      </c>
    </row>
    <row r="218" spans="1:9" ht="12.75">
      <c r="A218" s="22" t="s">
        <v>336</v>
      </c>
      <c r="H218" s="15">
        <v>0.05</v>
      </c>
      <c r="I218" t="s">
        <v>337</v>
      </c>
    </row>
    <row r="219" spans="1:10" ht="13.5" thickBot="1">
      <c r="A219" s="22" t="s">
        <v>338</v>
      </c>
      <c r="D219" s="29">
        <f>H218*G217</f>
        <v>7.2</v>
      </c>
      <c r="E219" t="s">
        <v>217</v>
      </c>
      <c r="G219" s="97"/>
      <c r="H219" s="70"/>
      <c r="I219" s="70"/>
      <c r="J219" s="70"/>
    </row>
    <row r="220" spans="1:2" ht="13.5" thickBot="1">
      <c r="A220" s="30">
        <f>D219*1000000000/E4</f>
        <v>720000</v>
      </c>
      <c r="B220" t="s">
        <v>225</v>
      </c>
    </row>
    <row r="222" s="21" customFormat="1" ht="12.75">
      <c r="A222" s="20" t="s">
        <v>308</v>
      </c>
    </row>
    <row r="223" ht="12.75">
      <c r="A223" s="22" t="s">
        <v>148</v>
      </c>
    </row>
    <row r="224" ht="12.75">
      <c r="A224" s="23"/>
    </row>
    <row r="225" s="21" customFormat="1" ht="12.75">
      <c r="A225" s="20" t="s">
        <v>311</v>
      </c>
    </row>
    <row r="226" ht="12.75">
      <c r="A226" s="22" t="s">
        <v>148</v>
      </c>
    </row>
    <row r="227" ht="12.75">
      <c r="A227" s="23"/>
    </row>
    <row r="228" s="21" customFormat="1" ht="12.75">
      <c r="A228" s="20" t="s">
        <v>312</v>
      </c>
    </row>
    <row r="229" ht="12.75">
      <c r="A229" s="22" t="s">
        <v>148</v>
      </c>
    </row>
    <row r="230" ht="12.75">
      <c r="A230" s="23"/>
    </row>
    <row r="231" s="21" customFormat="1" ht="12.75">
      <c r="A231" s="20" t="s">
        <v>313</v>
      </c>
    </row>
    <row r="232" ht="12.75">
      <c r="A232" s="22" t="s">
        <v>314</v>
      </c>
    </row>
    <row r="233" ht="12.75">
      <c r="A233" s="22" t="s">
        <v>315</v>
      </c>
    </row>
    <row r="234" ht="12.75">
      <c r="A234" s="23"/>
    </row>
    <row r="235" s="21" customFormat="1" ht="12.75">
      <c r="A235" s="20" t="s">
        <v>316</v>
      </c>
    </row>
    <row r="236" ht="12.75">
      <c r="A236" s="22" t="s">
        <v>317</v>
      </c>
    </row>
    <row r="237" spans="1:9" ht="12.75">
      <c r="A237" s="22" t="s">
        <v>226</v>
      </c>
      <c r="H237" s="15">
        <v>0.8</v>
      </c>
      <c r="I237" t="s">
        <v>227</v>
      </c>
    </row>
    <row r="238" spans="1:4" ht="12.75">
      <c r="A238" s="22" t="s">
        <v>228</v>
      </c>
      <c r="C238" s="11">
        <f>389*(1-0.127)*(1.098)*(1.053)</f>
        <v>392.64001381799994</v>
      </c>
      <c r="D238" t="s">
        <v>328</v>
      </c>
    </row>
    <row r="239" spans="1:10" ht="12.75">
      <c r="A239" s="34">
        <v>0.25</v>
      </c>
      <c r="B239" t="s">
        <v>329</v>
      </c>
      <c r="F239" s="31">
        <f>H237*C238*A239</f>
        <v>78.5280027636</v>
      </c>
      <c r="G239" t="s">
        <v>217</v>
      </c>
      <c r="I239" s="11">
        <f>F239*1000000000/$E$4</f>
        <v>7852800.2763600005</v>
      </c>
      <c r="J239" t="s">
        <v>145</v>
      </c>
    </row>
    <row r="240" spans="1:9" ht="12.75">
      <c r="A240" s="35" t="s">
        <v>330</v>
      </c>
      <c r="F240" s="15">
        <v>0.04</v>
      </c>
      <c r="G240" t="s">
        <v>229</v>
      </c>
      <c r="I240" s="11"/>
    </row>
    <row r="241" spans="1:9" ht="12.75">
      <c r="A241" s="22" t="s">
        <v>230</v>
      </c>
      <c r="B241" s="11">
        <f>I239*F240</f>
        <v>314112.0110544</v>
      </c>
      <c r="C241" s="35" t="s">
        <v>331</v>
      </c>
      <c r="F241" s="31"/>
      <c r="I241" s="11"/>
    </row>
    <row r="242" spans="1:9" ht="12.75">
      <c r="A242" t="s">
        <v>333</v>
      </c>
      <c r="F242" s="31"/>
      <c r="I242" s="11"/>
    </row>
    <row r="243" spans="1:9" ht="12.75">
      <c r="A243" s="35" t="s">
        <v>395</v>
      </c>
      <c r="F243" s="31"/>
      <c r="I243" s="11"/>
    </row>
    <row r="244" spans="1:9" s="70" customFormat="1" ht="12.75">
      <c r="A244" s="82">
        <v>0.5</v>
      </c>
      <c r="B244" s="98" t="s">
        <v>332</v>
      </c>
      <c r="F244" s="97">
        <f>B241*A244</f>
        <v>157056.0055272</v>
      </c>
      <c r="G244" s="70" t="s">
        <v>145</v>
      </c>
      <c r="I244" s="97"/>
    </row>
    <row r="245" spans="1:9" s="70" customFormat="1" ht="13.5" thickBot="1">
      <c r="A245" s="95" t="s">
        <v>390</v>
      </c>
      <c r="I245" s="97"/>
    </row>
    <row r="246" spans="1:9" ht="13.5" thickBot="1">
      <c r="A246" s="30">
        <f>(B241+F244)</f>
        <v>471168.0165816</v>
      </c>
      <c r="B246" t="s">
        <v>231</v>
      </c>
      <c r="F246" s="36"/>
      <c r="I246" s="11"/>
    </row>
    <row r="247" ht="12.75">
      <c r="A247" s="22"/>
    </row>
    <row r="248" s="21" customFormat="1" ht="12.75">
      <c r="A248" s="20" t="s">
        <v>318</v>
      </c>
    </row>
    <row r="249" ht="12.75">
      <c r="A249" s="22" t="s">
        <v>232</v>
      </c>
    </row>
    <row r="250" spans="1:13" ht="12.75">
      <c r="A250" s="22" t="s">
        <v>233</v>
      </c>
      <c r="H250" s="31">
        <f>E5*8270000*43%</f>
        <v>15291.23</v>
      </c>
      <c r="I250" t="s">
        <v>234</v>
      </c>
      <c r="L250" s="100"/>
      <c r="M250" s="70"/>
    </row>
    <row r="251" spans="1:3" ht="12.75">
      <c r="A251" s="22" t="s">
        <v>235</v>
      </c>
      <c r="B251" s="11">
        <f>148568*(1+20%)^(2004-2002)*E5</f>
        <v>919.933056</v>
      </c>
      <c r="C251" t="s">
        <v>236</v>
      </c>
    </row>
    <row r="252" spans="1:2" ht="12.75">
      <c r="A252" s="22" t="s">
        <v>237</v>
      </c>
      <c r="B252" s="9"/>
    </row>
    <row r="253" spans="1:9" ht="12.75">
      <c r="A253" s="22" t="s">
        <v>238</v>
      </c>
      <c r="B253" s="9"/>
      <c r="E253" s="31">
        <f>(45042.9+(45042.9-34447.2)*(2004-2001)*(2/3))/1000</f>
        <v>66.23430000000002</v>
      </c>
      <c r="F253" t="s">
        <v>239</v>
      </c>
      <c r="H253" s="11">
        <f>E253*1000000000/E4</f>
        <v>6623430.000000002</v>
      </c>
      <c r="I253" t="s">
        <v>240</v>
      </c>
    </row>
    <row r="254" spans="1:4" ht="12.75">
      <c r="A254" t="s">
        <v>241</v>
      </c>
      <c r="C254" s="32">
        <v>0.003</v>
      </c>
      <c r="D254" t="s">
        <v>242</v>
      </c>
    </row>
    <row r="255" spans="1:10" ht="12.75">
      <c r="A255" s="11">
        <f>H253*C254</f>
        <v>19870.290000000005</v>
      </c>
      <c r="B255" t="s">
        <v>243</v>
      </c>
      <c r="C255" s="22" t="s">
        <v>244</v>
      </c>
      <c r="I255" s="11">
        <v>1800</v>
      </c>
      <c r="J255" t="s">
        <v>245</v>
      </c>
    </row>
    <row r="256" spans="1:9" ht="12.75">
      <c r="A256" t="s">
        <v>246</v>
      </c>
      <c r="H256" s="11"/>
      <c r="I256" s="37"/>
    </row>
    <row r="257" spans="1:8" ht="12.75">
      <c r="A257" s="22" t="s">
        <v>247</v>
      </c>
      <c r="G257" s="11">
        <f>I255</f>
        <v>1800</v>
      </c>
      <c r="H257" t="s">
        <v>248</v>
      </c>
    </row>
    <row r="258" spans="1:8" ht="12.75">
      <c r="A258" s="22" t="s">
        <v>249</v>
      </c>
      <c r="G258" s="9">
        <v>2</v>
      </c>
      <c r="H258" t="s">
        <v>250</v>
      </c>
    </row>
    <row r="259" spans="1:6" ht="12.75">
      <c r="A259" s="11">
        <v>4200000</v>
      </c>
      <c r="B259" t="s">
        <v>224</v>
      </c>
      <c r="E259" s="15">
        <v>0.3</v>
      </c>
      <c r="F259" t="s">
        <v>326</v>
      </c>
    </row>
    <row r="260" spans="1:10" ht="12.75">
      <c r="A260" s="11">
        <f>G257*G258*A259*E259/10.5</f>
        <v>432000000</v>
      </c>
      <c r="B260" t="s">
        <v>327</v>
      </c>
      <c r="F260" s="11">
        <f>A260/E4</f>
        <v>43200</v>
      </c>
      <c r="G260" t="s">
        <v>251</v>
      </c>
      <c r="J260" s="15"/>
    </row>
    <row r="261" spans="1:9" ht="12.75">
      <c r="A261" t="s">
        <v>355</v>
      </c>
      <c r="B261" s="9"/>
      <c r="D261" s="38">
        <v>0.3</v>
      </c>
      <c r="E261" s="22" t="s">
        <v>252</v>
      </c>
      <c r="H261" s="11">
        <f>F260*D261</f>
        <v>12960</v>
      </c>
      <c r="I261" s="22" t="s">
        <v>253</v>
      </c>
    </row>
    <row r="262" spans="1:8" s="70" customFormat="1" ht="12.75">
      <c r="A262" s="70" t="s">
        <v>391</v>
      </c>
      <c r="H262" s="95"/>
    </row>
    <row r="263" ht="12.75">
      <c r="A263" t="s">
        <v>254</v>
      </c>
    </row>
    <row r="264" ht="13.5" thickBot="1"/>
    <row r="265" spans="1:3" ht="12.75">
      <c r="A265" s="39" t="s">
        <v>255</v>
      </c>
      <c r="B265" s="40" t="s">
        <v>256</v>
      </c>
      <c r="C265" s="41"/>
    </row>
    <row r="266" spans="1:3" ht="12.75">
      <c r="A266" s="42">
        <v>2005</v>
      </c>
      <c r="B266" s="43">
        <v>0</v>
      </c>
      <c r="C266" s="44"/>
    </row>
    <row r="267" spans="1:3" ht="12.75">
      <c r="A267" s="42">
        <v>2006</v>
      </c>
      <c r="B267" s="43">
        <v>0</v>
      </c>
      <c r="C267" s="44"/>
    </row>
    <row r="268" spans="1:3" ht="12.75">
      <c r="A268" s="42">
        <v>2007</v>
      </c>
      <c r="B268" s="43">
        <f>($A$255+$H$261*(A268-$A$267))</f>
        <v>32830.29000000001</v>
      </c>
      <c r="C268" s="44"/>
    </row>
    <row r="269" spans="1:3" ht="12.75">
      <c r="A269" s="42">
        <v>2008</v>
      </c>
      <c r="B269" s="43">
        <f aca="true" t="shared" si="10" ref="B269:B275">($A$255+$H$261*(A269-$A$267))</f>
        <v>45790.29000000001</v>
      </c>
      <c r="C269" s="44"/>
    </row>
    <row r="270" spans="1:3" ht="12.75">
      <c r="A270" s="42">
        <v>2009</v>
      </c>
      <c r="B270" s="43">
        <f t="shared" si="10"/>
        <v>58750.29000000001</v>
      </c>
      <c r="C270" s="44"/>
    </row>
    <row r="271" spans="1:3" ht="12.75">
      <c r="A271" s="42">
        <v>2010</v>
      </c>
      <c r="B271" s="43">
        <f t="shared" si="10"/>
        <v>71710.29000000001</v>
      </c>
      <c r="C271" s="44"/>
    </row>
    <row r="272" spans="1:3" ht="12.75">
      <c r="A272" s="42">
        <v>2011</v>
      </c>
      <c r="B272" s="43">
        <f>($A$255+$H$261*(A272-$A$267))</f>
        <v>84670.29000000001</v>
      </c>
      <c r="C272" s="44"/>
    </row>
    <row r="273" spans="1:3" ht="12.75">
      <c r="A273" s="42">
        <v>2012</v>
      </c>
      <c r="B273" s="43">
        <f t="shared" si="10"/>
        <v>97630.29000000001</v>
      </c>
      <c r="C273" s="44"/>
    </row>
    <row r="274" spans="1:3" ht="12.75">
      <c r="A274" s="42">
        <v>2013</v>
      </c>
      <c r="B274" s="43">
        <f t="shared" si="10"/>
        <v>110590.29000000001</v>
      </c>
      <c r="C274" s="45"/>
    </row>
    <row r="275" spans="1:3" ht="13.5" thickBot="1">
      <c r="A275" s="46">
        <v>2014</v>
      </c>
      <c r="B275" s="47">
        <f t="shared" si="10"/>
        <v>123550.29000000001</v>
      </c>
      <c r="C275" s="48"/>
    </row>
    <row r="276" spans="1:2" ht="12.75">
      <c r="A276" s="49"/>
      <c r="B276" s="18"/>
    </row>
    <row r="277" s="6" customFormat="1" ht="12.75">
      <c r="A277" s="5" t="s">
        <v>257</v>
      </c>
    </row>
    <row r="278" s="21" customFormat="1" ht="12.75">
      <c r="A278" s="20" t="s">
        <v>378</v>
      </c>
    </row>
    <row r="279" ht="12.75">
      <c r="A279" t="s">
        <v>148</v>
      </c>
    </row>
    <row r="281" s="21" customFormat="1" ht="12.75">
      <c r="A281" s="93" t="s">
        <v>379</v>
      </c>
    </row>
    <row r="282" ht="12.75">
      <c r="A282" t="s">
        <v>148</v>
      </c>
    </row>
    <row r="284" s="21" customFormat="1" ht="12.75">
      <c r="A284" s="20" t="s">
        <v>380</v>
      </c>
    </row>
    <row r="285" ht="12.75">
      <c r="A285" t="s">
        <v>148</v>
      </c>
    </row>
    <row r="287" s="21" customFormat="1" ht="12.75">
      <c r="A287" s="20" t="s">
        <v>381</v>
      </c>
    </row>
    <row r="288" ht="12.75">
      <c r="A288" t="s">
        <v>148</v>
      </c>
    </row>
    <row r="290" ht="12.75">
      <c r="A290" t="s">
        <v>84</v>
      </c>
    </row>
    <row r="291" ht="12.75">
      <c r="A291" t="s">
        <v>85</v>
      </c>
    </row>
    <row r="292" ht="12.75">
      <c r="A292" t="s">
        <v>86</v>
      </c>
    </row>
    <row r="293" ht="12.75">
      <c r="A293" t="s">
        <v>87</v>
      </c>
    </row>
  </sheetData>
  <printOptions/>
  <pageMargins left="0.75" right="0.75" top="1" bottom="1" header="0.5" footer="0.5"/>
  <pageSetup fitToHeight="7" fitToWidth="1" horizontalDpi="600" verticalDpi="600" orientation="landscape"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Andersonsc</dc:creator>
  <cp:keywords/>
  <dc:description/>
  <cp:lastModifiedBy>defuser</cp:lastModifiedBy>
  <cp:lastPrinted>2006-01-04T01:58:30Z</cp:lastPrinted>
  <dcterms:created xsi:type="dcterms:W3CDTF">2005-01-18T14:45:47Z</dcterms:created>
  <dcterms:modified xsi:type="dcterms:W3CDTF">2008-04-14T15:38:57Z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