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9456" windowHeight="4452" activeTab="1"/>
  </bookViews>
  <sheets>
    <sheet name="ReadMe" sheetId="1" r:id="rId1"/>
    <sheet name="singleSpecies" sheetId="2" r:id="rId2"/>
    <sheet name="RegrOldLen" sheetId="3" r:id="rId3"/>
    <sheet name="GenOutput" sheetId="4" r:id="rId4"/>
    <sheet name="GEN_CET" sheetId="5" r:id="rId5"/>
    <sheet name="GEN_CET5" sheetId="6" r:id="rId6"/>
    <sheet name="GEN_CET dif" sheetId="7" r:id="rId7"/>
    <sheet name="Table 1" sheetId="8" r:id="rId8"/>
    <sheet name="Striped_Spotted" sheetId="9" r:id="rId9"/>
    <sheet name="complete species" sheetId="10" r:id="rId10"/>
    <sheet name="larese" sheetId="11" r:id="rId11"/>
  </sheets>
  <externalReferences>
    <externalReference r:id="rId14"/>
  </externalReferences>
  <definedNames>
    <definedName name="_edn1" localSheetId="10">'larese'!$A$278</definedName>
    <definedName name="_edn1" localSheetId="2">'RegrOldLen'!#REF!</definedName>
    <definedName name="_edn1" localSheetId="1">'singleSpecies'!$A$91</definedName>
    <definedName name="_ednref1" localSheetId="10">'larese'!$E$38</definedName>
    <definedName name="_ednref1" localSheetId="2">'RegrOldLen'!#REF!</definedName>
    <definedName name="_ednref1" localSheetId="1">'singleSpecies'!#REF!</definedName>
    <definedName name="_xlnm.Print_Titles" localSheetId="10">'larese'!$1:$1</definedName>
    <definedName name="_xlnm.Print_Titles" localSheetId="2">'RegrOldLen'!$1:$1</definedName>
    <definedName name="_xlnm.Print_Titles" localSheetId="1">'singleSpecies'!$1:$1</definedName>
  </definedNames>
  <calcPr fullCalcOnLoad="1"/>
</workbook>
</file>

<file path=xl/comments10.xml><?xml version="1.0" encoding="utf-8"?>
<comments xmlns="http://schemas.openxmlformats.org/spreadsheetml/2006/main">
  <authors>
    <author> </author>
  </authors>
  <commentList>
    <comment ref="D2" authorId="0">
      <text>
        <r>
          <rPr>
            <b/>
            <sz val="8"/>
            <rFont val="Tahoma"/>
            <family val="0"/>
          </rPr>
          <t xml:space="preserve"> :</t>
        </r>
        <r>
          <rPr>
            <sz val="8"/>
            <rFont val="Tahoma"/>
            <family val="0"/>
          </rPr>
          <t xml:space="preserve">
Gabriele 2001</t>
        </r>
      </text>
    </comment>
    <comment ref="O2" authorId="0">
      <text>
        <r>
          <rPr>
            <b/>
            <sz val="8"/>
            <rFont val="Tahoma"/>
            <family val="0"/>
          </rPr>
          <t xml:space="preserve"> :</t>
        </r>
        <r>
          <rPr>
            <sz val="8"/>
            <rFont val="Tahoma"/>
            <family val="0"/>
          </rPr>
          <t xml:space="preserve">
Clapham in Ency</t>
        </r>
      </text>
    </comment>
    <comment ref="D3" authorId="0">
      <text>
        <r>
          <rPr>
            <b/>
            <sz val="8"/>
            <rFont val="Tahoma"/>
            <family val="0"/>
          </rPr>
          <t xml:space="preserve"> :</t>
        </r>
        <r>
          <rPr>
            <sz val="8"/>
            <rFont val="Tahoma"/>
            <family val="0"/>
          </rPr>
          <t xml:space="preserve">
Reilly 1984</t>
        </r>
      </text>
    </comment>
    <comment ref="E3" authorId="0">
      <text>
        <r>
          <rPr>
            <b/>
            <sz val="8"/>
            <rFont val="Tahoma"/>
            <family val="0"/>
          </rPr>
          <t xml:space="preserve"> :</t>
        </r>
        <r>
          <rPr>
            <sz val="8"/>
            <rFont val="Tahoma"/>
            <family val="0"/>
          </rPr>
          <t xml:space="preserve">
Bradford 2006</t>
        </r>
      </text>
    </comment>
    <comment ref="O3" authorId="0">
      <text>
        <r>
          <rPr>
            <b/>
            <sz val="8"/>
            <rFont val="Tahoma"/>
            <family val="0"/>
          </rPr>
          <t xml:space="preserve"> :</t>
        </r>
        <r>
          <rPr>
            <sz val="8"/>
            <rFont val="Tahoma"/>
            <family val="0"/>
          </rPr>
          <t xml:space="preserve">
Swartz in Ency</t>
        </r>
      </text>
    </comment>
    <comment ref="E4" authorId="0">
      <text>
        <r>
          <rPr>
            <b/>
            <sz val="8"/>
            <rFont val="Tahoma"/>
            <family val="0"/>
          </rPr>
          <t xml:space="preserve"> :</t>
        </r>
        <r>
          <rPr>
            <sz val="8"/>
            <rFont val="Tahoma"/>
            <family val="0"/>
          </rPr>
          <t xml:space="preserve">
 Zeh 2002</t>
        </r>
      </text>
    </comment>
    <comment ref="O4" authorId="0">
      <text>
        <r>
          <rPr>
            <b/>
            <sz val="8"/>
            <rFont val="Tahoma"/>
            <family val="0"/>
          </rPr>
          <t xml:space="preserve"> :</t>
        </r>
        <r>
          <rPr>
            <sz val="8"/>
            <rFont val="Tahoma"/>
            <family val="0"/>
          </rPr>
          <t xml:space="preserve">
Rugh and Shelden in Ency</t>
        </r>
      </text>
    </comment>
    <comment ref="O5" authorId="0">
      <text>
        <r>
          <rPr>
            <b/>
            <sz val="8"/>
            <rFont val="Tahoma"/>
            <family val="0"/>
          </rPr>
          <t xml:space="preserve"> :</t>
        </r>
        <r>
          <rPr>
            <sz val="8"/>
            <rFont val="Tahoma"/>
            <family val="0"/>
          </rPr>
          <t xml:space="preserve">
Kenney in Ency</t>
        </r>
      </text>
    </comment>
    <comment ref="D6" authorId="0">
      <text>
        <r>
          <rPr>
            <b/>
            <sz val="8"/>
            <rFont val="Tahoma"/>
            <family val="0"/>
          </rPr>
          <t xml:space="preserve"> :</t>
        </r>
        <r>
          <rPr>
            <sz val="8"/>
            <rFont val="Tahoma"/>
            <family val="0"/>
          </rPr>
          <t xml:space="preserve">
Kraus 1990</t>
        </r>
      </text>
    </comment>
    <comment ref="H6" authorId="0">
      <text>
        <r>
          <rPr>
            <b/>
            <sz val="8"/>
            <rFont val="Tahoma"/>
            <family val="0"/>
          </rPr>
          <t xml:space="preserve"> :</t>
        </r>
        <r>
          <rPr>
            <sz val="8"/>
            <rFont val="Tahoma"/>
            <family val="0"/>
          </rPr>
          <t xml:space="preserve">
Hamilton et al 1998</t>
        </r>
      </text>
    </comment>
    <comment ref="O6" authorId="0">
      <text>
        <r>
          <rPr>
            <b/>
            <sz val="8"/>
            <rFont val="Tahoma"/>
            <family val="0"/>
          </rPr>
          <t xml:space="preserve"> :</t>
        </r>
        <r>
          <rPr>
            <sz val="8"/>
            <rFont val="Tahoma"/>
            <family val="0"/>
          </rPr>
          <t xml:space="preserve">
Kenney in Ency</t>
        </r>
      </text>
    </comment>
    <comment ref="M7" authorId="0">
      <text>
        <r>
          <rPr>
            <b/>
            <sz val="8"/>
            <rFont val="Tahoma"/>
            <family val="0"/>
          </rPr>
          <t xml:space="preserve"> :</t>
        </r>
        <r>
          <rPr>
            <sz val="8"/>
            <rFont val="Tahoma"/>
            <family val="0"/>
          </rPr>
          <t xml:space="preserve">
Burns &amp; Seaman 1986</t>
        </r>
      </text>
    </comment>
    <comment ref="D8" authorId="0">
      <text>
        <r>
          <rPr>
            <b/>
            <sz val="8"/>
            <rFont val="Tahoma"/>
            <family val="0"/>
          </rPr>
          <t xml:space="preserve"> :</t>
        </r>
        <r>
          <rPr>
            <sz val="8"/>
            <rFont val="Tahoma"/>
            <family val="0"/>
          </rPr>
          <t xml:space="preserve">
Lockyer 1998</t>
        </r>
      </text>
    </comment>
    <comment ref="E8" authorId="0">
      <text>
        <r>
          <rPr>
            <b/>
            <sz val="8"/>
            <rFont val="Tahoma"/>
            <family val="0"/>
          </rPr>
          <t xml:space="preserve"> :</t>
        </r>
        <r>
          <rPr>
            <sz val="8"/>
            <rFont val="Tahoma"/>
            <family val="0"/>
          </rPr>
          <t xml:space="preserve">
Lockyer 1998</t>
        </r>
      </text>
    </comment>
  </commentList>
</comments>
</file>

<file path=xl/comments2.xml><?xml version="1.0" encoding="utf-8"?>
<comments xmlns="http://schemas.openxmlformats.org/spreadsheetml/2006/main">
  <authors>
    <author> </author>
    <author>Barbara Taylor</author>
    <author>anonymous</author>
  </authors>
  <commentList>
    <comment ref="S2" authorId="0">
      <text>
        <r>
          <rPr>
            <b/>
            <sz val="8"/>
            <rFont val="Tahoma"/>
            <family val="0"/>
          </rPr>
          <t xml:space="preserve"> :</t>
        </r>
        <r>
          <rPr>
            <sz val="8"/>
            <rFont val="Tahoma"/>
            <family val="0"/>
          </rPr>
          <t xml:space="preserve">
Lockyer 1984</t>
        </r>
      </text>
    </comment>
    <comment ref="AE2" authorId="0">
      <text>
        <r>
          <rPr>
            <b/>
            <sz val="8"/>
            <rFont val="Tahoma"/>
            <family val="0"/>
          </rPr>
          <t xml:space="preserve"> :</t>
        </r>
        <r>
          <rPr>
            <sz val="8"/>
            <rFont val="Tahoma"/>
            <family val="0"/>
          </rPr>
          <t xml:space="preserve">
Kato 1992</t>
        </r>
      </text>
    </comment>
    <comment ref="AE3" authorId="0">
      <text>
        <r>
          <rPr>
            <b/>
            <sz val="8"/>
            <rFont val="Tahoma"/>
            <family val="0"/>
          </rPr>
          <t xml:space="preserve"> :</t>
        </r>
        <r>
          <rPr>
            <sz val="8"/>
            <rFont val="Tahoma"/>
            <family val="0"/>
          </rPr>
          <t xml:space="preserve">
Lockyer 1981</t>
        </r>
      </text>
    </comment>
    <comment ref="AE4" authorId="0">
      <text>
        <r>
          <rPr>
            <b/>
            <sz val="8"/>
            <rFont val="Tahoma"/>
            <family val="0"/>
          </rPr>
          <t xml:space="preserve"> :</t>
        </r>
        <r>
          <rPr>
            <sz val="8"/>
            <rFont val="Tahoma"/>
            <family val="0"/>
          </rPr>
          <t xml:space="preserve">
Lockyer 1974</t>
        </r>
      </text>
    </comment>
    <comment ref="AE5" authorId="0">
      <text>
        <r>
          <rPr>
            <b/>
            <sz val="8"/>
            <rFont val="Tahoma"/>
            <family val="0"/>
          </rPr>
          <t xml:space="preserve"> :</t>
        </r>
        <r>
          <rPr>
            <sz val="8"/>
            <rFont val="Tahoma"/>
            <family val="0"/>
          </rPr>
          <t xml:space="preserve">
Best 1977</t>
        </r>
      </text>
    </comment>
    <comment ref="AE7" authorId="0">
      <text>
        <r>
          <rPr>
            <b/>
            <sz val="8"/>
            <rFont val="Tahoma"/>
            <family val="0"/>
          </rPr>
          <t xml:space="preserve"> :</t>
        </r>
        <r>
          <rPr>
            <sz val="8"/>
            <rFont val="Tahoma"/>
            <family val="0"/>
          </rPr>
          <t xml:space="preserve">
Aguilar in Encylopedia</t>
        </r>
      </text>
    </comment>
    <comment ref="AE8" authorId="0">
      <text>
        <r>
          <rPr>
            <b/>
            <sz val="8"/>
            <rFont val="Tahoma"/>
            <family val="0"/>
          </rPr>
          <t xml:space="preserve"> :</t>
        </r>
        <r>
          <rPr>
            <sz val="8"/>
            <rFont val="Tahoma"/>
            <family val="0"/>
          </rPr>
          <t xml:space="preserve">
Sears in Encyclopedia</t>
        </r>
      </text>
    </comment>
    <comment ref="AE9" authorId="0">
      <text>
        <r>
          <rPr>
            <b/>
            <sz val="8"/>
            <rFont val="Tahoma"/>
            <family val="0"/>
          </rPr>
          <t xml:space="preserve"> :</t>
        </r>
        <r>
          <rPr>
            <sz val="8"/>
            <rFont val="Tahoma"/>
            <family val="0"/>
          </rPr>
          <t xml:space="preserve">
Clapham in Ency</t>
        </r>
      </text>
    </comment>
    <comment ref="E9" authorId="0">
      <text>
        <r>
          <rPr>
            <b/>
            <sz val="8"/>
            <rFont val="Tahoma"/>
            <family val="0"/>
          </rPr>
          <t xml:space="preserve"> :</t>
        </r>
        <r>
          <rPr>
            <sz val="8"/>
            <rFont val="Tahoma"/>
            <family val="0"/>
          </rPr>
          <t xml:space="preserve">
Gabriele 2001</t>
        </r>
      </text>
    </comment>
    <comment ref="G11" authorId="0">
      <text>
        <r>
          <rPr>
            <b/>
            <sz val="8"/>
            <rFont val="Tahoma"/>
            <family val="0"/>
          </rPr>
          <t xml:space="preserve"> :</t>
        </r>
        <r>
          <rPr>
            <sz val="8"/>
            <rFont val="Tahoma"/>
            <family val="0"/>
          </rPr>
          <t xml:space="preserve">
Bradford 2006</t>
        </r>
      </text>
    </comment>
    <comment ref="E11" authorId="0">
      <text>
        <r>
          <rPr>
            <b/>
            <sz val="8"/>
            <rFont val="Tahoma"/>
            <family val="0"/>
          </rPr>
          <t xml:space="preserve"> :</t>
        </r>
        <r>
          <rPr>
            <sz val="8"/>
            <rFont val="Tahoma"/>
            <family val="0"/>
          </rPr>
          <t xml:space="preserve">
Bradford 2006</t>
        </r>
      </text>
    </comment>
    <comment ref="AE11" authorId="0">
      <text>
        <r>
          <rPr>
            <b/>
            <sz val="8"/>
            <rFont val="Tahoma"/>
            <family val="0"/>
          </rPr>
          <t xml:space="preserve"> :</t>
        </r>
        <r>
          <rPr>
            <sz val="8"/>
            <rFont val="Tahoma"/>
            <family val="0"/>
          </rPr>
          <t xml:space="preserve">
Swartz in Ency</t>
        </r>
      </text>
    </comment>
    <comment ref="AE12" authorId="0">
      <text>
        <r>
          <rPr>
            <b/>
            <sz val="8"/>
            <rFont val="Tahoma"/>
            <family val="0"/>
          </rPr>
          <t xml:space="preserve"> :</t>
        </r>
        <r>
          <rPr>
            <sz val="8"/>
            <rFont val="Tahoma"/>
            <family val="0"/>
          </rPr>
          <t xml:space="preserve">
Rugh and Shelden in Ency</t>
        </r>
      </text>
    </comment>
    <comment ref="G12" authorId="0">
      <text>
        <r>
          <rPr>
            <b/>
            <sz val="8"/>
            <rFont val="Tahoma"/>
            <family val="0"/>
          </rPr>
          <t xml:space="preserve"> :</t>
        </r>
        <r>
          <rPr>
            <sz val="8"/>
            <rFont val="Tahoma"/>
            <family val="0"/>
          </rPr>
          <t xml:space="preserve">
 Zeh 2002</t>
        </r>
      </text>
    </comment>
    <comment ref="AE13" authorId="0">
      <text>
        <r>
          <rPr>
            <b/>
            <sz val="8"/>
            <rFont val="Tahoma"/>
            <family val="0"/>
          </rPr>
          <t xml:space="preserve"> :</t>
        </r>
        <r>
          <rPr>
            <sz val="8"/>
            <rFont val="Tahoma"/>
            <family val="0"/>
          </rPr>
          <t xml:space="preserve">
Kenney in Ency</t>
        </r>
      </text>
    </comment>
    <comment ref="L14" authorId="0">
      <text>
        <r>
          <rPr>
            <b/>
            <sz val="8"/>
            <rFont val="Tahoma"/>
            <family val="0"/>
          </rPr>
          <t xml:space="preserve"> :</t>
        </r>
        <r>
          <rPr>
            <sz val="8"/>
            <rFont val="Tahoma"/>
            <family val="0"/>
          </rPr>
          <t xml:space="preserve">
Hamilton et al 1998</t>
        </r>
      </text>
    </comment>
    <comment ref="AE14" authorId="0">
      <text>
        <r>
          <rPr>
            <b/>
            <sz val="8"/>
            <rFont val="Tahoma"/>
            <family val="0"/>
          </rPr>
          <t xml:space="preserve"> :</t>
        </r>
        <r>
          <rPr>
            <sz val="8"/>
            <rFont val="Tahoma"/>
            <family val="0"/>
          </rPr>
          <t xml:space="preserve">
Kenney in Ency</t>
        </r>
      </text>
    </comment>
    <comment ref="E14" authorId="0">
      <text>
        <r>
          <rPr>
            <b/>
            <sz val="8"/>
            <rFont val="Tahoma"/>
            <family val="0"/>
          </rPr>
          <t xml:space="preserve"> :</t>
        </r>
        <r>
          <rPr>
            <sz val="8"/>
            <rFont val="Tahoma"/>
            <family val="0"/>
          </rPr>
          <t xml:space="preserve">
Kraus 1990</t>
        </r>
      </text>
    </comment>
    <comment ref="E43" authorId="0">
      <text>
        <r>
          <rPr>
            <b/>
            <sz val="8"/>
            <rFont val="Tahoma"/>
            <family val="0"/>
          </rPr>
          <t xml:space="preserve"> :</t>
        </r>
        <r>
          <rPr>
            <sz val="8"/>
            <rFont val="Tahoma"/>
            <family val="0"/>
          </rPr>
          <t xml:space="preserve">
Lockyer 1998</t>
        </r>
      </text>
    </comment>
    <comment ref="G43" authorId="0">
      <text>
        <r>
          <rPr>
            <b/>
            <sz val="8"/>
            <rFont val="Tahoma"/>
            <family val="0"/>
          </rPr>
          <t xml:space="preserve"> :</t>
        </r>
        <r>
          <rPr>
            <sz val="8"/>
            <rFont val="Tahoma"/>
            <family val="0"/>
          </rPr>
          <t xml:space="preserve">
Lockyer 1998</t>
        </r>
      </text>
    </comment>
    <comment ref="S54" authorId="0">
      <text>
        <r>
          <rPr>
            <b/>
            <sz val="8"/>
            <rFont val="Tahoma"/>
            <family val="0"/>
          </rPr>
          <t xml:space="preserve"> :</t>
        </r>
        <r>
          <rPr>
            <sz val="8"/>
            <rFont val="Tahoma"/>
            <family val="0"/>
          </rPr>
          <t xml:space="preserve">
Heise 1997</t>
        </r>
      </text>
    </comment>
    <comment ref="Z54" authorId="0">
      <text>
        <r>
          <rPr>
            <b/>
            <sz val="8"/>
            <rFont val="Tahoma"/>
            <family val="0"/>
          </rPr>
          <t xml:space="preserve"> :</t>
        </r>
        <r>
          <rPr>
            <sz val="8"/>
            <rFont val="Tahoma"/>
            <family val="0"/>
          </rPr>
          <t xml:space="preserve">
Heise 1997</t>
        </r>
      </text>
    </comment>
    <comment ref="S55" authorId="0">
      <text>
        <r>
          <rPr>
            <b/>
            <sz val="8"/>
            <rFont val="Tahoma"/>
            <family val="0"/>
          </rPr>
          <t xml:space="preserve"> :</t>
        </r>
        <r>
          <rPr>
            <sz val="8"/>
            <rFont val="Tahoma"/>
            <family val="0"/>
          </rPr>
          <t xml:space="preserve">
Van W 1992 </t>
        </r>
      </text>
    </comment>
    <comment ref="X38" authorId="0">
      <text>
        <r>
          <rPr>
            <b/>
            <sz val="8"/>
            <rFont val="Tahoma"/>
            <family val="0"/>
          </rPr>
          <t xml:space="preserve"> :</t>
        </r>
        <r>
          <rPr>
            <sz val="8"/>
            <rFont val="Tahoma"/>
            <family val="0"/>
          </rPr>
          <t xml:space="preserve">
Burns &amp; Seaman 1986</t>
        </r>
      </text>
    </comment>
    <comment ref="L87" authorId="0">
      <text>
        <r>
          <rPr>
            <b/>
            <sz val="8"/>
            <rFont val="Tahoma"/>
            <family val="0"/>
          </rPr>
          <t xml:space="preserve"> :</t>
        </r>
        <r>
          <rPr>
            <sz val="8"/>
            <rFont val="Tahoma"/>
            <family val="0"/>
          </rPr>
          <t xml:space="preserve">
Species accnt 2007 IUCN</t>
        </r>
      </text>
    </comment>
    <comment ref="N52" authorId="0">
      <text>
        <r>
          <rPr>
            <b/>
            <sz val="8"/>
            <rFont val="Tahoma"/>
            <family val="0"/>
          </rPr>
          <t xml:space="preserve"> :</t>
        </r>
        <r>
          <rPr>
            <sz val="8"/>
            <rFont val="Tahoma"/>
            <family val="0"/>
          </rPr>
          <t xml:space="preserve">
not congeners</t>
        </r>
      </text>
    </comment>
    <comment ref="N53" authorId="0">
      <text>
        <r>
          <rPr>
            <b/>
            <sz val="8"/>
            <rFont val="Tahoma"/>
            <family val="0"/>
          </rPr>
          <t xml:space="preserve"> :</t>
        </r>
        <r>
          <rPr>
            <sz val="8"/>
            <rFont val="Tahoma"/>
            <family val="0"/>
          </rPr>
          <t xml:space="preserve">
not congeners</t>
        </r>
      </text>
    </comment>
    <comment ref="S52" authorId="0">
      <text>
        <r>
          <rPr>
            <b/>
            <sz val="8"/>
            <rFont val="Tahoma"/>
            <family val="0"/>
          </rPr>
          <t xml:space="preserve"> :</t>
        </r>
        <r>
          <rPr>
            <sz val="8"/>
            <rFont val="Tahoma"/>
            <family val="0"/>
          </rPr>
          <t xml:space="preserve">
not congeners</t>
        </r>
      </text>
    </comment>
    <comment ref="S53" authorId="0">
      <text>
        <r>
          <rPr>
            <b/>
            <sz val="8"/>
            <rFont val="Tahoma"/>
            <family val="0"/>
          </rPr>
          <t xml:space="preserve"> :</t>
        </r>
        <r>
          <rPr>
            <sz val="8"/>
            <rFont val="Tahoma"/>
            <family val="0"/>
          </rPr>
          <t xml:space="preserve">
not congeners</t>
        </r>
      </text>
    </comment>
    <comment ref="L50" authorId="0">
      <text>
        <r>
          <rPr>
            <b/>
            <sz val="8"/>
            <rFont val="Tahoma"/>
            <family val="0"/>
          </rPr>
          <t xml:space="preserve"> :</t>
        </r>
        <r>
          <rPr>
            <sz val="8"/>
            <rFont val="Tahoma"/>
            <family val="0"/>
          </rPr>
          <t xml:space="preserve">
Sergeant</t>
        </r>
      </text>
    </comment>
    <comment ref="S50" authorId="0">
      <text>
        <r>
          <rPr>
            <b/>
            <sz val="8"/>
            <rFont val="Tahoma"/>
            <family val="0"/>
          </rPr>
          <t xml:space="preserve"> :</t>
        </r>
        <r>
          <rPr>
            <sz val="8"/>
            <rFont val="Tahoma"/>
            <family val="0"/>
          </rPr>
          <t xml:space="preserve">
sum of lactation plus gestation from Sergeant</t>
        </r>
      </text>
    </comment>
    <comment ref="L77" authorId="0">
      <text>
        <r>
          <rPr>
            <b/>
            <sz val="8"/>
            <rFont val="Tahoma"/>
            <family val="0"/>
          </rPr>
          <t xml:space="preserve"> :</t>
        </r>
        <r>
          <rPr>
            <sz val="8"/>
            <rFont val="Tahoma"/>
            <family val="0"/>
          </rPr>
          <t xml:space="preserve">
Jefferson 1997 Mamm Species</t>
        </r>
      </text>
    </comment>
    <comment ref="Z17" authorId="0">
      <text>
        <r>
          <rPr>
            <b/>
            <sz val="8"/>
            <rFont val="Tahoma"/>
            <family val="0"/>
          </rPr>
          <t xml:space="preserve"> :</t>
        </r>
        <r>
          <rPr>
            <sz val="8"/>
            <rFont val="Tahoma"/>
            <family val="0"/>
          </rPr>
          <t xml:space="preserve">
see Kasuya/Brownell
also this is corrected from 71 and other parts of the table may need correction</t>
        </r>
      </text>
    </comment>
    <comment ref="G38" authorId="0">
      <text>
        <r>
          <rPr>
            <b/>
            <sz val="8"/>
            <rFont val="Tahoma"/>
            <family val="0"/>
          </rPr>
          <t xml:space="preserve"> :</t>
        </r>
        <r>
          <rPr>
            <sz val="8"/>
            <rFont val="Tahoma"/>
            <family val="0"/>
          </rPr>
          <t xml:space="preserve">
omitted estimate because it was from a harvested population and likely included both natural and human-caused mortality</t>
        </r>
      </text>
    </comment>
    <comment ref="G39" authorId="0">
      <text>
        <r>
          <rPr>
            <b/>
            <sz val="8"/>
            <rFont val="Tahoma"/>
            <family val="0"/>
          </rPr>
          <t xml:space="preserve"> :</t>
        </r>
        <r>
          <rPr>
            <sz val="8"/>
            <rFont val="Tahoma"/>
            <family val="0"/>
          </rPr>
          <t xml:space="preserve">
omitted estimate because it was from a harvested population and likely included both natural and human-caused mortality</t>
        </r>
      </text>
    </comment>
    <comment ref="K62" authorId="0">
      <text>
        <r>
          <rPr>
            <b/>
            <sz val="8"/>
            <rFont val="Tahoma"/>
            <family val="0"/>
          </rPr>
          <t xml:space="preserve"> :</t>
        </r>
        <r>
          <rPr>
            <sz val="8"/>
            <rFont val="Tahoma"/>
            <family val="0"/>
          </rPr>
          <t xml:space="preserve">
Myrick et al. 1986 Fish Bull</t>
        </r>
      </text>
    </comment>
    <comment ref="Z71" authorId="0">
      <text>
        <r>
          <rPr>
            <b/>
            <sz val="8"/>
            <rFont val="Tahoma"/>
            <family val="0"/>
          </rPr>
          <t xml:space="preserve"> :</t>
        </r>
        <r>
          <rPr>
            <sz val="8"/>
            <rFont val="Tahoma"/>
            <family val="0"/>
          </rPr>
          <t xml:space="preserve">
Kasuya &amp; Marsh</t>
        </r>
      </text>
    </comment>
    <comment ref="U12" authorId="0">
      <text>
        <r>
          <rPr>
            <b/>
            <sz val="8"/>
            <rFont val="Tahoma"/>
            <family val="0"/>
          </rPr>
          <t xml:space="preserve"> :</t>
        </r>
        <r>
          <rPr>
            <sz val="8"/>
            <rFont val="Tahoma"/>
            <family val="0"/>
          </rPr>
          <t xml:space="preserve">
Koski
</t>
        </r>
      </text>
    </comment>
    <comment ref="G8" authorId="0">
      <text>
        <r>
          <rPr>
            <b/>
            <sz val="8"/>
            <rFont val="Tahoma"/>
            <family val="0"/>
          </rPr>
          <t xml:space="preserve"> :</t>
        </r>
        <r>
          <rPr>
            <sz val="8"/>
            <rFont val="Tahoma"/>
            <family val="0"/>
          </rPr>
          <t xml:space="preserve">
Ramp et al. 2006</t>
        </r>
      </text>
    </comment>
    <comment ref="Z12" authorId="0">
      <text>
        <r>
          <rPr>
            <b/>
            <sz val="8"/>
            <rFont val="Tahoma"/>
            <family val="0"/>
          </rPr>
          <t xml:space="preserve"> :</t>
        </r>
        <r>
          <rPr>
            <sz val="8"/>
            <rFont val="Tahoma"/>
            <family val="0"/>
          </rPr>
          <t xml:space="preserve">
George et al.</t>
        </r>
      </text>
    </comment>
    <comment ref="Z42" authorId="0">
      <text>
        <r>
          <rPr>
            <b/>
            <sz val="8"/>
            <rFont val="Tahoma"/>
            <family val="0"/>
          </rPr>
          <t xml:space="preserve"> :</t>
        </r>
        <r>
          <rPr>
            <sz val="8"/>
            <rFont val="Tahoma"/>
            <family val="0"/>
          </rPr>
          <t xml:space="preserve">
64 from Evans et al. 2002</t>
        </r>
      </text>
    </comment>
    <comment ref="Z14" authorId="0">
      <text>
        <r>
          <rPr>
            <b/>
            <sz val="8"/>
            <rFont val="Tahoma"/>
            <family val="0"/>
          </rPr>
          <t xml:space="preserve"> :</t>
        </r>
        <r>
          <rPr>
            <sz val="8"/>
            <rFont val="Tahoma"/>
            <family val="0"/>
          </rPr>
          <t xml:space="preserve">
Hamilton et al 1998</t>
        </r>
      </text>
    </comment>
    <comment ref="Z38" authorId="0">
      <text>
        <r>
          <rPr>
            <b/>
            <sz val="8"/>
            <rFont val="Tahoma"/>
            <family val="0"/>
          </rPr>
          <t xml:space="preserve"> :</t>
        </r>
        <r>
          <rPr>
            <sz val="8"/>
            <rFont val="Tahoma"/>
            <family val="0"/>
          </rPr>
          <t xml:space="preserve">
Braham
</t>
        </r>
      </text>
    </comment>
    <comment ref="Z49" authorId="0">
      <text>
        <r>
          <rPr>
            <b/>
            <sz val="8"/>
            <rFont val="Tahoma"/>
            <family val="0"/>
          </rPr>
          <t xml:space="preserve"> :</t>
        </r>
        <r>
          <rPr>
            <sz val="8"/>
            <rFont val="Tahoma"/>
            <family val="0"/>
          </rPr>
          <t xml:space="preserve">
Amano et al not used because it comes from a single school and could be anomolous</t>
        </r>
      </text>
    </comment>
    <comment ref="Z55" authorId="0">
      <text>
        <r>
          <rPr>
            <b/>
            <sz val="8"/>
            <rFont val="Tahoma"/>
            <family val="0"/>
          </rPr>
          <t xml:space="preserve"> :</t>
        </r>
        <r>
          <rPr>
            <sz val="8"/>
            <rFont val="Tahoma"/>
            <family val="0"/>
          </rPr>
          <t xml:space="preserve">
Wursig</t>
        </r>
      </text>
    </comment>
    <comment ref="Z59" authorId="0">
      <text>
        <r>
          <rPr>
            <b/>
            <sz val="8"/>
            <rFont val="Tahoma"/>
            <family val="0"/>
          </rPr>
          <t xml:space="preserve"> :</t>
        </r>
        <r>
          <rPr>
            <sz val="8"/>
            <rFont val="Tahoma"/>
            <family val="0"/>
          </rPr>
          <t xml:space="preserve">
Rosas
</t>
        </r>
      </text>
    </comment>
    <comment ref="Z58" authorId="0">
      <text>
        <r>
          <rPr>
            <b/>
            <sz val="8"/>
            <rFont val="Tahoma"/>
            <family val="0"/>
          </rPr>
          <t xml:space="preserve"> :</t>
        </r>
        <r>
          <rPr>
            <sz val="8"/>
            <rFont val="Tahoma"/>
            <family val="0"/>
          </rPr>
          <t xml:space="preserve">
Di Beneditto 1997</t>
        </r>
      </text>
    </comment>
    <comment ref="Z62" authorId="0">
      <text>
        <r>
          <rPr>
            <b/>
            <sz val="8"/>
            <rFont val="Tahoma"/>
            <family val="0"/>
          </rPr>
          <t xml:space="preserve"> :</t>
        </r>
        <r>
          <rPr>
            <sz val="8"/>
            <rFont val="Tahoma"/>
            <family val="0"/>
          </rPr>
          <t xml:space="preserve">
Kasuya
pers comm age dist</t>
        </r>
      </text>
    </comment>
    <comment ref="Z63" authorId="0">
      <text>
        <r>
          <rPr>
            <b/>
            <sz val="8"/>
            <rFont val="Tahoma"/>
            <family val="0"/>
          </rPr>
          <t xml:space="preserve"> :</t>
        </r>
        <r>
          <rPr>
            <sz val="8"/>
            <rFont val="Tahoma"/>
            <family val="0"/>
          </rPr>
          <t xml:space="preserve">
Kasuya pers. Comm. From age distribution
</t>
        </r>
      </text>
    </comment>
    <comment ref="Z66" authorId="0">
      <text>
        <r>
          <rPr>
            <b/>
            <sz val="8"/>
            <rFont val="Tahoma"/>
            <family val="0"/>
          </rPr>
          <t xml:space="preserve"> :</t>
        </r>
        <r>
          <rPr>
            <sz val="8"/>
            <rFont val="Tahoma"/>
            <family val="0"/>
          </rPr>
          <t xml:space="preserve">
Larese pers comm
</t>
        </r>
      </text>
    </comment>
    <comment ref="Z69" authorId="0">
      <text>
        <r>
          <rPr>
            <b/>
            <sz val="8"/>
            <rFont val="Tahoma"/>
            <family val="0"/>
          </rPr>
          <t xml:space="preserve"> :</t>
        </r>
        <r>
          <rPr>
            <sz val="8"/>
            <rFont val="Tahoma"/>
            <family val="0"/>
          </rPr>
          <t xml:space="preserve">
Cockroft
</t>
        </r>
      </text>
    </comment>
    <comment ref="Z74" authorId="0">
      <text>
        <r>
          <rPr>
            <b/>
            <sz val="8"/>
            <rFont val="Tahoma"/>
            <family val="0"/>
          </rPr>
          <t xml:space="preserve"> :</t>
        </r>
        <r>
          <rPr>
            <sz val="8"/>
            <rFont val="Tahoma"/>
            <family val="0"/>
          </rPr>
          <t xml:space="preserve">
Marsh et al.</t>
        </r>
      </text>
    </comment>
    <comment ref="Z79" authorId="0">
      <text>
        <r>
          <rPr>
            <b/>
            <sz val="8"/>
            <rFont val="Tahoma"/>
            <family val="0"/>
          </rPr>
          <t xml:space="preserve"> :</t>
        </r>
        <r>
          <rPr>
            <sz val="8"/>
            <rFont val="Tahoma"/>
            <family val="0"/>
          </rPr>
          <t xml:space="preserve">
Jefferson et al</t>
        </r>
      </text>
    </comment>
    <comment ref="AE51" authorId="1">
      <text>
        <r>
          <rPr>
            <b/>
            <sz val="8"/>
            <rFont val="Tahoma"/>
            <family val="0"/>
          </rPr>
          <t>Barbara Taylor:</t>
        </r>
        <r>
          <rPr>
            <sz val="8"/>
            <rFont val="Tahoma"/>
            <family val="0"/>
          </rPr>
          <t xml:space="preserve">
Reeves et al. 1999 Ridgeway and Harrison</t>
        </r>
      </text>
    </comment>
    <comment ref="S79" authorId="2">
      <text>
        <r>
          <rPr>
            <b/>
            <sz val="8"/>
            <rFont val="Tahoma"/>
            <family val="0"/>
          </rPr>
          <t>anonymous:</t>
        </r>
        <r>
          <rPr>
            <sz val="8"/>
            <rFont val="Tahoma"/>
            <family val="0"/>
          </rPr>
          <t xml:space="preserve">
Kasuya and kureha 1979</t>
        </r>
      </text>
    </comment>
  </commentList>
</comments>
</file>

<file path=xl/sharedStrings.xml><?xml version="1.0" encoding="utf-8"?>
<sst xmlns="http://schemas.openxmlformats.org/spreadsheetml/2006/main" count="1907" uniqueCount="962">
  <si>
    <t>Lockyer 1981. Estimation of the energy costs of growth, maintenance and reproduction in the female minke whale from the southern hemisphere.  Rep. Int. Whal. Commn 31:337-343.</t>
  </si>
  <si>
    <r>
      <t xml:space="preserve">Best &amp; Lockyer 2002. Reproduction, growth, and migrations of sei whales off the west coast of south africa in the 1960's.  </t>
    </r>
    <r>
      <rPr>
        <i/>
        <sz val="8"/>
        <rFont val="Times New Roman"/>
        <family val="1"/>
      </rPr>
      <t>SAJMR</t>
    </r>
    <r>
      <rPr>
        <sz val="8"/>
        <rFont val="Times New Roman"/>
        <family val="1"/>
      </rPr>
      <t xml:space="preserve"> 24: 111</t>
    </r>
  </si>
  <si>
    <t>r=population growth rate</t>
  </si>
  <si>
    <t>generation time=</t>
  </si>
  <si>
    <t>ASM=age of sexual maturity</t>
  </si>
  <si>
    <t xml:space="preserve"> </t>
  </si>
  <si>
    <t>Santos et al. 2003. Age estimation of marine tucuxi dolphins in south-eastern brazil. J. Mar. Bio. Ass. U.K. 83:233</t>
  </si>
  <si>
    <t>29 yr, n=36</t>
  </si>
  <si>
    <t>179.8 cm</t>
  </si>
  <si>
    <t>Borobia.  1989.</t>
  </si>
  <si>
    <t>187.25 cm</t>
  </si>
  <si>
    <t>Schmiegelow. 1990.</t>
  </si>
  <si>
    <t>180.1 cm</t>
  </si>
  <si>
    <t>Ramos et al. 2000.</t>
  </si>
  <si>
    <t>191.7 cm</t>
  </si>
  <si>
    <t>Di Beneditto et al. 2004.  Biology of the marine tucuxi dolphin in south-eastern brazil. J. Mar. Bio. Ass. U.K.84:1245</t>
  </si>
  <si>
    <t>11.6 mo</t>
  </si>
  <si>
    <t>191.0 cm, n=99</t>
  </si>
  <si>
    <t>30 yr, n=116</t>
  </si>
  <si>
    <t>Santos et al. 2001. Insights on site fidelity and calving intervals of the marine tucuxi dolphin in south-eastern brazil.  J. Mar. Biol. Ass. U.K. 81:1049</t>
  </si>
  <si>
    <t xml:space="preserve">da Silva et al. 1996. </t>
  </si>
  <si>
    <t>10 mo</t>
  </si>
  <si>
    <t>2-3 yr, n=3</t>
  </si>
  <si>
    <t>Evans et al. 2004. The age structure and growth of female sperm whales in southern Australian waters.  J. Zool. Lond 263:237</t>
  </si>
  <si>
    <t>64 yr, n=86</t>
  </si>
  <si>
    <t>10-13 yr</t>
  </si>
  <si>
    <t>Ohsumi. 1966.</t>
  </si>
  <si>
    <t>14-16 mo</t>
  </si>
  <si>
    <t>4-6 yr, max 4-5 calves per lifetime</t>
  </si>
  <si>
    <t>70-80 yr</t>
  </si>
  <si>
    <t>1100 cm</t>
  </si>
  <si>
    <t>*0.8% max for stable pop.</t>
  </si>
  <si>
    <t>0.92 in 1964 and 0.91 in 1965</t>
  </si>
  <si>
    <t>Bannister. 1969 (western australia)</t>
  </si>
  <si>
    <t>0.905 (SD=0.046), range=0.856–0.986, n=78 (&gt;20 yr)</t>
  </si>
  <si>
    <t>0.885 (SD=0.034), range=0.859–0.970, n=2235</t>
  </si>
  <si>
    <t>Olsen et al. 2002. Age determination of minke whales using the aspartic acid racemization technique.  Sarsia 87:1</t>
  </si>
  <si>
    <t>5.8 yr (SE=3.0), n=25, regression on ovulations</t>
  </si>
  <si>
    <t>long-lived SA</t>
  </si>
  <si>
    <t>med-lived SA</t>
  </si>
  <si>
    <t>short-lived SA</t>
  </si>
  <si>
    <t>porpoise SA</t>
  </si>
  <si>
    <t>very long-lived SA</t>
  </si>
  <si>
    <t>Dans et al. 2003. Incidental catch of dolphins in trawling fisheries off patagonia argentian: can populations persist?.  Ecol. App. 13(3):754</t>
  </si>
  <si>
    <t>6.93 yr (SD=0.398, CV=0.058)</t>
  </si>
  <si>
    <t>Dans et al. 1997.  Notes on repo.. MMS</t>
  </si>
  <si>
    <t>2 yr min</t>
  </si>
  <si>
    <t>Van Waerebeek 1992. Pop id and bio.. Dissertation.</t>
  </si>
  <si>
    <t>4% max</t>
  </si>
  <si>
    <t>see paper for survival curves</t>
  </si>
  <si>
    <t>Read. 1990. ASM and preg rate CanJFish</t>
  </si>
  <si>
    <t>Caswell et al. 1998.  Harbor porpoise and fisheries: an uncertainty analysis of incidental mortality.  Ecol. App.  8(4):1226.</t>
  </si>
  <si>
    <t>see text for curves</t>
  </si>
  <si>
    <t>3.46 yr</t>
  </si>
  <si>
    <t>3.44 yr</t>
  </si>
  <si>
    <t>Bloch et al. 1993.</t>
  </si>
  <si>
    <t>8.1 yr, n=283</t>
  </si>
  <si>
    <t>326 dy</t>
  </si>
  <si>
    <t>Olesiuk et al.  1990.</t>
  </si>
  <si>
    <t>14.40 yr</t>
  </si>
  <si>
    <t>George et al. 1999. Age and growth estimates of bowhead whales via aspartic acid racemization.  Can. J. Zool.  77:571</t>
  </si>
  <si>
    <t>Givens et al. 1995. IWC</t>
  </si>
  <si>
    <t>Punt &amp; Butterworth.  1997. IWC</t>
  </si>
  <si>
    <t>15-25 yr</t>
  </si>
  <si>
    <t>Jefferson. 2000. Population biology of the indo-pacific hump-backed dolphin in hong kong waters.  Wildlife Monographs.</t>
  </si>
  <si>
    <t>243 cm</t>
  </si>
  <si>
    <t>9-10 yr, n=1</t>
  </si>
  <si>
    <t xml:space="preserve">Wang. 1965 &amp; 1995. </t>
  </si>
  <si>
    <t>10-12 mo, n=36</t>
  </si>
  <si>
    <t>11 mo, inference</t>
  </si>
  <si>
    <t>33 GLGs, n=34</t>
  </si>
  <si>
    <t>Cockcroft.  1989. 8th MM conf abstract</t>
  </si>
  <si>
    <t>40+ yr</t>
  </si>
  <si>
    <t>10-11 yr</t>
  </si>
  <si>
    <t>Robeck et al.  2005.  Reproduction, growth, and development in captive beluga.  Zoo. Bio. 24:29</t>
  </si>
  <si>
    <t>8.0+/- 3.4 yr, n=6</t>
  </si>
  <si>
    <t>* 6 - 9 yr
6.9 yr</t>
  </si>
  <si>
    <t>284 (95% 273-295), n=4</t>
  </si>
  <si>
    <t>*330-441 dy
475+/- 20.4 dy, n=9</t>
  </si>
  <si>
    <t>This sheet explains subsequent sheets and their relationship to one another</t>
  </si>
  <si>
    <t>singleSpecies has the primary data for each species and the references for the literature used in the publications.</t>
  </si>
  <si>
    <t>Reference numbers refers to LiteratureCitedFinal.doc</t>
  </si>
  <si>
    <t>Any changes made in parameters used in the model should be made on this sheet</t>
  </si>
  <si>
    <t>RegrOldLen has the species with both maximum female age and length (linked to singeSpecies)</t>
  </si>
  <si>
    <t>a few species were omitted because they were outliers</t>
  </si>
  <si>
    <t>Balaena mystecetus because its age for length is truly extreme</t>
  </si>
  <si>
    <t>Cephalonorhynchus hectori and C. commersoni because both had suspiciously young maximum ages for length and both small sample size and known long-standing bycatch</t>
  </si>
  <si>
    <t>if any lengths are changed in singleSpecies that are used in the regression, the regression must be RERUN to update the intercept, slope, etc.</t>
  </si>
  <si>
    <t>GenOutput is the sheet used as input to the True Basic Program Gen_cet5.tru</t>
  </si>
  <si>
    <t>This sheet is linked to values in singleSpecies</t>
  </si>
  <si>
    <t>The worksheet is cut and pasted using "paste special" and "values" into a new file</t>
  </si>
  <si>
    <t>The new file is named "genout.txt" and is saved as a text file (text (tab delimited))</t>
  </si>
  <si>
    <t>Gen_Cet is the output file from the version that was originally run for the January 2007 IUCN workshop</t>
  </si>
  <si>
    <t>Gen_Cet5 is the output file from this revised spreadsheet</t>
  </si>
  <si>
    <t>Revisions were made to numerous single input parameters as suggested by workshop participants</t>
  </si>
  <si>
    <t>Killer whales (Orcinus orca) and bottlenose dolphins (Tursiops truncatus) were revised to have parameters from single populations (Wade pers. comm. For Southern Resident killer whales and Wells pers. comm. For Sarasota Bay bottlenose dolphins)</t>
  </si>
  <si>
    <t>The program GenCet5 was modified to account for species with reproductive senescence (sperm, pilot and killer whales)</t>
  </si>
  <si>
    <t>10-15</t>
  </si>
  <si>
    <t>60-65</t>
  </si>
  <si>
    <t>species w/o T or P calculated</t>
  </si>
  <si>
    <t>O</t>
  </si>
  <si>
    <r>
      <t>S</t>
    </r>
    <r>
      <rPr>
        <vertAlign val="subscript"/>
        <sz val="10"/>
        <rFont val="Arial"/>
        <family val="2"/>
      </rPr>
      <t>A</t>
    </r>
  </si>
  <si>
    <r>
      <t>S</t>
    </r>
    <r>
      <rPr>
        <vertAlign val="subscript"/>
        <sz val="10"/>
        <rFont val="Arial"/>
        <family val="2"/>
      </rPr>
      <t>0</t>
    </r>
  </si>
  <si>
    <t>r</t>
  </si>
  <si>
    <t>Raftery &amp; Zeh.  1998. Estimating bowhead whale population size and rate of increase from the 1993 census.  J. Amer. Stat. Assoc. 93(442):451</t>
  </si>
  <si>
    <t>3.2% (95% 1.4-5.1)</t>
  </si>
  <si>
    <t>Poole &amp; Raftery. 1998. Tech. Rep. UW</t>
  </si>
  <si>
    <t>425 dy(90% 394-462)</t>
  </si>
  <si>
    <t>Koske et al. 1993.  The Bowhead Whale</t>
  </si>
  <si>
    <t>12-16 mo</t>
  </si>
  <si>
    <t>Perrin, W. F., J. M. Coe, et al. (1976). "Growth and reproduction of the spotted porpoise, Stenella attenuata, in the offshore eastern tropical Pacific." Fishery Bulletin 74(2): 229-269.</t>
  </si>
  <si>
    <t>9 GLGs</t>
  </si>
  <si>
    <t>26 mo</t>
  </si>
  <si>
    <t>0.6-0.3 decreasing with age</t>
  </si>
  <si>
    <r>
      <t xml:space="preserve">11.5 </t>
    </r>
    <r>
      <rPr>
        <sz val="8"/>
        <rFont val="Arial"/>
        <family val="2"/>
      </rPr>
      <t>±</t>
    </r>
    <r>
      <rPr>
        <sz val="8"/>
        <rFont val="Times New Roman"/>
        <family val="1"/>
      </rPr>
      <t xml:space="preserve"> 0.2 mo</t>
    </r>
  </si>
  <si>
    <t>9.17 GLG</t>
  </si>
  <si>
    <t>Perrin, W. F., D. B. Holts, et al. (1977). "Growth and reproduction of the eastern spinner dolphin, a geographical forn of Stenella longirostris in the eastern tropical Pacific." Fishery Bulletin 75(4): 725-750.</t>
  </si>
  <si>
    <t>2.17 yr</t>
  </si>
  <si>
    <t>170.9 cm, n=60</t>
  </si>
  <si>
    <t>Perrin, W. F. and J. R. Henderson (1984). "Growth and reproductive rates in two populations of spinner dolphins, Stenella longirostris, with different histories of exploitation." Report of the International Whaling Commission(Special Issue 6): 417-430.</t>
  </si>
  <si>
    <t>174.9 cm, n=232</t>
  </si>
  <si>
    <t>6.7 GLGs</t>
  </si>
  <si>
    <t>5.6 GLGs</t>
  </si>
  <si>
    <t>N. WB</t>
  </si>
  <si>
    <t>Eastern</t>
  </si>
  <si>
    <t>Polacheck, T. (1983). Estimating current rates of increase and survival rates from reproductive data for dolphin populations in the eastern tropical Pacific. La Jolla, CA, NOAA-NMFS-Southwest Fisheries Science Center. Southwest Fisheries Science Center, National Marine Fisheries Service, P.O. Box 271, La Jolla, California 92038: 25.</t>
  </si>
  <si>
    <t>see tables</t>
  </si>
  <si>
    <t>Santos, M. C. D., S. Rosso, et al. (2003). "Age estimation of marine tucuxi dolphins (Sotalia fluviatilis) in south-eastern Brazil." Journal of the Marine Biological Association of the United Kingdom 83(1): 233-236.</t>
  </si>
  <si>
    <t>179.8 cm, n=36</t>
  </si>
  <si>
    <t>Myrick, A. C., A. A. Hohn, et al. (1986). "Reproductive biology of female spotted dolphins, Stenella attenuata, from the eastern tropical Pacific." Fishery Bulletin 84: 247-259.</t>
  </si>
  <si>
    <t>11.4 yr</t>
  </si>
  <si>
    <t>3.03 yr (SE=0.205)</t>
  </si>
  <si>
    <t>18.7 yr</t>
  </si>
  <si>
    <t>Kasuya. 1976</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</si>
  <si>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</si>
  <si>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</si>
  <si>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</si>
  <si>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</si>
  <si>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</si>
  <si>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</si>
  <si>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</si>
  <si>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</si>
  <si>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</si>
  <si>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</si>
  <si>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</si>
  <si>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</si>
  <si>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</si>
  <si>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</si>
  <si>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</si>
  <si>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</si>
  <si>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</si>
  <si>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</si>
  <si>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</si>
  <si>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</si>
  <si>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</si>
  <si>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</si>
  <si>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</si>
  <si>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</si>
  <si>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X Variable 1</t>
  </si>
  <si>
    <t>RESIDUAL OUTPUT</t>
  </si>
  <si>
    <t>Observation</t>
  </si>
  <si>
    <t>Predicted Y</t>
  </si>
  <si>
    <t>Residuals</t>
  </si>
  <si>
    <t>Polacheck, T. (1984). Estimating dolphin juvenile survival rates from the proportion of calves nursing. La Jolla, CA, NOAA-NMFS-Southwest Fisheries Science Center: 14.</t>
  </si>
  <si>
    <t>Perrin, W. F. (1998). "Stenella longirostris." Mammalian Species(599): 1-7.</t>
  </si>
  <si>
    <t>Calzada et al. 1996.  Reproductive biology of female striped dolphin from the western mediterranean. J. Zool. Lond. 240:581</t>
  </si>
  <si>
    <t>Kasuya 1972</t>
  </si>
  <si>
    <t>4-7 yr</t>
  </si>
  <si>
    <t>Chivers, S. J. and A. C. Myrick (1993). "Comparison of age at sexual maturity and other reproductive parameters for two stocks of spotted dolphin, Stenella attenuata." Fishery Bulletin 91(4): 611-618.</t>
  </si>
  <si>
    <t>northern offshore
11.1 yr (SE=0.236), n=520
southern offshore
9.8 yr (SE=0.264), n=403</t>
  </si>
  <si>
    <t>Ferrero, R. C. and W. A. Walker (1993). "Growth and reproduction of the northern right whale dolphin, Lissodelphis borealis, in the offshore waters of the north Pacific Ocean." Canadian Journal of Zoology 71(12): 2335-2344.</t>
  </si>
  <si>
    <t>12.1-12.3 mo</t>
  </si>
  <si>
    <t>210 cm</t>
  </si>
  <si>
    <t>41.6 yr</t>
  </si>
  <si>
    <t>n=130
logistic
9.7 yr (95%= 8.9-10.6)
DeMaster
10.4 yr (SE=0.4541)</t>
  </si>
  <si>
    <t>Ferrero, R. C. and W. A. Walker (1999). "Age, growth, and reproductive patterns of Dall's porpoise (Phocoenoides dalli) in the central North Pacific Ocean." Marine Mammal Science 15(2): 273-313.</t>
  </si>
  <si>
    <t>189.7 cm</t>
  </si>
  <si>
    <t xml:space="preserve">n=1297
logistic
3.8 yr (95%= 3.6-4.0)
DeMaster
4.4 yr (SE=0.0655)
</t>
  </si>
  <si>
    <t>10-11 mo</t>
  </si>
  <si>
    <t>Ferrero, R. C. and W. A. Walker (1996). "Age, growth, and reproductive patterns of the Pacific white- sided dolphin (Lagenorhynchus obliquidens) taken in high seas drift nets in the central North Pacific Ocean." Canadian Journal of Zoology 74(9): 1673-1687.</t>
  </si>
  <si>
    <t>40 yr, n=76</t>
  </si>
  <si>
    <t>178.1 cm (SE=1.2), n=8</t>
  </si>
  <si>
    <t>8.3-11.0 yr ?</t>
  </si>
  <si>
    <t>Ferrero, R. C. and W. A. Walker (1995). "Growth and reproduction of the common dolphin, Delphinus- Delphis Linnaeus, in the offshore waters of the north Pacific Ocean." Fishery Bulletin 93(3): 483-494.</t>
  </si>
  <si>
    <t>26 yr, n=59</t>
  </si>
  <si>
    <t>11.1 mo</t>
  </si>
  <si>
    <t>179.4 cm</t>
  </si>
  <si>
    <t>7.2-8.5 yr ?</t>
  </si>
  <si>
    <t>Barlow, J. and P. Boveng (1991). "Modeling Age-Specific Mortality for Marine Mammal Populations." Marine Mammal Science 7(1): 50-65.</t>
  </si>
  <si>
    <t>Perrin, W. F. and J. W. Gilpatrick, Eds. (1995). Spinner dolphin Stenella longirostris (Gray, 1828). Handbook of Marine Mammals. San Diego, CA, Academic Press.</t>
  </si>
  <si>
    <t>20 yr</t>
  </si>
  <si>
    <t>8-10 %</t>
  </si>
  <si>
    <t>Perrin, W. F. and A. A. Hohn (1995). "Pantropical spotted dolphin stenella attenuata." Handbook of Marine Mammals 5: 71-97.</t>
  </si>
  <si>
    <t>190-195 cm</t>
  </si>
  <si>
    <t>9-11 yr</t>
  </si>
  <si>
    <t>11.2-11.5 mo</t>
  </si>
  <si>
    <t>10-12 %</t>
  </si>
  <si>
    <t>Rosas, F. C. W., A. S. Barreto, et al. (2003). "Age and growth of the estuarine dolphin (Sotalia guianensis) (Cetacea, Delphinidae) on the Parana coast, southern Brazil." Fishery Bulletin 101(2): 377-383.</t>
  </si>
  <si>
    <t>length</t>
  </si>
  <si>
    <t>Bin</t>
  </si>
  <si>
    <t>More</t>
  </si>
  <si>
    <t>Frequency</t>
  </si>
  <si>
    <t>Age</t>
  </si>
  <si>
    <t>Striped</t>
  </si>
  <si>
    <t>Spotted</t>
  </si>
  <si>
    <t>Rosas, F. C. W. and E. L. A. Monteiro (2002). "Reproduction of the estuarine dolphin (Sotalia guianensis) on the coast of Parana, southern Brazil." Journal of Mammalogy 83(2): 507-515.</t>
  </si>
  <si>
    <t>Perrin, W. F., R. B. Miller, et al. (1977). "Reproductive parameters of offshore spotted dolphin, a geographical form of Stenella attenuata, in eastern tropical Pacific, 1973-75." Fishery Bulletin 75(3): 629-633.</t>
  </si>
  <si>
    <t>11.5 mo</t>
  </si>
  <si>
    <t>0.359, 0.463</t>
  </si>
  <si>
    <t>2.16 yr, 2.79 yr</t>
  </si>
  <si>
    <r>
      <t xml:space="preserve">0.109 </t>
    </r>
    <r>
      <rPr>
        <sz val="8"/>
        <rFont val="Arial"/>
        <family val="2"/>
      </rPr>
      <t>±</t>
    </r>
    <r>
      <rPr>
        <sz val="8"/>
        <rFont val="Times New Roman"/>
        <family val="1"/>
      </rPr>
      <t xml:space="preserve"> 0.004
0.140 </t>
    </r>
    <r>
      <rPr>
        <sz val="8"/>
        <rFont val="Arial"/>
        <family val="2"/>
      </rPr>
      <t>±</t>
    </r>
    <r>
      <rPr>
        <sz val="8"/>
        <rFont val="Times New Roman"/>
        <family val="1"/>
      </rPr>
      <t xml:space="preserve"> 0.004</t>
    </r>
  </si>
  <si>
    <t>Aguilar, A. (1991). "Calving and early mortality in the western Mediterranean striped dolphin, Stenella coeruleoalba." Canadian Journal of Zoology-Revue Canadienne De Zoologie 69(5): 1408-1412.</t>
  </si>
  <si>
    <t>392 dy ?</t>
  </si>
  <si>
    <t>Calzada, N., A. Aguilar, et al. (1997). "Patterns of growth and physical maturity in the western Mediterranean striped dolphin, Stenella coeruleoalba (Cetacea: Odontoceti)." Canadian Journal of Zoology-Revue Canadienne De Zoologie 75(4): 632-637.</t>
  </si>
  <si>
    <t>194 cm</t>
  </si>
  <si>
    <t>Slooten, E. (1991). "Age, growth, and reproduction in Hector's dolphins." Canadian Journal of Zoology-Revue Canadienne De Zoologie 69(6): 1689-1700.</t>
  </si>
  <si>
    <t>19 yr</t>
  </si>
  <si>
    <t>7-9 yr</t>
  </si>
  <si>
    <t>Lockyer et al. 1981 JZoolLond 195</t>
  </si>
  <si>
    <t>Slooten, E. and F. Lad (1991). "Population biology and conservation of Hector's dolphin." Canadian Journal of Zoology-Revue Canadienne De Zoologie 69(6): 1701-1707.</t>
  </si>
  <si>
    <t>1.8-4.9%</t>
  </si>
  <si>
    <t>Hohn, A. A., A. J. Read, et al. (1996). "Life history of the vaquita, Phocoena sinus (Phocoenidae, Cetacea)." Journal of Zoology 239: 235-251.</t>
  </si>
  <si>
    <t>21 yr, n=56</t>
  </si>
  <si>
    <t>140.6 cm</t>
  </si>
  <si>
    <t>&gt;1 yr</t>
  </si>
  <si>
    <t>3-6 yr ?</t>
  </si>
  <si>
    <t>Stolen, M. K., D. K. Odell, et al. (2002). "Growth of bottlenose dolphins (Tursiops truncatus) from the Indian River Lagoon System, Florida, USA." Marine Mammal Science 18(2): 348-357.</t>
  </si>
  <si>
    <t>35 yr</t>
  </si>
  <si>
    <t>246 cm</t>
  </si>
  <si>
    <t>Fernandez, S. and A. A. Hohn (1998). "Age, growth, and calving season of bottlenose dolphins, Tursiops truncatus, off coastal Texas." Fishery Bulletin 96(2): 357-365.</t>
  </si>
  <si>
    <t>41 yr, n=81</t>
  </si>
  <si>
    <t>246.7 cm</t>
  </si>
  <si>
    <t>Addink, M. J., M. G. Hartmann, et al. (1996). "Some life history parameters of white-sided dolphins Lagenorhynchus acutus, by-caught in the east Atlantic." Draft submitted to IWC SC/48/SM1.</t>
  </si>
  <si>
    <t>20 yr, n=17</t>
  </si>
  <si>
    <t>7.5-7.6 yr</t>
  </si>
  <si>
    <t>0.94-1.02</t>
  </si>
  <si>
    <t>46, n=186</t>
  </si>
  <si>
    <t>236 cm, n=206</t>
  </si>
  <si>
    <t>145 kg, n=54</t>
  </si>
  <si>
    <t>4.67 yr (SE=1.81), n=28</t>
  </si>
  <si>
    <t>see table</t>
  </si>
  <si>
    <t>11.6-12.7 mo</t>
  </si>
  <si>
    <t>21.4% (SE=2.5), n=28</t>
  </si>
  <si>
    <t>30%, n=10</t>
  </si>
  <si>
    <t>Jefferson, T. A., K. M. Robertson, et al. (2002). "Growth and reproduction of the finless porpoise in southern China." Raffles Bulletin Of Zoology: 105-113.</t>
  </si>
  <si>
    <t>5-6 yr</t>
  </si>
  <si>
    <t>161 cm</t>
  </si>
  <si>
    <t>33 yr</t>
  </si>
  <si>
    <t>Kasuya, T., N. Miyazaki, et al. (1974). "Growth and reproduction of Stenella attenuata in the Pacific coast of Japan." Sci. Rep. Whales Res. Inst. 26: 157-226.</t>
  </si>
  <si>
    <t>8.2 yr</t>
  </si>
  <si>
    <t>11.2 mo</t>
  </si>
  <si>
    <t>log(old)</t>
  </si>
  <si>
    <t>log(length)</t>
  </si>
  <si>
    <t>juv/adult</t>
  </si>
  <si>
    <t>50 mo</t>
  </si>
  <si>
    <t>194.9 cm, n=137</t>
  </si>
  <si>
    <t>Gaskin, D. E. and B. A. Blair (1977). "Age-Determination Of Harbor Porpoise, Phocoena-Phocoena (L), In Western North-Atlantic." Canadian Journal Of Zoology-Revue Canadienne De Zoologie 55(1): 18-30.</t>
  </si>
  <si>
    <t>10 yr ?</t>
  </si>
  <si>
    <t>&lt;4 yr, n=41</t>
  </si>
  <si>
    <t>Kasuya, T. and R. L. Brownell (1979). "Age determination, reproduction, and growth of the franciscana dolphin, Pontoporia blainvillei." Sci. Rep. Whales Res. Inst. 31: 45-67.</t>
  </si>
  <si>
    <t>153 cm</t>
  </si>
  <si>
    <t>2.7 yr</t>
  </si>
  <si>
    <t>Kasuya, T. and S. Matsui (1984). "Age determination and growth of the short-finned pilot whale off the Pacific coast of Japan." Sci. Rep. Whales Res. Inst. 35: 57-91.</t>
  </si>
  <si>
    <t>62 yr</t>
  </si>
  <si>
    <t>364.0 cm</t>
  </si>
  <si>
    <t>*452 dy</t>
  </si>
  <si>
    <t>Read, A. J. and A. A. Hohn (1995). "Life In The Fast Lane - The Life-History Of Harbor Porpoises From The Gulf Of Maine." Marine Mammal Science 11(4): 423-440.</t>
  </si>
  <si>
    <t>17 yr, n=107
unusually high</t>
  </si>
  <si>
    <t>3.36 yr (SD=0.13), n=99</t>
  </si>
  <si>
    <t>0.93-0.95</t>
  </si>
  <si>
    <t>Lockyer, C., M. P. Heide-Jorgensen, et al. (2001). "Age, length and reproductive parameters of harbour porpoises Photocoena phocoena (L.) from West Greenland." Ices Journal Of Marine Science 58(1): 154-162.</t>
  </si>
  <si>
    <t>3.6 yr</t>
  </si>
  <si>
    <t>154 cm</t>
  </si>
  <si>
    <t>17 yr</t>
  </si>
  <si>
    <t>Cockcroft, V. G. and G. J. B. Ross (1990). "Age, growth, and reproduction of bottlenose dolphins Tursiops truncatus from the east coast of southern Africa." Fishery Bulletin 88(2): 289-302.</t>
  </si>
  <si>
    <t>238 cm</t>
  </si>
  <si>
    <t>43 yr</t>
  </si>
  <si>
    <t>9.5-11 yr</t>
  </si>
  <si>
    <t>207t</t>
  </si>
  <si>
    <t>Burnell  2001.  Aspects of the reporductive biology, movements and site fidelity of right whales off Australia.  JCRM (special issue) 2:89</t>
  </si>
  <si>
    <r>
      <t>3.33</t>
    </r>
    <r>
      <rPr>
        <sz val="8"/>
        <rFont val="Times New Roman"/>
        <family val="1"/>
      </rPr>
      <t xml:space="preserve"> yr (SE=0.10), n=57</t>
    </r>
  </si>
  <si>
    <t>Bannister 1990</t>
  </si>
  <si>
    <t>3.48 yr, n=21</t>
  </si>
  <si>
    <t>Cooke et al. 2001.  Estimates of demographic parameters for southern right whales observed off Peninsula Valdes, Argentina. JCRM (special issue) 2:125</t>
  </si>
  <si>
    <t>3.35 yr (SE=0.05)</t>
  </si>
  <si>
    <t>9.1 yr (SE=0.3)</t>
  </si>
  <si>
    <t>0.019 (SE=0.005)</t>
  </si>
  <si>
    <t>6.9% (SE=0.7)</t>
  </si>
  <si>
    <r>
      <t xml:space="preserve">Best et al 2001. Demographic parameters of southern right whales off South Africa. </t>
    </r>
    <r>
      <rPr>
        <i/>
        <sz val="8"/>
        <rFont val="Times New Roman"/>
        <family val="1"/>
      </rPr>
      <t xml:space="preserve">JCRM </t>
    </r>
    <r>
      <rPr>
        <sz val="8"/>
        <rFont val="Times New Roman"/>
        <family val="1"/>
      </rPr>
      <t>(special issue) 2:161</t>
    </r>
  </si>
  <si>
    <t>3.12 yr 
(95%= 3.07-3.17</t>
  </si>
  <si>
    <t>7.88 yr (95%= 7.17-9.29)</t>
  </si>
  <si>
    <t>0.913 (0.601, 0.94)</t>
  </si>
  <si>
    <t>0.986 (0.976, 0.999)</t>
  </si>
  <si>
    <t>0.071 (0.059, 0.082)</t>
  </si>
  <si>
    <t>mortality=natural mortality rate</t>
  </si>
  <si>
    <t>0.950 (SE=0.011)</t>
  </si>
  <si>
    <t>0.960 (SE=0.008)</t>
  </si>
  <si>
    <t>Clapham et al. 2003.  Abundance and demoraphic parameters of humpback whales from the Gulf of Maine, and stock definition relative to the Scotian Shelf.  JCRM 5(1):13</t>
  </si>
  <si>
    <t>2.56 yr</t>
  </si>
  <si>
    <t>2.38 yr</t>
  </si>
  <si>
    <t>Di Beneditto et al. 2001.  Biology and conservation of the franciscana in the north of Rio de Janeiro State, Brazil.  JCRM 3(2):185</t>
  </si>
  <si>
    <t>9 yr, n=57</t>
  </si>
  <si>
    <t>Pinedo 1994</t>
  </si>
  <si>
    <t>21 yr</t>
  </si>
  <si>
    <t>145.6 cm, n=57</t>
  </si>
  <si>
    <t>2.4 m</t>
  </si>
  <si>
    <t>Iwasaki &amp; Kasya 1997.  Life history and catch bias of pacific white-sided and northern right whale dolphins incidentally taken by the Japanese high seas squid driftnet fishery.  Rep. Int. Whal. Commn. 47, SC/48/SM18.</t>
  </si>
  <si>
    <t>183.3 cm</t>
  </si>
  <si>
    <t>Wursig et al. 1997.  Dusky dolphins off New Zealand: status of present knowledge.  Rep. Int. Whal. Commn. 47, SC/48/SM32.</t>
  </si>
  <si>
    <t>175 cm</t>
  </si>
  <si>
    <t>7-8 yr ?</t>
  </si>
  <si>
    <t>*11.4 mo</t>
  </si>
  <si>
    <t>27 yr</t>
  </si>
  <si>
    <t>Heise, K. (1997). "Life history and population parameters of Pacific white-sided dolphins (Lagenorhynchus obliquidens)." Report of the International Whaling Commission 47: SAC/48/SM46: 817-825.</t>
  </si>
  <si>
    <t>Kasya et al.  1997. Life history of Baird's beaked whales off the Pacific coast of Japan.  Rep. Int. Whal. Commn. 47: 969-979.</t>
  </si>
  <si>
    <t>10-15 GLGs</t>
  </si>
  <si>
    <t>54 GLGs</t>
  </si>
  <si>
    <t>*10 mo or *17 mo</t>
  </si>
  <si>
    <r>
      <t>10.45 m (95%=</t>
    </r>
    <r>
      <rPr>
        <sz val="8"/>
        <rFont val="Arial"/>
        <family val="2"/>
      </rPr>
      <t>±</t>
    </r>
    <r>
      <rPr>
        <sz val="8"/>
        <rFont val="Times New Roman"/>
        <family val="1"/>
      </rPr>
      <t>0.14, SD=0.31), n=22</t>
    </r>
  </si>
  <si>
    <t>Palka et al. 1996.  Summary of current knowledge of harbour porpoise in US and Canadian Atlantic waters.  Rep. Int. Whal. Commn. 46, SC/47/SM23.</t>
  </si>
  <si>
    <t>12 yr</t>
  </si>
  <si>
    <t>3.1 yr (SE=0.07), n=32</t>
  </si>
  <si>
    <t>156 cm</t>
  </si>
  <si>
    <t>~10% max, median=4%</t>
  </si>
  <si>
    <t>Woodley &amp; Read. 1991. CanJFshAqSci 48</t>
  </si>
  <si>
    <t>Kato 1992.  Body length, reproduction and stock separation of minke whales off northern japan.  Rep. Int. Whal. Commn. 42 , SC/43/Mi31</t>
  </si>
  <si>
    <t>Miller et al. 1992.  Calving intervals of bowhead whales - an analysis of photographic data.  Rep. Int. Whal. Commn. 42, SC/43/PS27</t>
  </si>
  <si>
    <t>3.3-4.5 yr</t>
  </si>
  <si>
    <t>Ohsumi &amp; Masaki. 1975. J.FshRes.Bd.Can32(7)</t>
  </si>
  <si>
    <t>*6.3 yr</t>
  </si>
  <si>
    <t>Antarctic</t>
  </si>
  <si>
    <t>Best. 1982. IWC. 32</t>
  </si>
  <si>
    <t>S. Africa</t>
  </si>
  <si>
    <t>calf survival (S0) ref</t>
  </si>
  <si>
    <t>13, 96, 107</t>
  </si>
  <si>
    <t>ASM# ref</t>
  </si>
  <si>
    <t>gestation period ref</t>
  </si>
  <si>
    <t>IBI ref</t>
  </si>
  <si>
    <t>max female length ref</t>
  </si>
  <si>
    <t>oldest age ref</t>
  </si>
  <si>
    <t>oldest age reprod female ref</t>
  </si>
  <si>
    <t>avg age mature female ref</t>
  </si>
  <si>
    <t>195p</t>
  </si>
  <si>
    <t>196p</t>
  </si>
  <si>
    <t>198p</t>
  </si>
  <si>
    <t>194p</t>
  </si>
  <si>
    <t>197p</t>
  </si>
  <si>
    <t>Non-calf survival (SA) ref</t>
  </si>
  <si>
    <t>199p</t>
  </si>
  <si>
    <t>200p</t>
  </si>
  <si>
    <t>201p</t>
  </si>
  <si>
    <t>202p</t>
  </si>
  <si>
    <t>203p</t>
  </si>
  <si>
    <t>204p</t>
  </si>
  <si>
    <t>205p</t>
  </si>
  <si>
    <t>206p</t>
  </si>
  <si>
    <t>Wade pers comm</t>
  </si>
  <si>
    <t>207p</t>
  </si>
  <si>
    <t>208p</t>
  </si>
  <si>
    <t>209p</t>
  </si>
  <si>
    <t>Slooten pers comm</t>
  </si>
  <si>
    <t>58, 140</t>
  </si>
  <si>
    <t>79, 204</t>
  </si>
  <si>
    <t>59, 204</t>
  </si>
  <si>
    <t>212c</t>
  </si>
  <si>
    <t>42,84</t>
  </si>
  <si>
    <t>127, 138</t>
  </si>
  <si>
    <t>Kasuya pers comm</t>
  </si>
  <si>
    <t>121, 209</t>
  </si>
  <si>
    <t>Wells pers comm</t>
  </si>
  <si>
    <t>194t</t>
  </si>
  <si>
    <t>31, 87, 122</t>
  </si>
  <si>
    <t>31, 85, 122</t>
  </si>
  <si>
    <t>211 Kasuya pers comm</t>
  </si>
  <si>
    <t>89, 90</t>
  </si>
  <si>
    <t>18, 140</t>
  </si>
  <si>
    <t>201t</t>
  </si>
  <si>
    <t>199t</t>
  </si>
  <si>
    <t>AFR ref</t>
  </si>
  <si>
    <t>Wade pers. Comm.</t>
  </si>
  <si>
    <t>140, 38, Wade pers comm.</t>
  </si>
  <si>
    <t>196t</t>
  </si>
  <si>
    <t>64, 83, 173</t>
  </si>
  <si>
    <t>203t</t>
  </si>
  <si>
    <t>IUCN</t>
  </si>
  <si>
    <t>88, 163</t>
  </si>
  <si>
    <t>204t</t>
  </si>
  <si>
    <t>205t</t>
  </si>
  <si>
    <t>Kato &amp; Sakuramoto. 1991. Age at sexual maturity of southern minke whales: a review and some additional analyses.  Rep. Int. Whal. Commn. 41, SC/42/SHMi11</t>
  </si>
  <si>
    <t>1940s: 12-13 yr
1955: 10 yr
1970: 7-8 yr</t>
  </si>
  <si>
    <t>Waters &amp; Whitehead. 1990.  Population and growth parameters of Galapagos sperm whales estimated from length distributions.  Rep. Int. Whal. Commn 40, SC/41/Sp1</t>
  </si>
  <si>
    <t>2-4%</t>
  </si>
  <si>
    <t>Goodal et al. 1988.  Studies of Commerson's dolphins off Tierra del Fuego, 1976-1984….  Rep. Int. Whal. Commn. (special issue 9)</t>
  </si>
  <si>
    <t>11-12 mo</t>
  </si>
  <si>
    <t>Lockyer.  1998. Age and body length characteristics of C com from incidentally caught specimens off Tierra del Fuego. Rep. Int. Whal. Commn. (special issue 9)</t>
  </si>
  <si>
    <t>134 cm (SE=1.9), n=22</t>
  </si>
  <si>
    <t>18 yr, n=22</t>
  </si>
  <si>
    <t>0-18yr, n=136: 0.855 (SD=0.011)
1-18yr, n=121: 0.869 (SD=0.011)
5-18yr, n=72: 0.914 (SD=0.010) 
0-5yr, n=69: 0.673 (SD=0.033)</t>
  </si>
  <si>
    <t>Collet &amp; Robineau. 1988. Data on the genital tract and reporduction in Commerson's dolphin from the Kerguelen Islands.  Rep. Int. Whal. Commn. (special issue 9)</t>
  </si>
  <si>
    <t>5 yr +, n=7</t>
  </si>
  <si>
    <t>Cornell et al. 1988. Commerson's dolphins live-captured from the Strait of Magellan, Chile. Rep. Int. Whal. Commn. (special issue 9)</t>
  </si>
  <si>
    <t>Slooten &amp; Dawson. 1988. Studies on Hector's dolphin: a progress report.  Rep. Int. Whal. Commn. (special issue 9)</t>
  </si>
  <si>
    <t>2+ yr ?</t>
  </si>
  <si>
    <t>Kasuya, T. 1985. Effect of exploitation of on reproductive parameters of the spotted and striped dolphins off the Pacific coast of Japan. Sci. Rep. Whales Res. Inst. 36: 107-138.</t>
  </si>
  <si>
    <t>Burns, J.J. and Seaman, G.A. 1986. Investigations of belukha whales in coastal waters of western and northern Alaska. Part II. Biology and ecology. Final report submitted to NOAA Outer Continental Shelf Environmental Assessment Program. 129 pp.</t>
  </si>
  <si>
    <t>*4-7 yr</t>
  </si>
  <si>
    <t>Heide-Jørgensen, M.P. and Teilmann, J. 1994. Growth, reproduction, age structure and feeding habits of white whales (Delphinapterus leucas) in West Greenland waters. Meddeleleser om Grønland, Bioscience 39:195-212.</t>
  </si>
  <si>
    <t>*35 yr</t>
  </si>
  <si>
    <t>16 yr</t>
  </si>
  <si>
    <t>Ferrero, R. C. and W. A. Walker (1996). "Age, growth, and reproductive patterns of the Pacific white- sided dolphin (Lagenorhynchus obliquidens) taken in high seas drift nets in the central North Pacific Ocean." Canadian Journal of Zoology 74(9): 1673-168</t>
  </si>
  <si>
    <t>Polacheck et al. 1995. What do starnding data say about harbour porpoises?  Biology of phocoenids, IWC (special issue 16)</t>
  </si>
  <si>
    <t>0.72, n=18</t>
  </si>
  <si>
    <t>Lockyer. 1995. Investigation of aspects of the life history of the harbour porpoise in British waters.  Biology of phocoenids, IWC (special issue 16)</t>
  </si>
  <si>
    <t>24 yr</t>
  </si>
  <si>
    <t>all yrs: 0.792
all but 1st yr: 0.816</t>
  </si>
  <si>
    <t>160 cm</t>
  </si>
  <si>
    <t>Goodall et all. 1995. Notes on the biology of the Burmeister's porpoise off southern South America.  Biology of phocoenids, IWC (special issue 16)</t>
  </si>
  <si>
    <t>4 GLGs, n=9</t>
  </si>
  <si>
    <t>Reyes &amp; Van Waerebeek. 1995. Aspects of the biology of Burmeister's porpoise from Peru.  Biology of phocoenids, IWC (special issue 16)</t>
  </si>
  <si>
    <t>Corcuera et al. 1995. Life history data, organochlorine pollutants and parasites from eight Burmeister's porpoises caught in northern Argentine waters.  Biology of phocoenids, IWC (special issue 16)</t>
  </si>
  <si>
    <t>200.0 cm, n=4</t>
  </si>
  <si>
    <t>Goodal &amp; Schiavini. 1995. On the biology of the spectacled porpoise.  Biology of phocoenids, IWC (special issue 16)</t>
  </si>
  <si>
    <t>8 GLGs, n=27</t>
  </si>
  <si>
    <t>Multiple rates were calculated in order to address the effects of various biases, leading to a range of estimates between 0.759 (95% CI = 0.566-0.897) and 0.850 (95% CI = 0.622-0.968; Gabriele et al. 2001).</t>
  </si>
  <si>
    <t>[i] Gabriele et al. (2001) estimated the survival rate of central North Pacific humpback whale calves, from the breeding season to the subsequent feeding season, using sighting records of individually identified females with calves.</t>
  </si>
  <si>
    <t>Taylor &amp; Rojas-Bracho. 1999.  Examining the risk of inbreeding depression in a naturally rare cetacean, the vaquita.  Mar. Mamm. Sci. 15(4):1004.</t>
  </si>
  <si>
    <t>Caswell, pers. comm.</t>
  </si>
  <si>
    <t>40.7 yr</t>
  </si>
  <si>
    <t>growth bin</t>
  </si>
  <si>
    <t>mature%</t>
  </si>
  <si>
    <t>25-30</t>
  </si>
  <si>
    <t>30-35</t>
  </si>
  <si>
    <t>35-40</t>
  </si>
  <si>
    <t>45-50</t>
  </si>
  <si>
    <t>50-55</t>
  </si>
  <si>
    <t>55-60</t>
  </si>
  <si>
    <t>40-45</t>
  </si>
  <si>
    <t>T(r=0)</t>
  </si>
  <si>
    <t>15-20</t>
  </si>
  <si>
    <t>182c, 213c</t>
  </si>
  <si>
    <t>214p</t>
  </si>
  <si>
    <t>20-25</t>
  </si>
  <si>
    <t>Lockyer. 1984. Review of baleen whale reproduction and implications for management.  Rep. Int. Whal. Commn. (special issue 6)</t>
  </si>
  <si>
    <t>calves: 31%</t>
  </si>
  <si>
    <t>east NP: 0.43
west NP: 0.40
Aust: 0.37
nw Atl: 0.54</t>
  </si>
  <si>
    <t>Ant: 0.89
Norway: 0.96
wGreen:0.88
Newfdln:0.96
Barents:0.9-0.97</t>
  </si>
  <si>
    <t>s Afr: 0.22
n Pac: 0.42
s Pac: 0.43</t>
  </si>
  <si>
    <t>nPac: 0.6-0.7
Icelnd: 0.4-0.44
sHem: 0.42-0.57</t>
  </si>
  <si>
    <t>sHem: 0.46-0.51</t>
  </si>
  <si>
    <t>Ant: 0.54
nAtl: 0.36-0.42
Icelnd: 0.49</t>
  </si>
  <si>
    <t>5 yr</t>
  </si>
  <si>
    <t>6-11 yr</t>
  </si>
  <si>
    <t>10.5-11.5 mo</t>
  </si>
  <si>
    <t>8-11 yr</t>
  </si>
  <si>
    <t>6-14 yr</t>
  </si>
  <si>
    <t>13.75 mo</t>
  </si>
  <si>
    <t>8 yr</t>
  </si>
  <si>
    <t>8-10 yr</t>
  </si>
  <si>
    <t>Best et al. 1984. Patterns of reproduction in sperm whales.  Rep. Int. Whal. Commn. (special issue 6)</t>
  </si>
  <si>
    <t>25-30 yr</t>
  </si>
  <si>
    <t>ASM#</t>
  </si>
  <si>
    <t>Braham 1984.  Review of reproduction in the white whale, narwhal, and irrawaddy dolphin… Rep. Int. Whal. Commn. (special issue 6)</t>
  </si>
  <si>
    <t>14.5 mo</t>
  </si>
  <si>
    <t>0.09-0.12</t>
  </si>
  <si>
    <t>6-7 yr</t>
  </si>
  <si>
    <t>6 yr</t>
  </si>
  <si>
    <t>14-15 mo</t>
  </si>
  <si>
    <t>10-12 yr</t>
  </si>
  <si>
    <t>50 yr</t>
  </si>
  <si>
    <t>0.33-0.38</t>
  </si>
  <si>
    <t>32-37 mo</t>
  </si>
  <si>
    <t>0.84-0.91</t>
  </si>
  <si>
    <t>0.88-0.91</t>
  </si>
  <si>
    <t>Mead. 1984. Survey of reproductive data for beaked whales.  Rep. Int. Whal. Commn. (special issue 6).</t>
  </si>
  <si>
    <t>71 yr</t>
  </si>
  <si>
    <t>17 mo</t>
  </si>
  <si>
    <t>27 GLGs</t>
  </si>
  <si>
    <t>8-10 GLGs</t>
  </si>
  <si>
    <t>11 GLGs</t>
  </si>
  <si>
    <t>30 GLGs</t>
  </si>
  <si>
    <t>Gaskin et al. 1984.  Reproduction in the porpoises: implications for management.  Rep. Int. Whal. Commn. (special issue 6)</t>
  </si>
  <si>
    <t>7.0 yr</t>
  </si>
  <si>
    <t>7.3 yr</t>
  </si>
  <si>
    <t>1969-73: n=46
0.41 (95%=0.14)
1985-88: n=108
0.46 (95%=.094)
not significant</t>
  </si>
  <si>
    <t>Nor: 8-10 mo
Baltic: 10 mo
UK: 10 mo
nAtl: 11mo
Fundy: 11 mo
nwUS: 10 mo</t>
  </si>
  <si>
    <t>&gt;35 yr</t>
  </si>
  <si>
    <t>Miyazaki. 1984. Further analyses of reproduction in the striped dolphin off the Pacific coast of Japan.  Rep. Int. Whal. Commn. (special issue 6)</t>
  </si>
  <si>
    <t>3.2 yr</t>
  </si>
  <si>
    <t>8.8 yr</t>
  </si>
  <si>
    <t>10.3 yr</t>
  </si>
  <si>
    <t>mature: 0.41%</t>
  </si>
  <si>
    <t>Best &amp; Da Silva. 1984. Preliminary analysis of reproductive parameters of the boutu and tucuxi in the Amazon river system.  Rep. Int. Whal. Commn. (special issue 6)</t>
  </si>
  <si>
    <t>8.5 mo</t>
  </si>
  <si>
    <t>10.7-11.2 mo</t>
  </si>
  <si>
    <t xml:space="preserve">Caldwell &amp; Caldwell. 1972. </t>
  </si>
  <si>
    <t>Reilly. 1984. Observed and maximum rates of increase in gray whales.  Rep. Int. Whal. Commn. (special issue 6)</t>
  </si>
  <si>
    <t>13 mo ?</t>
  </si>
  <si>
    <t>Perrin &amp; Reilly. 1984. Reproductive parameters of dolphins and small whales of the family delphinidae.  Rep. Int. Whal. Commn. (special issue 6)</t>
  </si>
  <si>
    <t>12-13 mo</t>
  </si>
  <si>
    <t>11.5-12 mo</t>
  </si>
  <si>
    <t>Frazer &amp; Hugget. 1973</t>
  </si>
  <si>
    <t>Purves &amp; Pilleri 1978</t>
  </si>
  <si>
    <t>Harrison. 1969.</t>
  </si>
  <si>
    <t>12 mo
11-16 mo</t>
  </si>
  <si>
    <t>Geraci &amp; St. Aubin. 1977.</t>
  </si>
  <si>
    <t>Laws, 1959.</t>
  </si>
  <si>
    <t>9 mo</t>
  </si>
  <si>
    <t>Vladykov, 1944.</t>
  </si>
  <si>
    <t>14 mo</t>
  </si>
  <si>
    <t>16 mo</t>
  </si>
  <si>
    <t>16-17 mo</t>
  </si>
  <si>
    <t>~10 yr</t>
  </si>
  <si>
    <t>~12 yr</t>
  </si>
  <si>
    <t>Mead et al. 1980.</t>
  </si>
  <si>
    <t>7-10 GLG</t>
  </si>
  <si>
    <t>Gulf of Mex</t>
  </si>
  <si>
    <t>Black Sea: 2-4 yr
E Nor Atl: 6-7 GLG</t>
  </si>
  <si>
    <t>E N. Atl:
8.3, 3.5,3.0 yr
Ant: 7.3 yr</t>
  </si>
  <si>
    <t>E N. Atl:
12, 28.9, 32.8 %
Ant: 13.7 %</t>
  </si>
  <si>
    <t>Black S: 1.3-1.5 yr</t>
  </si>
  <si>
    <t>Black S: 63%
w N Pac: 43.6 %</t>
  </si>
  <si>
    <t xml:space="preserve">east: 2.9 yr
N wb: 3.0
S wb: 3.3
</t>
  </si>
  <si>
    <t xml:space="preserve">east: 34.9 %
N wb: 32.8
S wb: 30
</t>
  </si>
  <si>
    <t>Perrin &amp; Oliver, 1982.</t>
  </si>
  <si>
    <t>ETP: 3.3 yr</t>
  </si>
  <si>
    <t>ETP: 30.4%</t>
  </si>
  <si>
    <t>w N Pac: 3yr</t>
  </si>
  <si>
    <t>w N Pac: 29.9%</t>
  </si>
  <si>
    <t>Kasuya &amp; Miyazaki, 1975.</t>
  </si>
  <si>
    <t>w N Pac: 4.2-1.8 yr</t>
  </si>
  <si>
    <t>w N Pac: 40.5-70.9 %</t>
  </si>
  <si>
    <t>3.9 yr</t>
  </si>
  <si>
    <t>w nor Pac</t>
  </si>
  <si>
    <t>ETP: 2.5-3.4yr</t>
  </si>
  <si>
    <t>ETP: 29.6-40 %</t>
  </si>
  <si>
    <t>Black Sea: 1.3,1.3,2.2-2.3 yr
ETP: 2.6</t>
  </si>
  <si>
    <t>Black Sea: 75, 75, 46.4 %
ETP: 37.8</t>
  </si>
  <si>
    <t>452 cm, n=10</t>
  </si>
  <si>
    <t>460 cm, n&gt;19</t>
  </si>
  <si>
    <t>Yonekura et al. 1980.</t>
  </si>
  <si>
    <t>330-360 cm</t>
  </si>
  <si>
    <t>241, n=4</t>
  </si>
  <si>
    <t>Fla: 250 cm, n=13
Ind Oc: 241cm, n=14</t>
  </si>
  <si>
    <t>342 cm, n=1</t>
  </si>
  <si>
    <t>225 cm</t>
  </si>
  <si>
    <t>Gurevich &amp; Stewart, 1979.</t>
  </si>
  <si>
    <t>200, n=2</t>
  </si>
  <si>
    <t>Ross, 1979.</t>
  </si>
  <si>
    <t>217, n=2</t>
  </si>
  <si>
    <t>ETP: 190 cm</t>
  </si>
  <si>
    <t>Miyazaki, 1980.</t>
  </si>
  <si>
    <t>21 yr, n=10</t>
  </si>
  <si>
    <t>Bryden et al, 1977.</t>
  </si>
  <si>
    <t>12GLG, n=1</t>
  </si>
  <si>
    <t>8-14 yr, 17 yr n=3   ???(check)</t>
  </si>
  <si>
    <t>&gt;13 yr, n=203</t>
  </si>
  <si>
    <t>14 G, n=1</t>
  </si>
  <si>
    <t>12 GLG, n=26</t>
  </si>
  <si>
    <t>Sergeant et al., 1973.</t>
  </si>
  <si>
    <t>&gt;19yr, n=17</t>
  </si>
  <si>
    <t>&gt;11yr, n=6</t>
  </si>
  <si>
    <t>&gt;13 GLG, n=2</t>
  </si>
  <si>
    <t>from B Taylor doc</t>
  </si>
  <si>
    <t>Evans &amp; Hindell 2004</t>
  </si>
  <si>
    <t>fraction mature</t>
  </si>
  <si>
    <t>parameters from incomplete refs obtained elsewhere</t>
  </si>
  <si>
    <t>all values for females when possible</t>
  </si>
  <si>
    <t>Brownell. 1984. Review of reproduction in platanistid dolphins.  Rep. Int. Whal. Commn. (special issue 6)</t>
  </si>
  <si>
    <t>15-20 yr</t>
  </si>
  <si>
    <t>18+ yr?, n=1
28 GLGs, n=1</t>
  </si>
  <si>
    <t>28 GLGs, n=1</t>
  </si>
  <si>
    <t>8-9 mo</t>
  </si>
  <si>
    <t>oldest age reprod female</t>
  </si>
  <si>
    <t>Christensen. 1984. Growth and reproduction of killer whales in Norwegian coastal waters.  Rep. Int. Whal. Commn. (special issue 6)</t>
  </si>
  <si>
    <t>Kasuya &amp; Marsh. 1984. Life history and reproductive biology of the short-finned pilot whale off the Pacific coast of Japan.  Rep. Int. Whal. Commn. (special issue 6)</t>
  </si>
  <si>
    <t>14.9 mo</t>
  </si>
  <si>
    <t>7-12 yr (mean=9.0), n=373</t>
  </si>
  <si>
    <t>63 yr</t>
  </si>
  <si>
    <t>last calf @ &lt; 40 yr</t>
  </si>
  <si>
    <t>all ages:
8.3% male
4.5% female</t>
  </si>
  <si>
    <t>1969-73: n=37
3.97 (95% CI=0.49)
1985-88: n=108
3.44 (95%CI=0.36)
significant</t>
  </si>
  <si>
    <t>1969-73: n=19
0.89 (95%=0.14)
1985-88: n=50
0.86 (95%=.096)
not significant</t>
  </si>
  <si>
    <t>1969-73: n=44
163cm (95%=8.4)
1985-88: n=116
155cm (95%=3.5)
not significant</t>
  </si>
  <si>
    <t>nSea: 6 yr</t>
  </si>
  <si>
    <t>23 GLGs</t>
  </si>
  <si>
    <t>nAtl: 12-13 yr</t>
  </si>
  <si>
    <t>Jpn: 11.4 mo
nPac: 11 mo
Bering: 11 mo</t>
  </si>
  <si>
    <t>Species</t>
  </si>
  <si>
    <t>AFR</t>
  </si>
  <si>
    <t>references</t>
  </si>
  <si>
    <t>Balaenoptera acutorostrata</t>
  </si>
  <si>
    <t>Balaenoptera bonaerensis</t>
  </si>
  <si>
    <t>182c</t>
  </si>
  <si>
    <t>189c</t>
  </si>
  <si>
    <t>O=&gt;50 or IBI&gt;2</t>
  </si>
  <si>
    <t>mean ratio</t>
  </si>
  <si>
    <t>not above</t>
  </si>
  <si>
    <t>adult2</t>
  </si>
  <si>
    <t>average of healthy</t>
  </si>
  <si>
    <t>48,51,88,163,212p</t>
  </si>
  <si>
    <t>213p</t>
  </si>
  <si>
    <t>Balaenoptera borealis</t>
  </si>
  <si>
    <t>Balaenoptera edeni</t>
  </si>
  <si>
    <t>Balaenoptera omurai</t>
  </si>
  <si>
    <t>Balaenoptera physalus</t>
  </si>
  <si>
    <t>0.85 (SE=0.034)</t>
  </si>
  <si>
    <t>Calambokidis &amp; Barlow 2004</t>
  </si>
  <si>
    <t>Balaenoptera musculus</t>
  </si>
  <si>
    <t>0.975 (95% CI 0.960-0.985)</t>
  </si>
  <si>
    <t>Megaptera novaeangliae</t>
  </si>
  <si>
    <t>0.951 (95% CI 0.929-0.969)</t>
  </si>
  <si>
    <t>Buckland 1990</t>
  </si>
  <si>
    <t>0.957 (SE=0.028)</t>
  </si>
  <si>
    <t>-</t>
  </si>
  <si>
    <t>Larsen &amp; Hammond 2004</t>
  </si>
  <si>
    <t>Barlow &amp; Clapham 1997</t>
  </si>
  <si>
    <t>0.96 (SE=0.008; CI 0.92–0.98)</t>
  </si>
  <si>
    <t>Steiger and Calambokidis 2000</t>
  </si>
  <si>
    <t>0.963 (0.944-0.976)</t>
  </si>
  <si>
    <t>0.984 (0.954-0.995)</t>
  </si>
  <si>
    <t>0.957 (0.943-0.967)</t>
  </si>
  <si>
    <t>0.973-0.986</t>
  </si>
  <si>
    <t>0.759 (95% CI = 0.566-0.897)[i]</t>
  </si>
  <si>
    <t>Gabriele et al. (2001)</t>
  </si>
  <si>
    <t>Caperea marginata</t>
  </si>
  <si>
    <t>Eschrichtius robustus</t>
  </si>
  <si>
    <t>0.951 (SE=0.0135; 95%CI 0.917-0.972)</t>
  </si>
  <si>
    <t>Balaena mysticetus</t>
  </si>
  <si>
    <t>Eubalaena australis</t>
  </si>
  <si>
    <t>Eubalaena glacialis</t>
  </si>
  <si>
    <t>Eubalaena japonica</t>
  </si>
  <si>
    <t>Berardius arnuxii</t>
  </si>
  <si>
    <t>Berardius bairdii</t>
  </si>
  <si>
    <t>Hyperoodon ampullatus</t>
  </si>
  <si>
    <t>Hyperoodon planifrons</t>
  </si>
  <si>
    <t>Indopacetus pacificus</t>
  </si>
  <si>
    <t>Mesoplodon bidens</t>
  </si>
  <si>
    <t>Mesoplodon blainvillei</t>
  </si>
  <si>
    <t>Mesoplodon bowdoini</t>
  </si>
  <si>
    <t>Mesoplodon carlhubbsi</t>
  </si>
  <si>
    <t>Mesoplodon densirostris</t>
  </si>
  <si>
    <t>Mesoplodon europaeus</t>
  </si>
  <si>
    <t>Mesoplodon ginkgodens</t>
  </si>
  <si>
    <t>Mesoplodon grayi</t>
  </si>
  <si>
    <t>Mesoplodon hectori</t>
  </si>
  <si>
    <t>Mesoplodon layardii</t>
  </si>
  <si>
    <t>Mesoplodon mirus</t>
  </si>
  <si>
    <t>Mesoplodon perrini</t>
  </si>
  <si>
    <t>Mesoplodon peruvianus</t>
  </si>
  <si>
    <t>Mesoplodon stejnegeri</t>
  </si>
  <si>
    <t>Mesoplodon traversii</t>
  </si>
  <si>
    <t>Tasmacetus shepherdi</t>
  </si>
  <si>
    <t>Ziphius cavirostris</t>
  </si>
  <si>
    <t>Delphinapterus leucas</t>
  </si>
  <si>
    <t>Monodon monoceros</t>
  </si>
  <si>
    <t>Kogia breviceps</t>
  </si>
  <si>
    <t>Kogia sima</t>
  </si>
  <si>
    <t xml:space="preserve"> Best 1970,  Best et al 1984</t>
  </si>
  <si>
    <t>Physeter macrocephalus</t>
  </si>
  <si>
    <t>Cephalorhynchus commersonii</t>
  </si>
  <si>
    <t>Cephalorhynchus eutropia</t>
  </si>
  <si>
    <t>Cephalorhynchus heavisidii</t>
  </si>
  <si>
    <t>Cephalorhynchus hectori</t>
  </si>
  <si>
    <t>Delphinus capensis</t>
  </si>
  <si>
    <t>Delphinus delphis</t>
  </si>
  <si>
    <t>Lagenodelphis hosei</t>
  </si>
  <si>
    <t>Lagenorhynchus acutus</t>
  </si>
  <si>
    <t>Lagenorhynchus albirostris</t>
  </si>
  <si>
    <t>Lagenorhynchus australis</t>
  </si>
  <si>
    <t>Lagenorhynchus cruciger</t>
  </si>
  <si>
    <t>Lagenorhynchus obliquidens</t>
  </si>
  <si>
    <t>Lagenorhynchus obscurus</t>
  </si>
  <si>
    <t>Lissodelphis borealis</t>
  </si>
  <si>
    <t>Lissodelphis peronii</t>
  </si>
  <si>
    <t>Sotalia fluviatilis</t>
  </si>
  <si>
    <t>Sotalia guianensis</t>
  </si>
  <si>
    <t>Sousa chinensis</t>
  </si>
  <si>
    <t>Sousa teuszii</t>
  </si>
  <si>
    <t>Stenella attenuata</t>
  </si>
  <si>
    <t>Barlow&amp;Boveng 1991</t>
  </si>
  <si>
    <t>Stenella coeruleoalba</t>
  </si>
  <si>
    <t>Stenella clymene</t>
  </si>
  <si>
    <t>Stenella frontalis</t>
  </si>
  <si>
    <t>Stenella longirostris</t>
  </si>
  <si>
    <t>Steno bredanensis</t>
  </si>
  <si>
    <t>Tursiops aduncus</t>
  </si>
  <si>
    <t>Tursiops truncatus</t>
  </si>
  <si>
    <t>0.942 (0.015)</t>
  </si>
  <si>
    <t>Doubtfull Sound (New Zealand), Haase and Schneider 2001</t>
  </si>
  <si>
    <t>0.977 (0.0812)</t>
  </si>
  <si>
    <t>0.994 (0.008)</t>
  </si>
  <si>
    <t>0.032 (SE=0.0128)</t>
  </si>
  <si>
    <t>0.833 (0.1076)</t>
  </si>
  <si>
    <t>0.961 (0.012)</t>
  </si>
  <si>
    <t>Sado (Portugal), 1994-2001, Gaspar 2003</t>
  </si>
  <si>
    <t>Sarasota (Florida), Wells and Scott 1990</t>
  </si>
  <si>
    <t>0.925 (0.036; 0.816 - 0.972)</t>
  </si>
  <si>
    <t>11-12</t>
  </si>
  <si>
    <t>0.914 (0.029; 0.836 - 0.957)</t>
  </si>
  <si>
    <t>Oe</t>
  </si>
  <si>
    <t xml:space="preserve">T(r) </t>
  </si>
  <si>
    <t xml:space="preserve">P(r) </t>
  </si>
  <si>
    <t>P(r=0)</t>
  </si>
  <si>
    <t>Kvarneric (Croatia), 2002-2003, Fortuna 2006</t>
  </si>
  <si>
    <t>Perrin and Reilly 1984; Kasuya et al. 1997; Reynolds et al. 2000</t>
  </si>
  <si>
    <t>Feresa attenuata</t>
  </si>
  <si>
    <t>Globicephala macrorhynchus</t>
  </si>
  <si>
    <t>Globicephala melas</t>
  </si>
  <si>
    <t>Grampus griseus</t>
  </si>
  <si>
    <t>Orcaella brevirostris</t>
  </si>
  <si>
    <t>Orcaella heinsohni</t>
  </si>
  <si>
    <t>r calc</t>
  </si>
  <si>
    <t>mat%(r)</t>
  </si>
  <si>
    <t>gen(r=x)</t>
  </si>
  <si>
    <t>gen(r=0)</t>
  </si>
  <si>
    <t>mat%(r=0)</t>
  </si>
  <si>
    <t>Orcinus orca</t>
  </si>
  <si>
    <t>Brault &amp; Caswell 1993</t>
  </si>
  <si>
    <t>Peponocephala electra</t>
  </si>
  <si>
    <t>Pseudorca crassidens</t>
  </si>
  <si>
    <t>Neophocaena phocaenoides</t>
  </si>
  <si>
    <t>Phocoena dioptrica</t>
  </si>
  <si>
    <t>Phocoena phocoena</t>
  </si>
  <si>
    <t xml:space="preserve">Barlow&amp;Boveng 1991 </t>
  </si>
  <si>
    <t>Phocoena sinus</t>
  </si>
  <si>
    <t>Phocoena spinipinnis</t>
  </si>
  <si>
    <t>Phocoenoides dalli</t>
  </si>
  <si>
    <t>Platanista gangetica</t>
  </si>
  <si>
    <t>Lipotes vexillifer</t>
  </si>
  <si>
    <t>Inia geoffrensis</t>
  </si>
  <si>
    <t>Pontoporia blainvillei</t>
  </si>
  <si>
    <t>0.99 in 1980 0.94 in 1994</t>
  </si>
  <si>
    <t>5.2% in 1980  -2.4% in 1994</t>
  </si>
  <si>
    <t>Sado (Portugal), 1986-1993, Gaspar 2003,  Fecundity Rate = 0.080 (SE=0.0313) assuming a sex ratio of 1:1, to 0.057 (SE= 0.0227) assuming a sex ratio of 1:2.3. The corresponding calving intervals ranged from 12.5 to 17.5 years, respectively. Estimated calving intervals are clearly longer than the inter-birth intervals calculated from data on individual female reproductive history, which ranged from 3 to 11 years</t>
  </si>
  <si>
    <t>Max and min average growth rates: 2% and -5%.  rdet = -0.004</t>
  </si>
  <si>
    <t>Kvarneric (Croatia), 1997, Fortuna 2006  The mean annual fecundity rate was 0.171 (n=9, SE=0.046, range: 0.040-0.370); the coinciding mean calving interval was 5.8 years.</t>
  </si>
  <si>
    <t>Min  -6.4%  Max 0.04%  (from PVA)</t>
  </si>
  <si>
    <t>0.059  (0.0094)</t>
  </si>
  <si>
    <t>0.056 (SE=0.0086)</t>
  </si>
  <si>
    <t>Moray Firth (UK), Sanders-Reed et al. 1999  Fecundity Rate = 0.167 (SE=0.0241) assuming a sex ratio of 1:1</t>
  </si>
  <si>
    <t>0.068  (0.0154)</t>
  </si>
  <si>
    <r>
      <t xml:space="preserve">Ramp </t>
    </r>
    <r>
      <rPr>
        <i/>
        <sz val="8"/>
        <rFont val="Times New Roman"/>
        <family val="1"/>
      </rPr>
      <t>et al.</t>
    </r>
    <r>
      <rPr>
        <sz val="8"/>
        <rFont val="Times New Roman"/>
        <family val="1"/>
      </rPr>
      <t xml:space="preserve"> unpublished</t>
    </r>
  </si>
  <si>
    <t>&gt;0.05</t>
  </si>
  <si>
    <r>
      <t xml:space="preserve">Hawai’i, Mizroch </t>
    </r>
    <r>
      <rPr>
        <i/>
        <sz val="8"/>
        <rFont val="Times New Roman"/>
        <family val="1"/>
      </rPr>
      <t xml:space="preserve">et al. </t>
    </r>
    <r>
      <rPr>
        <sz val="8"/>
        <rFont val="Times New Roman"/>
        <family val="1"/>
      </rPr>
      <t>2004</t>
    </r>
  </si>
  <si>
    <r>
      <t xml:space="preserve">Alaska, Mizroch </t>
    </r>
    <r>
      <rPr>
        <i/>
        <sz val="8"/>
        <rFont val="Times New Roman"/>
        <family val="1"/>
      </rPr>
      <t xml:space="preserve">et al. </t>
    </r>
    <r>
      <rPr>
        <sz val="8"/>
        <rFont val="Times New Roman"/>
        <family val="1"/>
      </rPr>
      <t>2004</t>
    </r>
  </si>
  <si>
    <r>
      <t xml:space="preserve">Prince William Sound, Mizroch </t>
    </r>
    <r>
      <rPr>
        <i/>
        <sz val="8"/>
        <rFont val="Times New Roman"/>
        <family val="1"/>
      </rPr>
      <t xml:space="preserve">et al. </t>
    </r>
    <r>
      <rPr>
        <sz val="8"/>
        <rFont val="Times New Roman"/>
        <family val="1"/>
      </rPr>
      <t>2004</t>
    </r>
  </si>
  <si>
    <r>
      <t xml:space="preserve">Ramp </t>
    </r>
    <r>
      <rPr>
        <i/>
        <sz val="8"/>
        <rFont val="Times New Roman"/>
        <family val="1"/>
      </rPr>
      <t>et al</t>
    </r>
    <r>
      <rPr>
        <sz val="8"/>
        <rFont val="Times New Roman"/>
        <family val="1"/>
      </rPr>
      <t>. 2005</t>
    </r>
  </si>
  <si>
    <r>
      <t xml:space="preserve">Zeh </t>
    </r>
    <r>
      <rPr>
        <i/>
        <sz val="8"/>
        <rFont val="Times New Roman"/>
        <family val="1"/>
      </rPr>
      <t xml:space="preserve">et al. </t>
    </r>
    <r>
      <rPr>
        <sz val="8"/>
        <rFont val="Times New Roman"/>
        <family val="1"/>
      </rPr>
      <t>2002</t>
    </r>
  </si>
  <si>
    <r>
      <t xml:space="preserve">Caswell </t>
    </r>
    <r>
      <rPr>
        <i/>
        <sz val="8"/>
        <rFont val="Times New Roman"/>
        <family val="1"/>
      </rPr>
      <t xml:space="preserve">et al. </t>
    </r>
    <r>
      <rPr>
        <sz val="8"/>
        <rFont val="Times New Roman"/>
        <family val="1"/>
      </rPr>
      <t>1999</t>
    </r>
  </si>
  <si>
    <t>-14.8％</t>
  </si>
  <si>
    <r>
      <t xml:space="preserve">Best 1982 </t>
    </r>
    <r>
      <rPr>
        <i/>
        <sz val="8"/>
        <rFont val="Times New Roman"/>
        <family val="1"/>
      </rPr>
      <t>RIWC</t>
    </r>
    <r>
      <rPr>
        <sz val="8"/>
        <rFont val="Times New Roman"/>
        <family val="1"/>
      </rPr>
      <t xml:space="preserve"> 32: 759</t>
    </r>
  </si>
  <si>
    <r>
      <t>Calculated according to Yang et al. (1998) (S</t>
    </r>
    <r>
      <rPr>
        <vertAlign val="subscript"/>
        <sz val="8"/>
        <rFont val="Times New Roman"/>
        <family val="1"/>
      </rPr>
      <t>O</t>
    </r>
    <r>
      <rPr>
        <sz val="8"/>
        <rFont val="Times New Roman"/>
        <family val="1"/>
      </rPr>
      <t>, S</t>
    </r>
    <r>
      <rPr>
        <vertAlign val="subscript"/>
        <sz val="8"/>
        <rFont val="Times New Roman"/>
        <family val="1"/>
      </rPr>
      <t>A</t>
    </r>
    <r>
      <rPr>
        <sz val="8"/>
        <rFont val="Times New Roman"/>
        <family val="1"/>
      </rPr>
      <t>, B); Zhang (1992)(AFR)</t>
    </r>
  </si>
  <si>
    <t>Chen et al. (1997) (r, AFR); Lui (1991) (B)</t>
  </si>
  <si>
    <t>growth rate r</t>
  </si>
  <si>
    <r>
      <t>Survival</t>
    </r>
    <r>
      <rPr>
        <b/>
        <vertAlign val="subscript"/>
        <sz val="10"/>
        <rFont val="Times New Roman"/>
        <family val="1"/>
      </rPr>
      <t>A</t>
    </r>
  </si>
  <si>
    <r>
      <t>Survival</t>
    </r>
    <r>
      <rPr>
        <b/>
        <vertAlign val="subscript"/>
        <sz val="10"/>
        <rFont val="Times New Roman"/>
        <family val="1"/>
      </rPr>
      <t>0</t>
    </r>
  </si>
  <si>
    <t>birth rate B</t>
  </si>
  <si>
    <t>avg age mature female</t>
  </si>
  <si>
    <t>gestation period</t>
  </si>
  <si>
    <t>generation time</t>
  </si>
  <si>
    <t>ASM</t>
  </si>
  <si>
    <t>asymp length</t>
  </si>
  <si>
    <t>asymp weigth</t>
  </si>
  <si>
    <t>oldest age</t>
  </si>
  <si>
    <t>Lockyer 1972, Age at sexual maturity of the southern fin whale using annual layer counts in the ear plug. International Council for the Exploration of the Sea Journal, 34(2), p.276-294</t>
  </si>
  <si>
    <t>Kato 1983, Some considerations on the decline in age at sexual maturity of the antarctic minke whale, Rep. Int. Whal. Commn. 33: 393-399</t>
  </si>
  <si>
    <t>6 yrs for 1958 yr class, ear plugs, n=232 females, decline over years
6-7yrs, 50% mature, n=167 females
6.7 yrs, corpora regression, n=91 females</t>
  </si>
  <si>
    <t>7 yrs (SD=1.470) for 1965 yr class, ear plugs, n=936 females, decline over years
6-6.5 yrs, 50% mature, n=? females
4.7 yrs, corpora regression, n=? females</t>
  </si>
  <si>
    <t>calving interval</t>
  </si>
  <si>
    <t>Herzing 1997, Life history of fre-ranging Atlantic spotted dolphins… Mar Mamm. Sci 13(4):576-595</t>
  </si>
  <si>
    <t>2.96 yrs (SD=1.224), n=24 from 1985-1994</t>
  </si>
  <si>
    <t>AFB</t>
  </si>
  <si>
    <t>AFB = age at first birth (parturition)</t>
  </si>
  <si>
    <t>10-12 yrs (n=5)</t>
  </si>
  <si>
    <t>8-15 yrs</t>
  </si>
  <si>
    <t>pregnancy rate</t>
  </si>
  <si>
    <t>0.25 (SD=0.045)</t>
  </si>
  <si>
    <t>S0=survival from birth to the first birthday</t>
  </si>
  <si>
    <t>SA=non-calf survival</t>
  </si>
  <si>
    <t>AFR=age at first reproduction (the average age of first-time mothers when they become pregnant)</t>
  </si>
  <si>
    <t>B=crude birth rate (birth of female offspring/year).</t>
  </si>
  <si>
    <t>6 yrs by gonad examination</t>
  </si>
  <si>
    <t>10 months</t>
  </si>
  <si>
    <t>14 months</t>
  </si>
  <si>
    <t>29.19 ft</t>
  </si>
  <si>
    <t>47.6% (95% CI= 44.3-51.0)</t>
  </si>
  <si>
    <t>53 GLGs</t>
  </si>
  <si>
    <t>8.1 +/- 3.3 GLGs</t>
  </si>
  <si>
    <t>8.2 yrs (95% CI=7.3-9.0) n=273</t>
  </si>
  <si>
    <t>52 ft +/- 0.49</t>
  </si>
  <si>
    <t>0.238???</t>
  </si>
  <si>
    <t>Hamilton et al. 1998. Age structure and longevity in north atlantic right whales and their relation to reproduction.  Mar. Ecol. Prog. Ser. 171:285</t>
  </si>
  <si>
    <t>*3-5 yrs</t>
  </si>
  <si>
    <t>*2.5 %/yr (SE=0.3%)</t>
  </si>
  <si>
    <r>
      <t xml:space="preserve">*Bradford </t>
    </r>
    <r>
      <rPr>
        <i/>
        <sz val="8"/>
        <rFont val="Times New Roman"/>
        <family val="1"/>
      </rPr>
      <t>et al.</t>
    </r>
    <r>
      <rPr>
        <sz val="8"/>
        <rFont val="Times New Roman"/>
        <family val="1"/>
      </rPr>
      <t xml:space="preserve"> 2006. Survival estimates of western gray whales E. rob. Incorporating individual heterogeneity and temporary emigration. Mar. Ecol. Prog. Ser.  315:293-307.
Calf-survival S=0.701 (SE=0.0944, 95% CI=0.492-0.850)</t>
    </r>
  </si>
  <si>
    <t>IBI</t>
  </si>
  <si>
    <t>oldest age (est)</t>
  </si>
  <si>
    <t>from congener</t>
  </si>
  <si>
    <t>calculated from formula</t>
  </si>
  <si>
    <t>6-12 yr</t>
  </si>
  <si>
    <t>4-6 yrs</t>
  </si>
  <si>
    <t>weaning at 2</t>
  </si>
  <si>
    <t>Marsh et al. 1989</t>
  </si>
  <si>
    <t>category</t>
  </si>
  <si>
    <t>calf multiplier</t>
  </si>
  <si>
    <t>adult survival (SA)</t>
  </si>
  <si>
    <t>min age in category</t>
  </si>
  <si>
    <t>calf survival (S0)</t>
  </si>
  <si>
    <t>Non-calf survival (SA)</t>
  </si>
  <si>
    <t>69 yr</t>
  </si>
  <si>
    <t>9.6 yr (SD=2.33)
n=20, likely to increase</t>
  </si>
  <si>
    <t>Knowlton et al. 1994. Reproduction in north atlantic right whales.  Can. J. Zool. 72:1297.</t>
  </si>
  <si>
    <t>7.57 yr (SE=0.63), likely to increase</t>
  </si>
  <si>
    <t>GARR</t>
  </si>
  <si>
    <t>theoretical: 5.9-7.9%
observed: 4.5% (SE=0.5)</t>
  </si>
  <si>
    <t>1.5-3.4%
x=2.5% (SE=0.3)</t>
  </si>
  <si>
    <t>mortality</t>
  </si>
  <si>
    <t>* 1 yr</t>
  </si>
  <si>
    <t>Mitchel et al. 1975. Supplementary info on minke whale from Newfoundland fishery.  J. Fish. Res. Can 32:985.</t>
  </si>
  <si>
    <t>34.1%, n=123</t>
  </si>
  <si>
    <t>85.7%, n=42</t>
  </si>
  <si>
    <t>14 GLG, n=49</t>
  </si>
  <si>
    <t>curve in text</t>
  </si>
  <si>
    <t>7.3 GLG, n=6</t>
  </si>
  <si>
    <t>Aguilar et al. 1987. Growth, physical maturity, and mortality of fin whales inhabiting temperate waters of the northeast atlantic.  Can. J. Zool. 65:253.</t>
  </si>
  <si>
    <t>*11 months</t>
  </si>
  <si>
    <t>20.70 m (SE= 0.071)</t>
  </si>
  <si>
    <t>*0.04-0.06</t>
  </si>
  <si>
    <t>Best et al. 1998. Estimating natural mortality rate in reproductively active female southern right whales.  Mar. Mamm. Sci 14(4):738</t>
  </si>
  <si>
    <t>*7%</t>
  </si>
  <si>
    <t>*3 yrs</t>
  </si>
  <si>
    <t>0.0255+/-0.0071
n=177
0.0227+/-0.0192
repro females only!</t>
  </si>
  <si>
    <t>1.1-2.8%
x=2.1% (SE=0.3)
natural + anthro</t>
  </si>
  <si>
    <t>Lockyer 1974. Investigation of the ear plug of the southern sei whale as a valid means of determining age.  J. Cons. Int. Explor. Mer 36(1):71</t>
  </si>
  <si>
    <t>14 m</t>
  </si>
  <si>
    <t>8.4 yrs, n=82</t>
  </si>
  <si>
    <t>Amano et al. 1996.  Life history of fraser's dolphin based on a school captured off the pacific coast of japan.  Mar. Mamm. Sci 12(2):199</t>
  </si>
  <si>
    <t>220-250 cm</t>
  </si>
  <si>
    <t>46.4% but could be segregated school</t>
  </si>
  <si>
    <t>17.5 yr</t>
  </si>
  <si>
    <t>5-8 yr</t>
  </si>
  <si>
    <t>12.4-12.6 mo</t>
  </si>
  <si>
    <t>1.96-2.26 yr</t>
  </si>
  <si>
    <t>Kraus 1990. Rates and potential causes of mortality in north atlantic right whales.  Mar. Mamm. Sci. 64(4):278</t>
  </si>
  <si>
    <t>2-17% over 1st 4 yrs</t>
  </si>
  <si>
    <t>Mizroch et al. 1984.  The sei whale.  Mar. Fish.Rev. 46(4):25</t>
  </si>
  <si>
    <t>5-15 yr</t>
  </si>
  <si>
    <t>*5-15 yr</t>
  </si>
  <si>
    <t>*2-3 yr</t>
  </si>
  <si>
    <t>*7.5%</t>
  </si>
  <si>
    <t>Mizroch et al. 1984.  The blue whale.  Mar. Fish. Rev. 46(4):15</t>
  </si>
  <si>
    <t>1 yr</t>
  </si>
  <si>
    <t>*4%</t>
  </si>
  <si>
    <t>Rice et al. 1984. The gray whale. Mar. Fish. Rev. 46(4):7</t>
  </si>
  <si>
    <t>*8 yr</t>
  </si>
  <si>
    <t>0.46 per yr</t>
  </si>
  <si>
    <t>*13.5 mo</t>
  </si>
  <si>
    <t>0.095 for females &gt;8yr by ear plug
*0.082 by corpora count
*0.056 adult
*0.132 juvenile</t>
  </si>
  <si>
    <t>Agler et al. 1993. Reproduction of photographically identified fin whales for the gulf of maine.  J. Mamm. 74(3):577.</t>
  </si>
  <si>
    <t>0.37 calf/yr</t>
  </si>
  <si>
    <t>*17-19 m</t>
  </si>
  <si>
    <t>0.03-0.12</t>
  </si>
  <si>
    <t>2.24 yr (SE=0.14), n=17</t>
  </si>
  <si>
    <t>Sumich et al. 1986. Juvenile mortality in gray whales.  J. Mamm. 67(1):179</t>
  </si>
  <si>
    <t xml:space="preserve"> 0.36 for calves</t>
  </si>
  <si>
    <t>*0.014</t>
  </si>
  <si>
    <t>Ratnaswamy et al. 1993. Photogrammetric estimates of allometry and calf production in fin whales.  J. Mamm. 74(2):323</t>
  </si>
  <si>
    <t>0-12%</t>
  </si>
  <si>
    <t>4% calf production</t>
  </si>
  <si>
    <t>no estimate for</t>
  </si>
  <si>
    <t>Gen_Cet dif shows the differences between the draft Admin Report and the new calculations with revised demographic parameters.</t>
  </si>
  <si>
    <t>Table 1 is the Table cut and pasted into the current version of the report (i.e. links to Gen_Cet5).  The species have been sorted to be in alphabetical order and all zeros have been deleted (to be blanks)</t>
  </si>
  <si>
    <t>Striped_Spotted are Kasuya's raw data with calculations on average age of parents (Generation length T).</t>
  </si>
  <si>
    <t>Figure 1 is on this page</t>
  </si>
  <si>
    <t>Figures 2 &amp; 3 are at the bottom of this sheet together with a number of figures not used in the text</t>
  </si>
  <si>
    <t>Figures 4-6 are on the right side</t>
  </si>
  <si>
    <t>65-70</t>
  </si>
  <si>
    <t>70-75</t>
  </si>
  <si>
    <t>75-80</t>
  </si>
  <si>
    <t>80-85</t>
  </si>
  <si>
    <t>Van Waerebeek et al. 1994. Reproduction of dusky dolphins from coastal peru.  J. Mamm 75(4):1054</t>
  </si>
  <si>
    <t>28.6 mo</t>
  </si>
  <si>
    <t>12.9 mo</t>
  </si>
  <si>
    <t>Clapham.  1992. Age at attainment of sexual maturity in humpback whales.  Can. J. Zool. 70:1470</t>
  </si>
  <si>
    <t>4.92 yr, n=12</t>
  </si>
  <si>
    <t>12 mo</t>
  </si>
  <si>
    <t>*2.35 yr, n=55</t>
  </si>
  <si>
    <t>Read et al.  1990.  Changes in growth and reproduction of harbour porpoises from the bay of fundy.  Can. J. Fish. Aquat. Sci. 47:2158</t>
  </si>
  <si>
    <t>Ohsumi  1964.  Examination on age determination of the fin whale.  Sci. Rept. Whales Res. Inst.  (18):49</t>
  </si>
  <si>
    <t>10 yr</t>
  </si>
  <si>
    <t>Shirakihara et al. 1993.  Age, growth, and reproduction of the finless porpoise in the coastal waters of western kyushu, japan.  Mar. Mamm. Sci.  9(4):392</t>
  </si>
  <si>
    <t>6-9 yr</t>
  </si>
  <si>
    <t>157.7 cm</t>
  </si>
  <si>
    <t>Gao et al.  1993.  Growth and reproduction of three populations of finless porpoise in chinese waters.  Aquat. Mamm.  19(1):3</t>
  </si>
  <si>
    <t>5-7 yr</t>
  </si>
  <si>
    <t>8.0 m</t>
  </si>
  <si>
    <t>8 (50%)-13(95%) yr</t>
  </si>
  <si>
    <t>3 (50%)-6(95%) yr</t>
  </si>
  <si>
    <t>5-8 yr, n=23</t>
  </si>
  <si>
    <t>12 mo, n=23</t>
  </si>
  <si>
    <t>2 yr, n=23</t>
  </si>
  <si>
    <t>30 yr, n=28</t>
  </si>
  <si>
    <t>177.3 cm, n=28</t>
  </si>
  <si>
    <t>from Mesnick Table 1</t>
  </si>
  <si>
    <t>max female length</t>
  </si>
  <si>
    <t>Best. 1994.  Seasonality of reproduction and length of gestation in southern right whales. J. Zool. Lond. 232:175</t>
  </si>
  <si>
    <t>357 or 396 days, n=89</t>
  </si>
  <si>
    <t>12.3 yr (SE=0.269), n=84</t>
  </si>
  <si>
    <t>4 yr</t>
  </si>
  <si>
    <t>Kingsley 1989.  Population dynamics of the narwhal: an initial assessment.  J. Zool. Lond. 219:201</t>
  </si>
  <si>
    <t>*50 yr</t>
  </si>
  <si>
    <t>0.05-0.13 (relative error=0.9)</t>
  </si>
  <si>
    <t>*5-8 yr</t>
  </si>
  <si>
    <t>*10-12 yr</t>
  </si>
  <si>
    <t>7-13 yr (RE=0.6)</t>
  </si>
  <si>
    <t>*14 mo</t>
  </si>
  <si>
    <t>3 yr</t>
  </si>
  <si>
    <t>3 yr (RE=0.24)</t>
  </si>
  <si>
    <t>*0.3-0.38</t>
  </si>
  <si>
    <t>Kasuya et al. 1988</t>
  </si>
  <si>
    <t>0.09-0.16</t>
  </si>
  <si>
    <t>Burns et al. 1985</t>
  </si>
  <si>
    <t>5.4% adults
50% subadults (0-5yr)</t>
  </si>
  <si>
    <t>Sergeant 1962</t>
  </si>
  <si>
    <t>35% (0-1yr)
4.5% all other yrs</t>
  </si>
  <si>
    <t>Nerini et al. 1984.  Life history of the bowhead whale. J. Zool. Lond. 204:43</t>
  </si>
  <si>
    <t>13 mo, n&lt;=169</t>
  </si>
  <si>
    <t>0.15 (95% CI=0.02-0.43), n=13</t>
  </si>
  <si>
    <t>3-6 yr</t>
  </si>
  <si>
    <t>3.6-11.6%</t>
  </si>
  <si>
    <t>Rosas et al. 2001.  Reproductive parameters of franciscanas on the coast of sao paulo and parana states, brazil.  Mammalia. 66(2):231</t>
  </si>
  <si>
    <t>2 yr</t>
  </si>
  <si>
    <t>10.6 mo</t>
  </si>
  <si>
    <t>Danilewicz et al. 2000</t>
  </si>
  <si>
    <t>2-3 yr</t>
  </si>
  <si>
    <t>3-5 yr</t>
  </si>
  <si>
    <t>Ramos et al. 2000</t>
  </si>
  <si>
    <t>4-5 yr, n=18</t>
  </si>
  <si>
    <t>10.5-11 mo</t>
  </si>
  <si>
    <t>10.5 mo</t>
  </si>
  <si>
    <t>Kraus et al. 2001.  Reproductive parameters of the north atlantic right whale.  J. Cet. Res. Man. (special issue 2) 2:231</t>
  </si>
  <si>
    <t>superceeds Knowlton et al. 1994.</t>
  </si>
  <si>
    <t>notes</t>
  </si>
  <si>
    <t>3.67 yr (SE=0.11), n=86</t>
  </si>
  <si>
    <t>5.3 yr, n=22</t>
  </si>
  <si>
    <t>9.53 yr (SD=2.32)</t>
  </si>
  <si>
    <t>0.036-0.049</t>
  </si>
  <si>
    <t>0.25 (SD=0.094)</t>
  </si>
  <si>
    <t>Duffield et al.  1995.  Killer whale reproduction at sea world.  Zoo Bio.  14:417</t>
  </si>
  <si>
    <t>517 day (SD=20)</t>
  </si>
  <si>
    <t>10.0-10.3</t>
  </si>
  <si>
    <t>15.2-16.2 mo</t>
  </si>
  <si>
    <t>15.7 mo</t>
  </si>
  <si>
    <t>Lowry 1974</t>
  </si>
  <si>
    <t>15.5 mo</t>
  </si>
  <si>
    <t>Sergeant et al. 1980</t>
  </si>
  <si>
    <t>11 mo</t>
  </si>
  <si>
    <t>6-7yr</t>
  </si>
  <si>
    <t>Miyazaki 1977</t>
  </si>
  <si>
    <t>9 yr</t>
  </si>
  <si>
    <t>3.3 yr</t>
  </si>
  <si>
    <t>*  cited from another source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</si>
</sst>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
    <numFmt numFmtId="171" formatCode="&quot;£&quot;#,##0;\-&quot;£&quot;#,##0"/>
    <numFmt numFmtId="172" formatCode="&quot;£&quot;#,##0;[Red]\-&quot;£&quot;#,##0"/>
    <numFmt numFmtId="173" formatCode="&quot;£&quot;#,##0.00;\-&quot;£&quot;#,##0.00"/>
    <numFmt numFmtId="174" formatCode="&quot;£&quot;#,##0.00;[Red]\-&quot;£&quot;#,##0.00"/>
    <numFmt numFmtId="175" formatCode="_-&quot;£&quot;* #,##0_-;\-&quot;£&quot;* #,##0_-;_-&quot;£&quot;* &quot;-&quot;_-;_-@_-"/>
    <numFmt numFmtId="176" formatCode="_-* #,##0_-;\-* #,##0_-;_-* &quot;-&quot;_-;_-@_-"/>
    <numFmt numFmtId="177" formatCode="_-&quot;£&quot;* #,##0.00_-;\-&quot;£&quot;* #,##0.00_-;_-&quot;£&quot;* &quot;-&quot;??_-;_-@_-"/>
    <numFmt numFmtId="178" formatCode="_-* #,##0.00_-;\-* #,##0.00_-;_-* &quot;-&quot;??_-;_-@_-"/>
    <numFmt numFmtId="179" formatCode="0.000"/>
  </numFmts>
  <fonts count="45">
    <font>
      <sz val="10"/>
      <name val="Arial"/>
      <family val="0"/>
    </font>
    <font>
      <sz val="10"/>
      <name val="Times New Roman"/>
      <family val="1"/>
    </font>
    <font>
      <b/>
      <sz val="10"/>
      <name val="Times New Roman"/>
      <family val="1"/>
    </font>
    <font>
      <b/>
      <vertAlign val="subscript"/>
      <sz val="10"/>
      <name val="Times New Roman"/>
      <family val="1"/>
    </font>
    <font>
      <i/>
      <sz val="10"/>
      <name val="Times New Roman"/>
      <family val="1"/>
    </font>
    <font>
      <sz val="8"/>
      <name val="Times New Roman"/>
      <family val="1"/>
    </font>
    <font>
      <u val="single"/>
      <sz val="10"/>
      <color indexed="12"/>
      <name val="Arial"/>
      <family val="0"/>
    </font>
    <font>
      <u val="single"/>
      <sz val="10"/>
      <color indexed="36"/>
      <name val="Arial"/>
      <family val="0"/>
    </font>
    <font>
      <i/>
      <sz val="8"/>
      <name val="Times New Roman"/>
      <family val="1"/>
    </font>
    <font>
      <vertAlign val="subscript"/>
      <sz val="8"/>
      <name val="Times New Roman"/>
      <family val="1"/>
    </font>
    <font>
      <sz val="8"/>
      <name val="Arial"/>
      <family val="2"/>
    </font>
    <font>
      <sz val="8"/>
      <name val="Tahoma"/>
      <family val="0"/>
    </font>
    <font>
      <b/>
      <sz val="8"/>
      <name val="Tahoma"/>
      <family val="0"/>
    </font>
    <font>
      <sz val="14.25"/>
      <name val="Arial"/>
      <family val="0"/>
    </font>
    <font>
      <b/>
      <sz val="14.25"/>
      <name val="Arial"/>
      <family val="0"/>
    </font>
    <font>
      <sz val="1.5"/>
      <name val="Arial"/>
      <family val="0"/>
    </font>
    <font>
      <b/>
      <sz val="1.5"/>
      <name val="Arial"/>
      <family val="0"/>
    </font>
    <font>
      <sz val="14.5"/>
      <name val="Arial"/>
      <family val="0"/>
    </font>
    <font>
      <b/>
      <sz val="14.5"/>
      <name val="Arial"/>
      <family val="0"/>
    </font>
    <font>
      <sz val="12"/>
      <name val="Arial"/>
      <family val="0"/>
    </font>
    <font>
      <b/>
      <sz val="12"/>
      <name val="Arial"/>
      <family val="0"/>
    </font>
    <font>
      <b/>
      <sz val="19"/>
      <name val="Arial"/>
      <family val="0"/>
    </font>
    <font>
      <b/>
      <sz val="15.75"/>
      <name val="Arial"/>
      <family val="0"/>
    </font>
    <font>
      <i/>
      <sz val="10"/>
      <name val="Arial"/>
      <family val="0"/>
    </font>
    <font>
      <sz val="15.75"/>
      <name val="Arial"/>
      <family val="0"/>
    </font>
    <font>
      <b/>
      <sz val="10"/>
      <name val="Arial"/>
      <family val="0"/>
    </font>
    <font>
      <sz val="2"/>
      <name val="Arial"/>
      <family val="0"/>
    </font>
    <font>
      <b/>
      <sz val="2"/>
      <name val="Arial"/>
      <family val="0"/>
    </font>
    <font>
      <sz val="3.5"/>
      <name val="Arial"/>
      <family val="0"/>
    </font>
    <font>
      <b/>
      <sz val="3.5"/>
      <name val="Arial"/>
      <family val="0"/>
    </font>
    <font>
      <b/>
      <sz val="4"/>
      <name val="Arial"/>
      <family val="0"/>
    </font>
    <font>
      <sz val="8"/>
      <color indexed="10"/>
      <name val="Times New Roman"/>
      <family val="1"/>
    </font>
    <font>
      <sz val="8"/>
      <color indexed="48"/>
      <name val="Times New Roman"/>
      <family val="1"/>
    </font>
    <font>
      <sz val="10"/>
      <color indexed="48"/>
      <name val="Arial"/>
      <family val="0"/>
    </font>
    <font>
      <sz val="8"/>
      <color indexed="50"/>
      <name val="Times New Roman"/>
      <family val="1"/>
    </font>
    <font>
      <sz val="10"/>
      <color indexed="50"/>
      <name val="Arial"/>
      <family val="0"/>
    </font>
    <font>
      <sz val="10"/>
      <color indexed="10"/>
      <name val="Arial"/>
      <family val="0"/>
    </font>
    <font>
      <sz val="8"/>
      <color indexed="8"/>
      <name val="Times New Roman"/>
      <family val="1"/>
    </font>
    <font>
      <b/>
      <sz val="10"/>
      <color indexed="8"/>
      <name val="Times New Roman"/>
      <family val="1"/>
    </font>
    <font>
      <sz val="10"/>
      <color indexed="8"/>
      <name val="Arial"/>
      <family val="0"/>
    </font>
    <font>
      <sz val="8"/>
      <color indexed="8"/>
      <name val="Arial"/>
      <family val="0"/>
    </font>
    <font>
      <vertAlign val="subscript"/>
      <sz val="10"/>
      <name val="Arial"/>
      <family val="2"/>
    </font>
    <font>
      <b/>
      <sz val="15.25"/>
      <name val="Arial"/>
      <family val="0"/>
    </font>
    <font>
      <b/>
      <sz val="14"/>
      <name val="Arial"/>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8"/>
        <bgColor indexed="64"/>
      </patternFill>
    </fill>
    <fill>
      <patternFill patternType="solid">
        <fgColor indexed="50"/>
        <bgColor indexed="64"/>
      </patternFill>
    </fill>
    <fill>
      <patternFill patternType="solid">
        <fgColor indexed="13"/>
        <bgColor indexed="64"/>
      </patternFill>
    </fill>
    <fill>
      <patternFill patternType="solid">
        <fgColor indexed="42"/>
        <bgColor indexed="64"/>
      </patternFill>
    </fill>
  </fills>
  <borders count="9">
    <border>
      <left/>
      <right/>
      <top/>
      <bottom/>
      <diagonal/>
    </border>
    <border>
      <left style="thin"/>
      <right style="thin"/>
      <top style="thin"/>
      <bottom style="thin"/>
    </border>
    <border>
      <left style="thin"/>
      <right style="thin"/>
      <top>
        <color indexed="63"/>
      </top>
      <bottom style="thin"/>
    </border>
    <border>
      <left style="thin"/>
      <right style="thin"/>
      <top style="thin"/>
      <bottom style="thick"/>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0" fontId="5" fillId="0" borderId="0" xfId="0" applyFont="1" applyBorder="1" applyAlignment="1">
      <alignment vertical="top" wrapText="1"/>
    </xf>
    <xf numFmtId="0" fontId="4" fillId="0" borderId="0" xfId="0" applyFont="1" applyFill="1" applyBorder="1" applyAlignment="1">
      <alignment vertical="top" wrapText="1"/>
    </xf>
    <xf numFmtId="0" fontId="5" fillId="0" borderId="1" xfId="0" applyFont="1" applyBorder="1" applyAlignment="1">
      <alignment vertical="top" wrapText="1"/>
    </xf>
    <xf numFmtId="0" fontId="4" fillId="0" borderId="1" xfId="0" applyFont="1" applyFill="1" applyBorder="1" applyAlignment="1">
      <alignment vertical="top" wrapText="1"/>
    </xf>
    <xf numFmtId="10" fontId="5" fillId="0" borderId="1" xfId="0" applyNumberFormat="1" applyFont="1" applyBorder="1" applyAlignment="1">
      <alignment vertical="top" wrapText="1"/>
    </xf>
    <xf numFmtId="0" fontId="4" fillId="2" borderId="1" xfId="0" applyFont="1" applyFill="1" applyBorder="1" applyAlignment="1">
      <alignment horizontal="left" vertical="top" wrapText="1"/>
    </xf>
    <xf numFmtId="0" fontId="5" fillId="2" borderId="1" xfId="0" applyFont="1" applyFill="1" applyBorder="1" applyAlignment="1">
      <alignment vertical="top" wrapText="1"/>
    </xf>
    <xf numFmtId="0" fontId="4" fillId="2" borderId="1" xfId="0" applyFont="1" applyFill="1" applyBorder="1" applyAlignment="1">
      <alignment vertical="top" wrapText="1"/>
    </xf>
    <xf numFmtId="168" fontId="5" fillId="2" borderId="1" xfId="0" applyNumberFormat="1" applyFont="1" applyFill="1" applyBorder="1" applyAlignment="1">
      <alignment vertical="top" wrapText="1"/>
    </xf>
    <xf numFmtId="9" fontId="5" fillId="2" borderId="1" xfId="0" applyNumberFormat="1" applyFont="1" applyFill="1" applyBorder="1" applyAlignment="1">
      <alignment vertical="top" wrapText="1"/>
    </xf>
    <xf numFmtId="0" fontId="5" fillId="2" borderId="1" xfId="0" applyFont="1" applyFill="1" applyBorder="1" applyAlignment="1">
      <alignment horizontal="center" wrapText="1"/>
    </xf>
    <xf numFmtId="0" fontId="0" fillId="0" borderId="0" xfId="0" applyBorder="1" applyAlignment="1">
      <alignment/>
    </xf>
    <xf numFmtId="0" fontId="1" fillId="0" borderId="0" xfId="0" applyFont="1" applyBorder="1" applyAlignment="1">
      <alignment/>
    </xf>
    <xf numFmtId="0" fontId="6" fillId="0" borderId="0" xfId="20" applyBorder="1" applyAlignment="1">
      <alignment/>
    </xf>
    <xf numFmtId="0" fontId="5" fillId="2" borderId="1" xfId="0" applyNumberFormat="1" applyFont="1" applyFill="1" applyBorder="1" applyAlignment="1">
      <alignment vertical="top" wrapText="1"/>
    </xf>
    <xf numFmtId="0" fontId="0" fillId="0" borderId="0" xfId="0" applyFill="1" applyBorder="1" applyAlignment="1">
      <alignment/>
    </xf>
    <xf numFmtId="0" fontId="5" fillId="0" borderId="1" xfId="0" applyFont="1" applyFill="1" applyBorder="1" applyAlignment="1">
      <alignment vertical="top" wrapText="1"/>
    </xf>
    <xf numFmtId="0" fontId="5" fillId="0" borderId="1" xfId="0" applyNumberFormat="1" applyFont="1" applyFill="1" applyBorder="1" applyAlignment="1">
      <alignment vertical="top" wrapText="1"/>
    </xf>
    <xf numFmtId="168" fontId="5" fillId="0" borderId="1" xfId="0" applyNumberFormat="1" applyFont="1" applyFill="1" applyBorder="1" applyAlignment="1">
      <alignment vertical="top" wrapText="1"/>
    </xf>
    <xf numFmtId="9" fontId="5"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wrapText="1"/>
    </xf>
    <xf numFmtId="16" fontId="5" fillId="0" borderId="1" xfId="0" applyNumberFormat="1" applyFont="1" applyFill="1" applyBorder="1" applyAlignment="1">
      <alignment vertical="top" wrapText="1"/>
    </xf>
    <xf numFmtId="10" fontId="5" fillId="0" borderId="1" xfId="0" applyNumberFormat="1" applyFont="1" applyFill="1" applyBorder="1" applyAlignment="1">
      <alignment vertical="top" wrapText="1"/>
    </xf>
    <xf numFmtId="170" fontId="5" fillId="2" borderId="1" xfId="0" applyNumberFormat="1" applyFont="1" applyFill="1" applyBorder="1" applyAlignment="1">
      <alignment vertical="top" wrapText="1"/>
    </xf>
    <xf numFmtId="0" fontId="4" fillId="2" borderId="2" xfId="0" applyFont="1" applyFill="1" applyBorder="1" applyAlignment="1">
      <alignment horizontal="left" vertical="top" wrapText="1"/>
    </xf>
    <xf numFmtId="0" fontId="5" fillId="2" borderId="2" xfId="0" applyFont="1" applyFill="1" applyBorder="1" applyAlignment="1">
      <alignment vertical="top" wrapText="1"/>
    </xf>
    <xf numFmtId="0" fontId="2" fillId="0" borderId="3" xfId="0" applyFont="1" applyBorder="1" applyAlignment="1">
      <alignment vertical="top" wrapText="1"/>
    </xf>
    <xf numFmtId="0" fontId="2" fillId="0" borderId="3" xfId="0" applyFont="1" applyBorder="1" applyAlignment="1">
      <alignment horizontal="center" textRotation="90" wrapText="1"/>
    </xf>
    <xf numFmtId="0" fontId="2" fillId="0" borderId="3" xfId="0" applyFont="1" applyBorder="1" applyAlignment="1">
      <alignment horizont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Border="1" applyAlignment="1">
      <alignment wrapText="1"/>
    </xf>
    <xf numFmtId="9" fontId="5" fillId="0" borderId="1" xfId="0" applyNumberFormat="1" applyFont="1" applyBorder="1" applyAlignment="1">
      <alignment vertical="top" wrapText="1"/>
    </xf>
    <xf numFmtId="0" fontId="6" fillId="0" borderId="0" xfId="20" applyFont="1" applyBorder="1" applyAlignment="1">
      <alignment/>
    </xf>
    <xf numFmtId="16" fontId="5" fillId="0" borderId="1" xfId="0" applyNumberFormat="1" applyFont="1" applyBorder="1" applyAlignment="1">
      <alignment vertical="top" wrapText="1"/>
    </xf>
    <xf numFmtId="16" fontId="5" fillId="2" borderId="1" xfId="0" applyNumberFormat="1" applyFont="1" applyFill="1" applyBorder="1" applyAlignment="1">
      <alignment vertical="top" wrapText="1"/>
    </xf>
    <xf numFmtId="10" fontId="5" fillId="2" borderId="1" xfId="0" applyNumberFormat="1" applyFont="1" applyFill="1" applyBorder="1" applyAlignment="1">
      <alignment vertical="top" wrapText="1"/>
    </xf>
    <xf numFmtId="0" fontId="1" fillId="0" borderId="0" xfId="0" applyFont="1" applyFill="1" applyBorder="1" applyAlignment="1">
      <alignment/>
    </xf>
    <xf numFmtId="2" fontId="2" fillId="0" borderId="3" xfId="0" applyNumberFormat="1" applyFont="1" applyBorder="1" applyAlignment="1">
      <alignment horizontal="center" textRotation="90" wrapText="1"/>
    </xf>
    <xf numFmtId="2" fontId="5" fillId="0" borderId="1" xfId="0" applyNumberFormat="1" applyFont="1" applyFill="1" applyBorder="1" applyAlignment="1">
      <alignment vertical="top" wrapText="1"/>
    </xf>
    <xf numFmtId="2" fontId="5" fillId="0" borderId="0" xfId="0" applyNumberFormat="1" applyFont="1" applyBorder="1" applyAlignment="1">
      <alignment vertical="top" wrapText="1"/>
    </xf>
    <xf numFmtId="2" fontId="0" fillId="0" borderId="0" xfId="0" applyNumberFormat="1" applyBorder="1" applyAlignment="1">
      <alignment/>
    </xf>
    <xf numFmtId="170" fontId="2" fillId="0" borderId="3" xfId="0" applyNumberFormat="1" applyFont="1" applyBorder="1" applyAlignment="1">
      <alignment horizontal="center" wrapText="1"/>
    </xf>
    <xf numFmtId="170" fontId="5" fillId="0" borderId="1" xfId="0" applyNumberFormat="1" applyFont="1" applyFill="1" applyBorder="1" applyAlignment="1">
      <alignment vertical="top" wrapText="1"/>
    </xf>
    <xf numFmtId="170" fontId="5" fillId="0" borderId="1" xfId="0" applyNumberFormat="1" applyFont="1" applyFill="1" applyBorder="1" applyAlignment="1">
      <alignment horizontal="center" vertical="top" wrapText="1"/>
    </xf>
    <xf numFmtId="170" fontId="0" fillId="0" borderId="0" xfId="0" applyNumberFormat="1" applyBorder="1" applyAlignment="1">
      <alignment/>
    </xf>
    <xf numFmtId="2" fontId="5" fillId="0" borderId="1" xfId="0" applyNumberFormat="1" applyFont="1" applyFill="1" applyBorder="1" applyAlignment="1">
      <alignment horizontal="right" vertical="top" wrapText="1"/>
    </xf>
    <xf numFmtId="0" fontId="2" fillId="0" borderId="4" xfId="0" applyFont="1" applyFill="1" applyBorder="1" applyAlignment="1">
      <alignment horizontal="center" textRotation="90" wrapText="1"/>
    </xf>
    <xf numFmtId="2" fontId="5" fillId="0" borderId="1" xfId="21" applyNumberFormat="1" applyFont="1" applyFill="1" applyBorder="1" applyAlignment="1">
      <alignment vertical="top" wrapText="1"/>
    </xf>
    <xf numFmtId="0" fontId="2" fillId="0" borderId="5" xfId="0" applyFont="1" applyFill="1" applyBorder="1" applyAlignment="1">
      <alignment horizontal="center" textRotation="90" wrapText="1"/>
    </xf>
    <xf numFmtId="0" fontId="0" fillId="0" borderId="0" xfId="0" applyNumberFormat="1" applyFill="1" applyBorder="1" applyAlignment="1">
      <alignment/>
    </xf>
    <xf numFmtId="0" fontId="0" fillId="0" borderId="0" xfId="0" applyFill="1" applyBorder="1" applyAlignment="1">
      <alignment/>
    </xf>
    <xf numFmtId="0" fontId="0" fillId="0" borderId="6" xfId="0" applyFill="1" applyBorder="1" applyAlignment="1">
      <alignment/>
    </xf>
    <xf numFmtId="0" fontId="23" fillId="0" borderId="7" xfId="0" applyFont="1" applyFill="1" applyBorder="1" applyAlignment="1">
      <alignment horizontal="center"/>
    </xf>
    <xf numFmtId="170" fontId="2" fillId="0" borderId="3" xfId="0" applyNumberFormat="1" applyFont="1" applyBorder="1" applyAlignment="1">
      <alignment horizontal="center" textRotation="90" wrapText="1"/>
    </xf>
    <xf numFmtId="170" fontId="5" fillId="0" borderId="0" xfId="0" applyNumberFormat="1" applyFont="1" applyBorder="1" applyAlignment="1">
      <alignment vertical="top" wrapText="1"/>
    </xf>
    <xf numFmtId="2" fontId="0" fillId="0" borderId="0" xfId="0" applyNumberFormat="1" applyAlignment="1">
      <alignment/>
    </xf>
    <xf numFmtId="0" fontId="23" fillId="0" borderId="7" xfId="0" applyFont="1" applyFill="1" applyBorder="1" applyAlignment="1">
      <alignment horizontal="centerContinuous"/>
    </xf>
    <xf numFmtId="0" fontId="5" fillId="0" borderId="2" xfId="0" applyFont="1" applyFill="1" applyBorder="1" applyAlignment="1">
      <alignment vertical="top" wrapText="1"/>
    </xf>
    <xf numFmtId="0" fontId="31" fillId="0" borderId="1" xfId="0" applyFont="1" applyFill="1" applyBorder="1" applyAlignment="1">
      <alignment vertical="top" wrapText="1"/>
    </xf>
    <xf numFmtId="0" fontId="31" fillId="0" borderId="2" xfId="0" applyFont="1" applyFill="1" applyBorder="1" applyAlignment="1">
      <alignment vertical="top" wrapText="1"/>
    </xf>
    <xf numFmtId="170" fontId="5" fillId="0" borderId="2" xfId="0" applyNumberFormat="1" applyFont="1" applyFill="1" applyBorder="1" applyAlignment="1">
      <alignment vertical="top" wrapText="1"/>
    </xf>
    <xf numFmtId="0" fontId="5" fillId="3" borderId="1" xfId="0" applyFont="1" applyFill="1" applyBorder="1" applyAlignment="1">
      <alignment vertical="top" wrapText="1"/>
    </xf>
    <xf numFmtId="2" fontId="5" fillId="0" borderId="2" xfId="0" applyNumberFormat="1" applyFont="1" applyFill="1" applyBorder="1" applyAlignment="1">
      <alignment vertical="top" wrapText="1"/>
    </xf>
    <xf numFmtId="0" fontId="4" fillId="0" borderId="1" xfId="0" applyFont="1" applyFill="1" applyBorder="1" applyAlignment="1">
      <alignment horizontal="left" vertical="top" wrapText="1"/>
    </xf>
    <xf numFmtId="170" fontId="5" fillId="0" borderId="1" xfId="0" applyNumberFormat="1" applyFont="1" applyFill="1" applyBorder="1" applyAlignment="1">
      <alignment horizontal="center" wrapText="1"/>
    </xf>
    <xf numFmtId="0" fontId="5" fillId="0" borderId="1" xfId="0" applyFont="1" applyFill="1" applyBorder="1" applyAlignment="1">
      <alignment horizontal="center" wrapText="1"/>
    </xf>
    <xf numFmtId="2" fontId="5" fillId="0" borderId="1" xfId="0" applyNumberFormat="1" applyFont="1" applyFill="1" applyBorder="1" applyAlignment="1">
      <alignment horizontal="center" wrapText="1"/>
    </xf>
    <xf numFmtId="0" fontId="5" fillId="3" borderId="1" xfId="0" applyFont="1" applyFill="1" applyBorder="1" applyAlignment="1">
      <alignment horizontal="center" wrapText="1"/>
    </xf>
    <xf numFmtId="0" fontId="4" fillId="0" borderId="2" xfId="0" applyFont="1" applyFill="1" applyBorder="1" applyAlignment="1">
      <alignment horizontal="left" vertical="top" wrapText="1"/>
    </xf>
    <xf numFmtId="0" fontId="5" fillId="0" borderId="2" xfId="0" applyFont="1" applyFill="1" applyBorder="1" applyAlignment="1">
      <alignment horizontal="center" vertical="center" wrapText="1"/>
    </xf>
    <xf numFmtId="170" fontId="31" fillId="0" borderId="2" xfId="0" applyNumberFormat="1" applyFont="1" applyFill="1" applyBorder="1" applyAlignment="1">
      <alignment vertical="top" wrapText="1"/>
    </xf>
    <xf numFmtId="0" fontId="32" fillId="0" borderId="1" xfId="0" applyFont="1" applyFill="1" applyBorder="1" applyAlignment="1">
      <alignment vertical="top" wrapText="1"/>
    </xf>
    <xf numFmtId="0" fontId="0" fillId="4" borderId="0" xfId="0" applyFill="1" applyBorder="1" applyAlignment="1">
      <alignment/>
    </xf>
    <xf numFmtId="0" fontId="33" fillId="0" borderId="0" xfId="0" applyFont="1" applyFill="1" applyBorder="1" applyAlignment="1">
      <alignment/>
    </xf>
    <xf numFmtId="0" fontId="34" fillId="0" borderId="1" xfId="0" applyFont="1" applyFill="1" applyBorder="1" applyAlignment="1">
      <alignment vertical="top" wrapText="1"/>
    </xf>
    <xf numFmtId="0" fontId="0" fillId="5" borderId="0" xfId="0" applyFill="1" applyBorder="1" applyAlignment="1">
      <alignment/>
    </xf>
    <xf numFmtId="0" fontId="35" fillId="0" borderId="0" xfId="0" applyFont="1" applyFill="1" applyBorder="1" applyAlignment="1">
      <alignment/>
    </xf>
    <xf numFmtId="0" fontId="36" fillId="0" borderId="0" xfId="0" applyFont="1" applyFill="1" applyBorder="1" applyAlignment="1">
      <alignment/>
    </xf>
    <xf numFmtId="170" fontId="34" fillId="0" borderId="1" xfId="0" applyNumberFormat="1" applyFont="1" applyFill="1" applyBorder="1" applyAlignment="1">
      <alignment vertical="top" wrapText="1"/>
    </xf>
    <xf numFmtId="0" fontId="34" fillId="0" borderId="2" xfId="0" applyFont="1" applyFill="1" applyBorder="1" applyAlignment="1">
      <alignment vertical="top" wrapText="1"/>
    </xf>
    <xf numFmtId="0" fontId="4" fillId="3" borderId="1" xfId="0" applyFont="1" applyFill="1" applyBorder="1" applyAlignment="1">
      <alignment vertical="top" wrapText="1"/>
    </xf>
    <xf numFmtId="170" fontId="5" fillId="3" borderId="1" xfId="0" applyNumberFormat="1" applyFont="1" applyFill="1" applyBorder="1" applyAlignment="1">
      <alignment vertical="top" wrapText="1"/>
    </xf>
    <xf numFmtId="2" fontId="5" fillId="3" borderId="1" xfId="0" applyNumberFormat="1" applyFont="1" applyFill="1" applyBorder="1" applyAlignment="1">
      <alignment vertical="top" wrapText="1"/>
    </xf>
    <xf numFmtId="0" fontId="5" fillId="3" borderId="1" xfId="0" applyFont="1" applyFill="1" applyBorder="1" applyAlignment="1">
      <alignment horizontal="center" vertical="center" wrapText="1"/>
    </xf>
    <xf numFmtId="0" fontId="0" fillId="3" borderId="0" xfId="0" applyFill="1" applyBorder="1" applyAlignment="1">
      <alignment/>
    </xf>
    <xf numFmtId="2" fontId="34" fillId="0" borderId="1" xfId="0" applyNumberFormat="1" applyFont="1" applyFill="1" applyBorder="1" applyAlignment="1">
      <alignment vertical="top" wrapText="1"/>
    </xf>
    <xf numFmtId="0" fontId="0" fillId="3" borderId="0" xfId="0" applyNumberFormat="1" applyFill="1" applyBorder="1" applyAlignment="1">
      <alignment/>
    </xf>
    <xf numFmtId="0" fontId="0" fillId="3" borderId="0" xfId="0" applyFill="1" applyBorder="1" applyAlignment="1">
      <alignment/>
    </xf>
    <xf numFmtId="0" fontId="32" fillId="3" borderId="1" xfId="0" applyFont="1" applyFill="1" applyBorder="1" applyAlignment="1">
      <alignment vertical="top" wrapText="1"/>
    </xf>
    <xf numFmtId="2" fontId="0" fillId="0" borderId="0" xfId="0" applyNumberFormat="1" applyFill="1" applyBorder="1" applyAlignment="1">
      <alignment/>
    </xf>
    <xf numFmtId="0" fontId="23" fillId="0" borderId="0" xfId="0" applyFont="1" applyFill="1" applyBorder="1" applyAlignment="1">
      <alignment horizontal="center"/>
    </xf>
    <xf numFmtId="0" fontId="2" fillId="0" borderId="0" xfId="0" applyFont="1" applyFill="1" applyBorder="1" applyAlignment="1">
      <alignment horizontal="center" textRotation="90" wrapText="1"/>
    </xf>
    <xf numFmtId="16" fontId="0" fillId="0" borderId="0" xfId="0" applyNumberFormat="1" applyFill="1" applyBorder="1" applyAlignment="1">
      <alignment/>
    </xf>
    <xf numFmtId="0" fontId="5" fillId="3" borderId="2" xfId="0" applyFont="1" applyFill="1" applyBorder="1" applyAlignment="1">
      <alignment vertical="top" wrapText="1"/>
    </xf>
    <xf numFmtId="0" fontId="32" fillId="3" borderId="2" xfId="0" applyFont="1" applyFill="1" applyBorder="1" applyAlignment="1">
      <alignment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horizontal="center" wrapText="1"/>
    </xf>
    <xf numFmtId="0" fontId="37" fillId="0" borderId="1" xfId="0" applyFont="1" applyFill="1" applyBorder="1" applyAlignment="1">
      <alignment vertical="top" wrapText="1"/>
    </xf>
    <xf numFmtId="2" fontId="37" fillId="0" borderId="1" xfId="0" applyNumberFormat="1" applyFont="1" applyFill="1" applyBorder="1" applyAlignment="1">
      <alignment vertical="top" wrapText="1"/>
    </xf>
    <xf numFmtId="0" fontId="2" fillId="0" borderId="3" xfId="0" applyNumberFormat="1" applyFont="1" applyBorder="1" applyAlignment="1">
      <alignment horizontal="right" textRotation="90" wrapText="1"/>
    </xf>
    <xf numFmtId="0" fontId="5" fillId="0" borderId="2" xfId="0" applyNumberFormat="1" applyFont="1" applyFill="1" applyBorder="1" applyAlignment="1">
      <alignment horizontal="right" vertical="top" wrapText="1"/>
    </xf>
    <xf numFmtId="0" fontId="5" fillId="0" borderId="1" xfId="0" applyNumberFormat="1" applyFont="1" applyFill="1" applyBorder="1" applyAlignment="1">
      <alignment horizontal="right" vertical="top" wrapText="1"/>
    </xf>
    <xf numFmtId="0" fontId="37" fillId="0" borderId="1" xfId="0" applyNumberFormat="1" applyFont="1" applyFill="1" applyBorder="1" applyAlignment="1">
      <alignment horizontal="right" vertical="top" wrapText="1"/>
    </xf>
    <xf numFmtId="0" fontId="5" fillId="0" borderId="0" xfId="0" applyNumberFormat="1" applyFont="1" applyFill="1" applyBorder="1" applyAlignment="1">
      <alignment horizontal="right" vertical="top" wrapText="1"/>
    </xf>
    <xf numFmtId="0" fontId="5" fillId="3" borderId="1" xfId="0" applyNumberFormat="1" applyFont="1" applyFill="1" applyBorder="1" applyAlignment="1">
      <alignment horizontal="right" vertical="top" wrapText="1"/>
    </xf>
    <xf numFmtId="0" fontId="34" fillId="0" borderId="1" xfId="0" applyNumberFormat="1" applyFont="1" applyFill="1" applyBorder="1" applyAlignment="1">
      <alignment horizontal="right" vertical="top" wrapText="1"/>
    </xf>
    <xf numFmtId="0" fontId="5" fillId="0" borderId="1" xfId="0" applyNumberFormat="1" applyFont="1" applyFill="1" applyBorder="1" applyAlignment="1">
      <alignment horizontal="right" wrapText="1"/>
    </xf>
    <xf numFmtId="0" fontId="5" fillId="0" borderId="0" xfId="0" applyNumberFormat="1" applyFont="1" applyBorder="1" applyAlignment="1">
      <alignment horizontal="right" vertical="top" wrapText="1"/>
    </xf>
    <xf numFmtId="0" fontId="0" fillId="0" borderId="0" xfId="0" applyNumberFormat="1" applyBorder="1" applyAlignment="1">
      <alignment horizontal="right"/>
    </xf>
    <xf numFmtId="0" fontId="38" fillId="0" borderId="3" xfId="0" applyNumberFormat="1" applyFont="1" applyBorder="1" applyAlignment="1">
      <alignment horizontal="right" textRotation="90" wrapText="1"/>
    </xf>
    <xf numFmtId="0" fontId="37" fillId="0" borderId="2" xfId="0" applyNumberFormat="1" applyFont="1" applyFill="1" applyBorder="1" applyAlignment="1">
      <alignment horizontal="right" vertical="top" wrapText="1"/>
    </xf>
    <xf numFmtId="0" fontId="37" fillId="3" borderId="1" xfId="0" applyNumberFormat="1" applyFont="1" applyFill="1" applyBorder="1" applyAlignment="1">
      <alignment horizontal="right" vertical="top" wrapText="1"/>
    </xf>
    <xf numFmtId="0" fontId="37" fillId="3" borderId="1" xfId="0" applyNumberFormat="1" applyFont="1" applyFill="1" applyBorder="1" applyAlignment="1">
      <alignment horizontal="right" wrapText="1"/>
    </xf>
    <xf numFmtId="0" fontId="37" fillId="0" borderId="0" xfId="0" applyNumberFormat="1" applyFont="1" applyBorder="1" applyAlignment="1">
      <alignment horizontal="right" vertical="top" wrapText="1"/>
    </xf>
    <xf numFmtId="0" fontId="39" fillId="0" borderId="0" xfId="0" applyNumberFormat="1" applyFont="1" applyBorder="1" applyAlignment="1">
      <alignment horizontal="right"/>
    </xf>
    <xf numFmtId="0" fontId="2" fillId="0" borderId="3" xfId="0" applyNumberFormat="1" applyFont="1" applyBorder="1" applyAlignment="1">
      <alignment horizontal="right" wrapText="1"/>
    </xf>
    <xf numFmtId="0" fontId="32" fillId="0" borderId="2" xfId="0" applyNumberFormat="1" applyFont="1" applyFill="1" applyBorder="1" applyAlignment="1">
      <alignment horizontal="right" vertical="top" wrapText="1"/>
    </xf>
    <xf numFmtId="0" fontId="34" fillId="0" borderId="2" xfId="0" applyNumberFormat="1" applyFont="1" applyFill="1" applyBorder="1" applyAlignment="1">
      <alignment horizontal="right" vertical="top" wrapText="1"/>
    </xf>
    <xf numFmtId="170" fontId="37" fillId="0" borderId="1" xfId="0" applyNumberFormat="1" applyFont="1" applyFill="1" applyBorder="1" applyAlignment="1">
      <alignment vertical="top" wrapText="1"/>
    </xf>
    <xf numFmtId="0" fontId="37" fillId="0" borderId="0" xfId="0" applyNumberFormat="1" applyFont="1" applyFill="1" applyBorder="1" applyAlignment="1">
      <alignment horizontal="right" vertical="top" wrapText="1"/>
    </xf>
    <xf numFmtId="2" fontId="37" fillId="0" borderId="1" xfId="0" applyNumberFormat="1" applyFont="1" applyFill="1" applyBorder="1" applyAlignment="1">
      <alignment horizontal="right" vertical="top" wrapText="1"/>
    </xf>
    <xf numFmtId="2" fontId="40" fillId="0" borderId="0" xfId="0" applyNumberFormat="1" applyFont="1" applyFill="1" applyBorder="1" applyAlignment="1">
      <alignment/>
    </xf>
    <xf numFmtId="0" fontId="40" fillId="0" borderId="0" xfId="0" applyNumberFormat="1" applyFont="1" applyFill="1" applyBorder="1" applyAlignment="1">
      <alignment horizontal="right"/>
    </xf>
    <xf numFmtId="0" fontId="4" fillId="6" borderId="1" xfId="0" applyFont="1" applyFill="1" applyBorder="1" applyAlignment="1">
      <alignment vertical="top" wrapText="1"/>
    </xf>
    <xf numFmtId="0" fontId="5" fillId="6" borderId="1" xfId="0" applyFont="1" applyFill="1" applyBorder="1" applyAlignment="1">
      <alignment vertical="top" wrapText="1"/>
    </xf>
    <xf numFmtId="170" fontId="5" fillId="6" borderId="1" xfId="0" applyNumberFormat="1" applyFont="1" applyFill="1" applyBorder="1" applyAlignment="1">
      <alignment vertical="top" wrapText="1"/>
    </xf>
    <xf numFmtId="0" fontId="5" fillId="6" borderId="1" xfId="0" applyNumberFormat="1" applyFont="1" applyFill="1" applyBorder="1" applyAlignment="1">
      <alignment horizontal="right" vertical="top" wrapText="1"/>
    </xf>
    <xf numFmtId="0" fontId="34" fillId="6" borderId="1" xfId="0" applyFont="1" applyFill="1" applyBorder="1" applyAlignment="1">
      <alignment vertical="top" wrapText="1"/>
    </xf>
    <xf numFmtId="0" fontId="37" fillId="6" borderId="1" xfId="0" applyNumberFormat="1" applyFont="1" applyFill="1" applyBorder="1" applyAlignment="1">
      <alignment horizontal="right" vertical="top" wrapText="1"/>
    </xf>
    <xf numFmtId="0" fontId="5" fillId="6" borderId="2" xfId="0" applyFont="1" applyFill="1" applyBorder="1" applyAlignment="1">
      <alignment vertical="top" wrapText="1"/>
    </xf>
    <xf numFmtId="2" fontId="5" fillId="6" borderId="1" xfId="0" applyNumberFormat="1" applyFont="1" applyFill="1" applyBorder="1" applyAlignment="1">
      <alignment vertical="top" wrapText="1"/>
    </xf>
    <xf numFmtId="0" fontId="5" fillId="6" borderId="1" xfId="0" applyFont="1" applyFill="1" applyBorder="1" applyAlignment="1">
      <alignment horizontal="center" vertical="center" wrapText="1"/>
    </xf>
    <xf numFmtId="0" fontId="0" fillId="6" borderId="0" xfId="0" applyFill="1" applyBorder="1" applyAlignment="1">
      <alignment/>
    </xf>
    <xf numFmtId="0" fontId="5" fillId="6" borderId="2" xfId="0" applyNumberFormat="1" applyFont="1" applyFill="1" applyBorder="1" applyAlignment="1">
      <alignment horizontal="right" vertical="top" wrapText="1"/>
    </xf>
    <xf numFmtId="0" fontId="31" fillId="6" borderId="2" xfId="0" applyFont="1" applyFill="1" applyBorder="1" applyAlignment="1">
      <alignment vertical="top" wrapText="1"/>
    </xf>
    <xf numFmtId="0" fontId="0" fillId="7" borderId="0" xfId="0" applyFill="1" applyBorder="1" applyAlignment="1">
      <alignment/>
    </xf>
    <xf numFmtId="0" fontId="4" fillId="7" borderId="1" xfId="0" applyFont="1" applyFill="1" applyBorder="1" applyAlignment="1">
      <alignment vertical="top" wrapText="1"/>
    </xf>
    <xf numFmtId="0" fontId="4" fillId="7" borderId="1" xfId="0" applyFont="1" applyFill="1" applyBorder="1" applyAlignment="1">
      <alignment horizontal="left" vertical="top" wrapText="1"/>
    </xf>
    <xf numFmtId="49" fontId="0" fillId="0" borderId="0" xfId="0" applyNumberFormat="1" applyFill="1" applyBorder="1" applyAlignment="1">
      <alignment/>
    </xf>
    <xf numFmtId="0" fontId="23" fillId="0" borderId="0" xfId="0" applyFont="1" applyAlignment="1">
      <alignment/>
    </xf>
    <xf numFmtId="0" fontId="0" fillId="0" borderId="8" xfId="0" applyBorder="1" applyAlignment="1">
      <alignment horizontal="center"/>
    </xf>
    <xf numFmtId="179" fontId="0" fillId="0" borderId="0" xfId="0" applyNumberFormat="1" applyAlignment="1">
      <alignment/>
    </xf>
    <xf numFmtId="170" fontId="0" fillId="0" borderId="0" xfId="0" applyNumberFormat="1" applyAlignment="1">
      <alignment/>
    </xf>
    <xf numFmtId="0" fontId="25" fillId="0" borderId="0" xfId="0" applyFont="1" applyAlignment="1">
      <alignment/>
    </xf>
    <xf numFmtId="179" fontId="25" fillId="0" borderId="0" xfId="0" applyNumberFormat="1" applyFont="1" applyAlignment="1">
      <alignment/>
    </xf>
    <xf numFmtId="2" fontId="25"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66"/>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singleSpecies!$AE$2:$AE$88</c:f>
              <c:numCach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Cache>
            </c:numRef>
          </c:xVal>
          <c:yVal>
            <c:numRef>
              <c:f>singleSpecies!$N$2:$N$88</c:f>
              <c:numCach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Cache>
            </c:numRef>
          </c:yVal>
          <c:smooth val="0"/>
        </c:ser>
        <c:axId val="53094271"/>
        <c:axId val="8086392"/>
      </c:scatterChart>
      <c:valAx>
        <c:axId val="53094271"/>
        <c:scaling>
          <c:orientation val="minMax"/>
        </c:scaling>
        <c:axPos val="b"/>
        <c:title>
          <c:tx>
            <c:rich>
              <a:bodyPr vert="horz" rot="0" anchor="ctr"/>
              <a:lstStyle/>
              <a:p>
                <a:pPr algn="ctr">
                  <a:defRPr/>
                </a:pPr>
                <a:r>
                  <a:rPr lang="en-US" cap="none" sz="1425" b="1" i="0" u="none" baseline="0">
                    <a:latin typeface="Arial"/>
                    <a:ea typeface="Arial"/>
                    <a:cs typeface="Arial"/>
                  </a:rPr>
                  <a:t>Length (m)</a:t>
                </a:r>
              </a:p>
            </c:rich>
          </c:tx>
          <c:layout/>
          <c:overlay val="0"/>
          <c:spPr>
            <a:noFill/>
            <a:ln>
              <a:noFill/>
            </a:ln>
          </c:spPr>
        </c:title>
        <c:delete val="0"/>
        <c:numFmt formatCode="General" sourceLinked="1"/>
        <c:majorTickMark val="out"/>
        <c:minorTickMark val="none"/>
        <c:tickLblPos val="nextTo"/>
        <c:crossAx val="8086392"/>
        <c:crosses val="autoZero"/>
        <c:crossBetween val="midCat"/>
        <c:dispUnits/>
      </c:valAx>
      <c:valAx>
        <c:axId val="8086392"/>
        <c:scaling>
          <c:orientation val="minMax"/>
        </c:scaling>
        <c:axPos val="l"/>
        <c:title>
          <c:tx>
            <c:rich>
              <a:bodyPr vert="horz" rot="-5400000" anchor="ctr"/>
              <a:lstStyle/>
              <a:p>
                <a:pPr algn="ctr">
                  <a:defRPr/>
                </a:pPr>
                <a:r>
                  <a:rPr lang="en-US" cap="none" sz="1200" b="1" i="0" u="none" baseline="0">
                    <a:latin typeface="Arial"/>
                    <a:ea typeface="Arial"/>
                    <a:cs typeface="Arial"/>
                  </a:rPr>
                  <a:t>Age of first reproduction (years)</a:t>
                </a:r>
              </a:p>
            </c:rich>
          </c:tx>
          <c:layout/>
          <c:overlay val="0"/>
          <c:spPr>
            <a:noFill/>
            <a:ln>
              <a:noFill/>
            </a:ln>
          </c:spPr>
        </c:title>
        <c:delete val="0"/>
        <c:numFmt formatCode="General" sourceLinked="1"/>
        <c:majorTickMark val="out"/>
        <c:minorTickMark val="none"/>
        <c:tickLblPos val="nextTo"/>
        <c:crossAx val="53094271"/>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14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RegrOldLen!$C$2:$C$31</c:f>
              <c:numCache>
                <c:ptCount val="1"/>
                <c:pt idx="0">
                  <c:v>0</c:v>
                </c:pt>
              </c:numCache>
            </c:numRef>
          </c:xVal>
          <c:yVal>
            <c:numRef>
              <c:f>RegrOldLen!#REF!</c:f>
              <c:numCache>
                <c:ptCount val="1"/>
                <c:pt idx="0">
                  <c:v>1</c:v>
                </c:pt>
              </c:numCache>
            </c:numRef>
          </c:yVal>
          <c:smooth val="0"/>
        </c:ser>
        <c:axId val="22524297"/>
        <c:axId val="1392082"/>
      </c:scatterChart>
      <c:valAx>
        <c:axId val="22524297"/>
        <c:scaling>
          <c:orientation val="minMax"/>
        </c:scaling>
        <c:axPos val="b"/>
        <c:title>
          <c:tx>
            <c:rich>
              <a:bodyPr vert="horz" rot="0" anchor="ctr"/>
              <a:lstStyle/>
              <a:p>
                <a:pPr algn="ctr">
                  <a:defRPr/>
                </a:pPr>
                <a:r>
                  <a:rPr lang="en-US" cap="none" sz="200" b="1" i="0" u="none" baseline="0">
                    <a:latin typeface="Arial"/>
                    <a:ea typeface="Arial"/>
                    <a:cs typeface="Arial"/>
                  </a:rPr>
                  <a:t>log(length)</a:t>
                </a:r>
              </a:p>
            </c:rich>
          </c:tx>
          <c:layout/>
          <c:overlay val="0"/>
          <c:spPr>
            <a:noFill/>
            <a:ln>
              <a:noFill/>
            </a:ln>
          </c:spPr>
        </c:title>
        <c:delete val="0"/>
        <c:numFmt formatCode="General" sourceLinked="1"/>
        <c:majorTickMark val="out"/>
        <c:minorTickMark val="none"/>
        <c:tickLblPos val="nextTo"/>
        <c:crossAx val="1392082"/>
        <c:crosses val="autoZero"/>
        <c:crossBetween val="midCat"/>
        <c:dispUnits/>
      </c:valAx>
      <c:valAx>
        <c:axId val="1392082"/>
        <c:scaling>
          <c:orientation val="minMax"/>
        </c:scaling>
        <c:axPos val="l"/>
        <c:title>
          <c:tx>
            <c:rich>
              <a:bodyPr vert="horz" rot="-5400000" anchor="ctr"/>
              <a:lstStyle/>
              <a:p>
                <a:pPr algn="ctr">
                  <a:defRPr/>
                </a:pPr>
                <a:r>
                  <a:rPr lang="en-US" cap="none" sz="200" b="1" i="0" u="none" baseline="0">
                    <a:latin typeface="Arial"/>
                    <a:ea typeface="Arial"/>
                    <a:cs typeface="Arial"/>
                  </a:rPr>
                  <a:t>log(oldest age)</a:t>
                </a:r>
              </a:p>
            </c:rich>
          </c:tx>
          <c:layout/>
          <c:overlay val="0"/>
          <c:spPr>
            <a:noFill/>
            <a:ln>
              <a:noFill/>
            </a:ln>
          </c:spPr>
        </c:title>
        <c:delete val="0"/>
        <c:numFmt formatCode="General" sourceLinked="1"/>
        <c:majorTickMark val="out"/>
        <c:minorTickMark val="none"/>
        <c:tickLblPos val="nextTo"/>
        <c:crossAx val="2252429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RegrOldLen!$C$2:$C$31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xVal>
          <c:yVal>
            <c:numRef>
              <c:f>RegrOldLen!$B$2:$B$31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axId val="12528739"/>
        <c:axId val="45649788"/>
      </c:scatterChart>
      <c:valAx>
        <c:axId val="12528739"/>
        <c:scaling>
          <c:orientation val="minMax"/>
        </c:scaling>
        <c:axPos val="b"/>
        <c:title>
          <c:tx>
            <c:rich>
              <a:bodyPr vert="horz" rot="0" anchor="ctr"/>
              <a:lstStyle/>
              <a:p>
                <a:pPr algn="ctr">
                  <a:defRPr/>
                </a:pPr>
                <a:r>
                  <a:rPr lang="en-US" cap="none" sz="200" b="1" i="0" u="none" baseline="0">
                    <a:latin typeface="Arial"/>
                    <a:ea typeface="Arial"/>
                    <a:cs typeface="Arial"/>
                  </a:rPr>
                  <a:t>log(length)</a:t>
                </a:r>
              </a:p>
            </c:rich>
          </c:tx>
          <c:layout/>
          <c:overlay val="0"/>
          <c:spPr>
            <a:noFill/>
            <a:ln>
              <a:noFill/>
            </a:ln>
          </c:spPr>
        </c:title>
        <c:delete val="0"/>
        <c:numFmt formatCode="General" sourceLinked="1"/>
        <c:majorTickMark val="out"/>
        <c:minorTickMark val="none"/>
        <c:tickLblPos val="nextTo"/>
        <c:crossAx val="45649788"/>
        <c:crosses val="autoZero"/>
        <c:crossBetween val="midCat"/>
        <c:dispUnits/>
      </c:valAx>
      <c:valAx>
        <c:axId val="45649788"/>
        <c:scaling>
          <c:orientation val="minMax"/>
        </c:scaling>
        <c:axPos val="l"/>
        <c:title>
          <c:tx>
            <c:rich>
              <a:bodyPr vert="horz" rot="-5400000" anchor="ctr"/>
              <a:lstStyle/>
              <a:p>
                <a:pPr algn="ctr">
                  <a:defRPr/>
                </a:pPr>
                <a:r>
                  <a:rPr lang="en-US" cap="none" sz="200" b="1" i="0" u="none" baseline="0">
                    <a:latin typeface="Arial"/>
                    <a:ea typeface="Arial"/>
                    <a:cs typeface="Arial"/>
                  </a:rPr>
                  <a:t>oldest age</a:t>
                </a:r>
              </a:p>
            </c:rich>
          </c:tx>
          <c:layout/>
          <c:overlay val="0"/>
          <c:spPr>
            <a:noFill/>
            <a:ln>
              <a:noFill/>
            </a:ln>
          </c:spPr>
        </c:title>
        <c:delete val="0"/>
        <c:numFmt formatCode="General" sourceLinked="1"/>
        <c:majorTickMark val="out"/>
        <c:minorTickMark val="none"/>
        <c:tickLblPos val="nextTo"/>
        <c:crossAx val="1252873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RegrOldLen!#REF!</c:f>
              <c:strCache>
                <c:ptCount val="1"/>
                <c:pt idx="0">
                  <c:v>1</c:v>
                </c:pt>
              </c:strCache>
            </c:strRef>
          </c:xVal>
          <c:yVal>
            <c:numRef>
              <c:f>RegrOldLen!$B$2:$B$31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axId val="8194909"/>
        <c:axId val="6645318"/>
      </c:scatterChart>
      <c:valAx>
        <c:axId val="8194909"/>
        <c:scaling>
          <c:orientation val="minMax"/>
        </c:scaling>
        <c:axPos val="b"/>
        <c:title>
          <c:tx>
            <c:rich>
              <a:bodyPr vert="horz" rot="0" anchor="ctr"/>
              <a:lstStyle/>
              <a:p>
                <a:pPr algn="ctr">
                  <a:defRPr/>
                </a:pPr>
                <a:r>
                  <a:rPr lang="en-US" cap="none" sz="200" b="1" i="0" u="none" baseline="0">
                    <a:latin typeface="Arial"/>
                    <a:ea typeface="Arial"/>
                    <a:cs typeface="Arial"/>
                  </a:rPr>
                  <a:t>Length (m)</a:t>
                </a:r>
              </a:p>
            </c:rich>
          </c:tx>
          <c:layout/>
          <c:overlay val="0"/>
          <c:spPr>
            <a:noFill/>
            <a:ln>
              <a:noFill/>
            </a:ln>
          </c:spPr>
        </c:title>
        <c:delete val="0"/>
        <c:numFmt formatCode="General" sourceLinked="1"/>
        <c:majorTickMark val="out"/>
        <c:minorTickMark val="none"/>
        <c:tickLblPos val="nextTo"/>
        <c:crossAx val="6645318"/>
        <c:crosses val="autoZero"/>
        <c:crossBetween val="midCat"/>
        <c:dispUnits/>
      </c:valAx>
      <c:valAx>
        <c:axId val="6645318"/>
        <c:scaling>
          <c:orientation val="minMax"/>
        </c:scaling>
        <c:axPos val="l"/>
        <c:title>
          <c:tx>
            <c:rich>
              <a:bodyPr vert="horz" rot="-5400000" anchor="ctr"/>
              <a:lstStyle/>
              <a:p>
                <a:pPr algn="ctr">
                  <a:defRPr/>
                </a:pPr>
                <a:r>
                  <a:rPr lang="en-US" cap="none" sz="200" b="1" i="0" u="none" baseline="0">
                    <a:latin typeface="Arial"/>
                    <a:ea typeface="Arial"/>
                    <a:cs typeface="Arial"/>
                  </a:rPr>
                  <a:t>Oldest age (years)</a:t>
                </a:r>
              </a:p>
            </c:rich>
          </c:tx>
          <c:layout/>
          <c:overlay val="0"/>
          <c:spPr>
            <a:noFill/>
            <a:ln>
              <a:noFill/>
            </a:ln>
          </c:spPr>
        </c:title>
        <c:delete val="0"/>
        <c:numFmt formatCode="General" sourceLinked="1"/>
        <c:majorTickMark val="out"/>
        <c:minorTickMark val="none"/>
        <c:tickLblPos val="nextTo"/>
        <c:crossAx val="819490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RegrOldLen!#REF!</c:f>
              <c:strCache>
                <c:ptCount val="1"/>
                <c:pt idx="0">
                  <c:v>1</c:v>
                </c:pt>
              </c:strCache>
            </c:strRef>
          </c:cat>
          <c:val>
            <c:numRef>
              <c:f>RegrOldLen!#REF!</c:f>
              <c:numCache>
                <c:ptCount val="1"/>
                <c:pt idx="0">
                  <c:v>1</c:v>
                </c:pt>
              </c:numCache>
            </c:numRef>
          </c:val>
        </c:ser>
        <c:axId val="59807863"/>
        <c:axId val="1399856"/>
      </c:barChart>
      <c:catAx>
        <c:axId val="59807863"/>
        <c:scaling>
          <c:orientation val="minMax"/>
        </c:scaling>
        <c:axPos val="b"/>
        <c:title>
          <c:tx>
            <c:rich>
              <a:bodyPr vert="horz" rot="0" anchor="ctr"/>
              <a:lstStyle/>
              <a:p>
                <a:pPr algn="ctr">
                  <a:defRPr/>
                </a:pPr>
                <a:r>
                  <a:rPr lang="en-US" cap="none" sz="350" b="1" i="0" u="none" baseline="0">
                    <a:latin typeface="Arial"/>
                    <a:ea typeface="Arial"/>
                    <a:cs typeface="Arial"/>
                  </a:rPr>
                  <a:t>Length (m)</a:t>
                </a:r>
              </a:p>
            </c:rich>
          </c:tx>
          <c:layout/>
          <c:overlay val="0"/>
          <c:spPr>
            <a:noFill/>
            <a:ln>
              <a:noFill/>
            </a:ln>
          </c:spPr>
        </c:title>
        <c:delete val="0"/>
        <c:numFmt formatCode="General" sourceLinked="1"/>
        <c:majorTickMark val="out"/>
        <c:minorTickMark val="none"/>
        <c:tickLblPos val="nextTo"/>
        <c:crossAx val="1399856"/>
        <c:crosses val="autoZero"/>
        <c:auto val="1"/>
        <c:lblOffset val="100"/>
        <c:noMultiLvlLbl val="0"/>
      </c:catAx>
      <c:valAx>
        <c:axId val="1399856"/>
        <c:scaling>
          <c:orientation val="minMax"/>
        </c:scaling>
        <c:axPos val="l"/>
        <c:title>
          <c:tx>
            <c:rich>
              <a:bodyPr vert="horz" rot="-5400000" anchor="ctr"/>
              <a:lstStyle/>
              <a:p>
                <a:pPr algn="ctr">
                  <a:defRPr/>
                </a:pPr>
                <a:r>
                  <a:rPr lang="en-US" cap="none" sz="350" b="1" i="0" u="none" baseline="0">
                    <a:latin typeface="Arial"/>
                    <a:ea typeface="Arial"/>
                    <a:cs typeface="Arial"/>
                  </a:rPr>
                  <a:t>Frequency</a:t>
                </a:r>
              </a:p>
            </c:rich>
          </c:tx>
          <c:layout/>
          <c:overlay val="0"/>
          <c:spPr>
            <a:noFill/>
            <a:ln>
              <a:noFill/>
            </a:ln>
          </c:spPr>
        </c:title>
        <c:delete val="0"/>
        <c:numFmt formatCode="General" sourceLinked="1"/>
        <c:majorTickMark val="out"/>
        <c:minorTickMark val="none"/>
        <c:tickLblPos val="nextTo"/>
        <c:crossAx val="5980786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calving interval</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RegrOldLen!#REF!</c:f>
              <c:strCache>
                <c:ptCount val="1"/>
                <c:pt idx="0">
                  <c:v>1</c:v>
                </c:pt>
              </c:strCache>
            </c:strRef>
          </c:cat>
          <c:val>
            <c:numRef>
              <c:f>RegrOldLen!#REF!</c:f>
              <c:numCache>
                <c:ptCount val="1"/>
                <c:pt idx="0">
                  <c:v>1</c:v>
                </c:pt>
              </c:numCache>
            </c:numRef>
          </c:val>
        </c:ser>
        <c:axId val="12598705"/>
        <c:axId val="46279482"/>
      </c:barChart>
      <c:catAx>
        <c:axId val="12598705"/>
        <c:scaling>
          <c:orientation val="minMax"/>
        </c:scaling>
        <c:axPos val="b"/>
        <c:title>
          <c:tx>
            <c:rich>
              <a:bodyPr vert="horz" rot="0" anchor="ctr"/>
              <a:lstStyle/>
              <a:p>
                <a:pPr algn="ctr">
                  <a:defRPr/>
                </a:pPr>
                <a:r>
                  <a:rPr lang="en-US" cap="none" sz="350"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46279482"/>
        <c:crosses val="autoZero"/>
        <c:auto val="1"/>
        <c:lblOffset val="100"/>
        <c:noMultiLvlLbl val="0"/>
      </c:catAx>
      <c:valAx>
        <c:axId val="46279482"/>
        <c:scaling>
          <c:orientation val="minMax"/>
        </c:scaling>
        <c:axPos val="l"/>
        <c:title>
          <c:tx>
            <c:rich>
              <a:bodyPr vert="horz" rot="-5400000" anchor="ctr"/>
              <a:lstStyle/>
              <a:p>
                <a:pPr algn="ctr">
                  <a:defRPr/>
                </a:pPr>
                <a:r>
                  <a:rPr lang="en-US" cap="none" sz="350" b="1" i="0" u="none" baseline="0">
                    <a:latin typeface="Arial"/>
                    <a:ea typeface="Arial"/>
                    <a:cs typeface="Arial"/>
                  </a:rPr>
                  <a:t>Frequency</a:t>
                </a:r>
              </a:p>
            </c:rich>
          </c:tx>
          <c:layout/>
          <c:overlay val="0"/>
          <c:spPr>
            <a:noFill/>
            <a:ln>
              <a:noFill/>
            </a:ln>
          </c:spPr>
        </c:title>
        <c:delete val="0"/>
        <c:numFmt formatCode="General" sourceLinked="1"/>
        <c:majorTickMark val="out"/>
        <c:minorTickMark val="none"/>
        <c:tickLblPos val="nextTo"/>
        <c:crossAx val="1259870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RegrOldLen!$C$2:$C$33</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xVal>
          <c:yVal>
            <c:numRef>
              <c:f>RegrOldLen!$B$2:$B$33</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yVal>
          <c:smooth val="0"/>
        </c:ser>
        <c:ser>
          <c:idx val="1"/>
          <c:order val="1"/>
          <c:tx>
            <c:v>Predicted Y</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RegrOldLen!$C$2:$C$33</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xVal>
          <c:yVal>
            <c:numRef>
              <c:f>RegrOldLen!$D$2:$D$33</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yVal>
          <c:smooth val="0"/>
        </c:ser>
        <c:axId val="13862155"/>
        <c:axId val="57650532"/>
      </c:scatterChart>
      <c:valAx>
        <c:axId val="13862155"/>
        <c:scaling>
          <c:orientation val="minMax"/>
        </c:scaling>
        <c:axPos val="b"/>
        <c:title>
          <c:tx>
            <c:rich>
              <a:bodyPr vert="horz" rot="0" anchor="ctr"/>
              <a:lstStyle/>
              <a:p>
                <a:pPr algn="ctr">
                  <a:defRPr/>
                </a:pPr>
                <a:r>
                  <a:rPr lang="en-US" cap="none" sz="1200" b="1" i="0" u="none" baseline="0">
                    <a:latin typeface="Arial"/>
                    <a:ea typeface="Arial"/>
                    <a:cs typeface="Arial"/>
                  </a:rPr>
                  <a:t>Log(length(m))</a:t>
                </a:r>
              </a:p>
            </c:rich>
          </c:tx>
          <c:layout/>
          <c:overlay val="0"/>
          <c:spPr>
            <a:noFill/>
            <a:ln>
              <a:noFill/>
            </a:ln>
          </c:spPr>
        </c:title>
        <c:delete val="0"/>
        <c:numFmt formatCode="General" sourceLinked="1"/>
        <c:majorTickMark val="in"/>
        <c:minorTickMark val="none"/>
        <c:tickLblPos val="nextTo"/>
        <c:crossAx val="57650532"/>
        <c:crosses val="autoZero"/>
        <c:crossBetween val="midCat"/>
        <c:dispUnits/>
      </c:valAx>
      <c:valAx>
        <c:axId val="57650532"/>
        <c:scaling>
          <c:orientation val="minMax"/>
        </c:scaling>
        <c:axPos val="l"/>
        <c:title>
          <c:tx>
            <c:rich>
              <a:bodyPr vert="horz" rot="-5400000" anchor="ctr"/>
              <a:lstStyle/>
              <a:p>
                <a:pPr algn="ctr">
                  <a:defRPr/>
                </a:pPr>
                <a:r>
                  <a:rPr lang="en-US" cap="none" sz="1200" b="1" i="0" u="none" baseline="0">
                    <a:latin typeface="Arial"/>
                    <a:ea typeface="Arial"/>
                    <a:cs typeface="Arial"/>
                  </a:rPr>
                  <a:t>Oldest age reproductive female</a:t>
                </a:r>
              </a:p>
            </c:rich>
          </c:tx>
          <c:layout/>
          <c:overlay val="0"/>
          <c:spPr>
            <a:noFill/>
            <a:ln>
              <a:noFill/>
            </a:ln>
          </c:spPr>
        </c:title>
        <c:delete val="0"/>
        <c:numFmt formatCode="General" sourceLinked="1"/>
        <c:majorTickMark val="in"/>
        <c:minorTickMark val="none"/>
        <c:tickLblPos val="nextTo"/>
        <c:crossAx val="13862155"/>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X Variable 1  Residual Plot</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RegrOldLen!$C$2:$C$33</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xVal>
          <c:yVal>
            <c:numRef>
              <c:f>RegrOldLen!$H$26:$H$57</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yVal>
          <c:smooth val="0"/>
        </c:ser>
        <c:axId val="49092741"/>
        <c:axId val="39181486"/>
      </c:scatterChart>
      <c:valAx>
        <c:axId val="49092741"/>
        <c:scaling>
          <c:orientation val="minMax"/>
        </c:scaling>
        <c:axPos val="b"/>
        <c:title>
          <c:tx>
            <c:rich>
              <a:bodyPr vert="horz" rot="0" anchor="ctr"/>
              <a:lstStyle/>
              <a:p>
                <a:pPr algn="ctr">
                  <a:defRPr/>
                </a:pPr>
                <a:r>
                  <a:rPr lang="en-US" cap="none" sz="1200" b="1" i="0" u="none" baseline="0">
                    <a:latin typeface="Arial"/>
                    <a:ea typeface="Arial"/>
                    <a:cs typeface="Arial"/>
                  </a:rPr>
                  <a:t>X Variable 1</a:t>
                </a:r>
              </a:p>
            </c:rich>
          </c:tx>
          <c:layout/>
          <c:overlay val="0"/>
          <c:spPr>
            <a:noFill/>
            <a:ln>
              <a:noFill/>
            </a:ln>
          </c:spPr>
        </c:title>
        <c:delete val="0"/>
        <c:numFmt formatCode="General" sourceLinked="1"/>
        <c:majorTickMark val="in"/>
        <c:minorTickMark val="none"/>
        <c:tickLblPos val="nextTo"/>
        <c:crossAx val="39181486"/>
        <c:crosses val="autoZero"/>
        <c:crossBetween val="midCat"/>
        <c:dispUnits/>
      </c:valAx>
      <c:valAx>
        <c:axId val="39181486"/>
        <c:scaling>
          <c:orientation val="minMax"/>
        </c:scaling>
        <c:axPos val="l"/>
        <c:title>
          <c:tx>
            <c:rich>
              <a:bodyPr vert="horz" rot="-5400000" anchor="ctr"/>
              <a:lstStyle/>
              <a:p>
                <a:pPr algn="ctr">
                  <a:defRPr/>
                </a:pPr>
                <a:r>
                  <a:rPr lang="en-US" cap="none" sz="1200" b="1" i="0" u="none" baseline="0">
                    <a:latin typeface="Arial"/>
                    <a:ea typeface="Arial"/>
                    <a:cs typeface="Arial"/>
                  </a:rPr>
                  <a:t>Residuals</a:t>
                </a:r>
              </a:p>
            </c:rich>
          </c:tx>
          <c:layout/>
          <c:overlay val="0"/>
          <c:spPr>
            <a:noFill/>
            <a:ln>
              <a:noFill/>
            </a:ln>
          </c:spPr>
        </c:title>
        <c:delete val="0"/>
        <c:numFmt formatCode="General" sourceLinked="1"/>
        <c:majorTickMark val="in"/>
        <c:minorTickMark val="none"/>
        <c:tickLblPos val="nextTo"/>
        <c:crossAx val="4909274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GEN_CET!$P$2:$P$16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GEN_CET!$Q$2:$Q$16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17089055"/>
        <c:axId val="19583768"/>
      </c:barChart>
      <c:catAx>
        <c:axId val="17089055"/>
        <c:scaling>
          <c:orientation val="minMax"/>
        </c:scaling>
        <c:axPos val="b"/>
        <c:title>
          <c:tx>
            <c:rich>
              <a:bodyPr vert="horz" rot="0" anchor="ctr"/>
              <a:lstStyle/>
              <a:p>
                <a:pPr algn="ctr">
                  <a:defRPr/>
                </a:pPr>
                <a:r>
                  <a:rPr lang="en-US" cap="none" sz="1000" b="1" i="0" u="none" baseline="0">
                    <a:latin typeface="Arial"/>
                    <a:ea typeface="Arial"/>
                    <a:cs typeface="Arial"/>
                  </a:rPr>
                  <a:t>Population growth rate (r)</a:t>
                </a:r>
              </a:p>
            </c:rich>
          </c:tx>
          <c:layout/>
          <c:overlay val="0"/>
          <c:spPr>
            <a:noFill/>
            <a:ln>
              <a:noFill/>
            </a:ln>
          </c:spPr>
        </c:title>
        <c:delete val="0"/>
        <c:numFmt formatCode="General" sourceLinked="1"/>
        <c:majorTickMark val="out"/>
        <c:minorTickMark val="none"/>
        <c:tickLblPos val="nextTo"/>
        <c:crossAx val="19583768"/>
        <c:crosses val="autoZero"/>
        <c:auto val="1"/>
        <c:lblOffset val="100"/>
        <c:noMultiLvlLbl val="0"/>
      </c:catAx>
      <c:valAx>
        <c:axId val="19583768"/>
        <c:scaling>
          <c:orientation val="minMax"/>
        </c:scaling>
        <c:axPos val="l"/>
        <c:title>
          <c:tx>
            <c:rich>
              <a:bodyPr vert="horz" rot="-5400000" anchor="ctr"/>
              <a:lstStyle/>
              <a:p>
                <a:pPr algn="ctr">
                  <a:defRPr/>
                </a:pPr>
                <a:r>
                  <a:rPr lang="en-US" cap="none" sz="1000" b="1" i="0" u="none" baseline="0">
                    <a:latin typeface="Arial"/>
                    <a:ea typeface="Arial"/>
                    <a:cs typeface="Arial"/>
                  </a:rPr>
                  <a:t>Frequency</a:t>
                </a:r>
              </a:p>
            </c:rich>
          </c:tx>
          <c:layout/>
          <c:overlay val="0"/>
          <c:spPr>
            <a:noFill/>
            <a:ln>
              <a:noFill/>
            </a:ln>
          </c:spPr>
        </c:title>
        <c:delete val="0"/>
        <c:numFmt formatCode="General" sourceLinked="1"/>
        <c:majorTickMark val="out"/>
        <c:minorTickMark val="none"/>
        <c:tickLblPos val="nextTo"/>
        <c:crossAx val="17089055"/>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GEN_CET!$P$44:$P$50</c:f>
              <c:strCache/>
            </c:strRef>
          </c:cat>
          <c:val>
            <c:numRef>
              <c:f>GEN_CET!$Q$44:$Q$50</c:f>
              <c:numCache>
                <c:ptCount val="7"/>
                <c:pt idx="0">
                  <c:v>0</c:v>
                </c:pt>
                <c:pt idx="1">
                  <c:v>0</c:v>
                </c:pt>
                <c:pt idx="2">
                  <c:v>0</c:v>
                </c:pt>
                <c:pt idx="3">
                  <c:v>0</c:v>
                </c:pt>
                <c:pt idx="4">
                  <c:v>0</c:v>
                </c:pt>
                <c:pt idx="5">
                  <c:v>0</c:v>
                </c:pt>
                <c:pt idx="6">
                  <c:v>0</c:v>
                </c:pt>
              </c:numCache>
            </c:numRef>
          </c:val>
        </c:ser>
        <c:axId val="42036185"/>
        <c:axId val="42781346"/>
      </c:barChart>
      <c:catAx>
        <c:axId val="42036185"/>
        <c:scaling>
          <c:orientation val="minMax"/>
        </c:scaling>
        <c:axPos val="b"/>
        <c:title>
          <c:tx>
            <c:rich>
              <a:bodyPr vert="horz" rot="0" anchor="ctr"/>
              <a:lstStyle/>
              <a:p>
                <a:pPr algn="ctr">
                  <a:defRPr/>
                </a:pPr>
                <a:r>
                  <a:rPr lang="en-US" cap="none" sz="1000" b="1" i="0" u="none" baseline="0">
                    <a:latin typeface="Arial"/>
                    <a:ea typeface="Arial"/>
                    <a:cs typeface="Arial"/>
                  </a:rPr>
                  <a:t>Percent mature</a:t>
                </a:r>
              </a:p>
            </c:rich>
          </c:tx>
          <c:layout/>
          <c:overlay val="0"/>
          <c:spPr>
            <a:noFill/>
            <a:ln>
              <a:noFill/>
            </a:ln>
          </c:spPr>
        </c:title>
        <c:delete val="0"/>
        <c:numFmt formatCode="General" sourceLinked="1"/>
        <c:majorTickMark val="out"/>
        <c:minorTickMark val="none"/>
        <c:tickLblPos val="nextTo"/>
        <c:crossAx val="42781346"/>
        <c:crosses val="autoZero"/>
        <c:auto val="1"/>
        <c:lblOffset val="100"/>
        <c:noMultiLvlLbl val="0"/>
      </c:catAx>
      <c:valAx>
        <c:axId val="42781346"/>
        <c:scaling>
          <c:orientation val="minMax"/>
        </c:scaling>
        <c:axPos val="l"/>
        <c:title>
          <c:tx>
            <c:rich>
              <a:bodyPr vert="horz" rot="-5400000" anchor="ctr"/>
              <a:lstStyle/>
              <a:p>
                <a:pPr algn="ctr">
                  <a:defRPr/>
                </a:pPr>
                <a:r>
                  <a:rPr lang="en-US" cap="none" sz="1000" b="1" i="0" u="none" baseline="0">
                    <a:latin typeface="Arial"/>
                    <a:ea typeface="Arial"/>
                    <a:cs typeface="Arial"/>
                  </a:rPr>
                  <a:t>Frequency</a:t>
                </a:r>
              </a:p>
            </c:rich>
          </c:tx>
          <c:layout/>
          <c:overlay val="0"/>
          <c:spPr>
            <a:noFill/>
            <a:ln>
              <a:noFill/>
            </a:ln>
          </c:spPr>
        </c:title>
        <c:delete val="0"/>
        <c:numFmt formatCode="General" sourceLinked="1"/>
        <c:majorTickMark val="out"/>
        <c:minorTickMark val="none"/>
        <c:tickLblPos val="nextTo"/>
        <c:crossAx val="42036185"/>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GEN_CET!$P$70:$P$77</c:f>
              <c:strCache/>
            </c:strRef>
          </c:cat>
          <c:val>
            <c:numRef>
              <c:f>GEN_CET!$Q$69:$Q$77</c:f>
              <c:numCache>
                <c:ptCount val="9"/>
                <c:pt idx="0">
                  <c:v>0</c:v>
                </c:pt>
                <c:pt idx="1">
                  <c:v>0</c:v>
                </c:pt>
                <c:pt idx="2">
                  <c:v>0</c:v>
                </c:pt>
                <c:pt idx="3">
                  <c:v>0</c:v>
                </c:pt>
                <c:pt idx="4">
                  <c:v>0</c:v>
                </c:pt>
                <c:pt idx="5">
                  <c:v>0</c:v>
                </c:pt>
                <c:pt idx="6">
                  <c:v>0</c:v>
                </c:pt>
                <c:pt idx="7">
                  <c:v>0</c:v>
                </c:pt>
                <c:pt idx="8">
                  <c:v>0</c:v>
                </c:pt>
              </c:numCache>
            </c:numRef>
          </c:val>
        </c:ser>
        <c:axId val="49487795"/>
        <c:axId val="42736972"/>
      </c:barChart>
      <c:catAx>
        <c:axId val="49487795"/>
        <c:scaling>
          <c:orientation val="minMax"/>
        </c:scaling>
        <c:axPos val="b"/>
        <c:title>
          <c:tx>
            <c:rich>
              <a:bodyPr vert="horz" rot="0" anchor="ctr"/>
              <a:lstStyle/>
              <a:p>
                <a:pPr algn="ctr">
                  <a:defRPr/>
                </a:pPr>
                <a:r>
                  <a:rPr lang="en-US" cap="none" sz="1000" b="1" i="0" u="none" baseline="0">
                    <a:latin typeface="Arial"/>
                    <a:ea typeface="Arial"/>
                    <a:cs typeface="Arial"/>
                  </a:rPr>
                  <a:t>Generation length (T)</a:t>
                </a:r>
              </a:p>
            </c:rich>
          </c:tx>
          <c:layout/>
          <c:overlay val="0"/>
          <c:spPr>
            <a:noFill/>
            <a:ln>
              <a:noFill/>
            </a:ln>
          </c:spPr>
        </c:title>
        <c:delete val="0"/>
        <c:numFmt formatCode="General" sourceLinked="1"/>
        <c:majorTickMark val="out"/>
        <c:minorTickMark val="none"/>
        <c:tickLblPos val="nextTo"/>
        <c:crossAx val="42736972"/>
        <c:crosses val="autoZero"/>
        <c:auto val="1"/>
        <c:lblOffset val="100"/>
        <c:noMultiLvlLbl val="0"/>
      </c:catAx>
      <c:valAx>
        <c:axId val="42736972"/>
        <c:scaling>
          <c:orientation val="minMax"/>
        </c:scaling>
        <c:axPos val="l"/>
        <c:title>
          <c:tx>
            <c:rich>
              <a:bodyPr vert="horz" rot="-5400000" anchor="ctr"/>
              <a:lstStyle/>
              <a:p>
                <a:pPr algn="ctr">
                  <a:defRPr/>
                </a:pPr>
                <a:r>
                  <a:rPr lang="en-US" cap="none" sz="1000" b="1" i="0" u="none" baseline="0">
                    <a:latin typeface="Arial"/>
                    <a:ea typeface="Arial"/>
                    <a:cs typeface="Arial"/>
                  </a:rPr>
                  <a:t>Frequency</a:t>
                </a:r>
              </a:p>
            </c:rich>
          </c:tx>
          <c:layout/>
          <c:overlay val="0"/>
          <c:spPr>
            <a:noFill/>
            <a:ln>
              <a:noFill/>
            </a:ln>
          </c:spPr>
        </c:title>
        <c:delete val="0"/>
        <c:numFmt formatCode="General" sourceLinked="1"/>
        <c:majorTickMark val="out"/>
        <c:minorTickMark val="none"/>
        <c:tickLblPos val="nextTo"/>
        <c:crossAx val="49487795"/>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singleSpecies!$Z$2:$Z$88</c:f>
              <c:numCach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Cache>
            </c:numRef>
          </c:xVal>
          <c:yVal>
            <c:numRef>
              <c:f>singleSpecies!$L$2:$L$88</c:f>
              <c:numCach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Cache>
            </c:numRef>
          </c:yVal>
          <c:smooth val="0"/>
        </c:ser>
        <c:axId val="5668665"/>
        <c:axId val="51017986"/>
      </c:scatterChart>
      <c:valAx>
        <c:axId val="5668665"/>
        <c:scaling>
          <c:orientation val="minMax"/>
        </c:scaling>
        <c:axPos val="b"/>
        <c:title>
          <c:tx>
            <c:rich>
              <a:bodyPr vert="horz" rot="0" anchor="ctr"/>
              <a:lstStyle/>
              <a:p>
                <a:pPr algn="ctr">
                  <a:defRPr/>
                </a:pPr>
                <a:r>
                  <a:rPr lang="en-US" cap="none" sz="1450" b="1" i="0" u="none" baseline="0">
                    <a:latin typeface="Arial"/>
                    <a:ea typeface="Arial"/>
                    <a:cs typeface="Arial"/>
                  </a:rPr>
                  <a:t>Oldest age (years)</a:t>
                </a:r>
              </a:p>
            </c:rich>
          </c:tx>
          <c:layout/>
          <c:overlay val="0"/>
          <c:spPr>
            <a:noFill/>
            <a:ln>
              <a:noFill/>
            </a:ln>
          </c:spPr>
        </c:title>
        <c:delete val="0"/>
        <c:numFmt formatCode="General" sourceLinked="1"/>
        <c:majorTickMark val="out"/>
        <c:minorTickMark val="none"/>
        <c:tickLblPos val="nextTo"/>
        <c:crossAx val="51017986"/>
        <c:crosses val="autoZero"/>
        <c:crossBetween val="midCat"/>
        <c:dispUnits/>
      </c:valAx>
      <c:valAx>
        <c:axId val="51017986"/>
        <c:scaling>
          <c:orientation val="minMax"/>
        </c:scaling>
        <c:axPos val="l"/>
        <c:title>
          <c:tx>
            <c:rich>
              <a:bodyPr vert="horz" rot="-5400000" anchor="ctr"/>
              <a:lstStyle/>
              <a:p>
                <a:pPr algn="ctr">
                  <a:defRPr/>
                </a:pPr>
                <a:r>
                  <a:rPr lang="en-US" cap="none" sz="1450" b="1" i="0" u="none" baseline="0">
                    <a:latin typeface="Arial"/>
                    <a:ea typeface="Arial"/>
                    <a:cs typeface="Arial"/>
                  </a:rPr>
                  <a:t>Age of sexual maturity (years)</a:t>
                </a:r>
              </a:p>
            </c:rich>
          </c:tx>
          <c:layout/>
          <c:overlay val="0"/>
          <c:spPr>
            <a:noFill/>
            <a:ln>
              <a:noFill/>
            </a:ln>
          </c:spPr>
        </c:title>
        <c:delete val="0"/>
        <c:numFmt formatCode="General" sourceLinked="1"/>
        <c:majorTickMark val="out"/>
        <c:minorTickMark val="none"/>
        <c:tickLblPos val="nextTo"/>
        <c:crossAx val="566866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GEN_CET5!$P$3:$P$16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GEN_CET5!$Q$3:$Q$16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49088429"/>
        <c:axId val="39142678"/>
      </c:barChart>
      <c:catAx>
        <c:axId val="49088429"/>
        <c:scaling>
          <c:orientation val="minMax"/>
        </c:scaling>
        <c:axPos val="b"/>
        <c:title>
          <c:tx>
            <c:rich>
              <a:bodyPr vert="horz" rot="0" anchor="ctr"/>
              <a:lstStyle/>
              <a:p>
                <a:pPr algn="ctr">
                  <a:defRPr/>
                </a:pPr>
                <a:r>
                  <a:rPr lang="en-US" cap="none" sz="1000" b="1" i="0" u="none" baseline="0">
                    <a:latin typeface="Arial"/>
                    <a:ea typeface="Arial"/>
                    <a:cs typeface="Arial"/>
                  </a:rPr>
                  <a:t>Population growth rate (r)</a:t>
                </a:r>
              </a:p>
            </c:rich>
          </c:tx>
          <c:layout/>
          <c:overlay val="0"/>
          <c:spPr>
            <a:noFill/>
            <a:ln>
              <a:noFill/>
            </a:ln>
          </c:spPr>
        </c:title>
        <c:delete val="0"/>
        <c:numFmt formatCode="General" sourceLinked="1"/>
        <c:majorTickMark val="out"/>
        <c:minorTickMark val="none"/>
        <c:tickLblPos val="nextTo"/>
        <c:crossAx val="39142678"/>
        <c:crosses val="autoZero"/>
        <c:auto val="1"/>
        <c:lblOffset val="100"/>
        <c:noMultiLvlLbl val="0"/>
      </c:catAx>
      <c:valAx>
        <c:axId val="39142678"/>
        <c:scaling>
          <c:orientation val="minMax"/>
        </c:scaling>
        <c:axPos val="l"/>
        <c:title>
          <c:tx>
            <c:rich>
              <a:bodyPr vert="horz" rot="-5400000" anchor="ctr"/>
              <a:lstStyle/>
              <a:p>
                <a:pPr algn="ctr">
                  <a:defRPr/>
                </a:pPr>
                <a:r>
                  <a:rPr lang="en-US" cap="none" sz="1000" b="1" i="0" u="none" baseline="0">
                    <a:latin typeface="Arial"/>
                    <a:ea typeface="Arial"/>
                    <a:cs typeface="Arial"/>
                  </a:rPr>
                  <a:t>Frequency</a:t>
                </a:r>
              </a:p>
            </c:rich>
          </c:tx>
          <c:layout/>
          <c:overlay val="0"/>
          <c:spPr>
            <a:noFill/>
            <a:ln>
              <a:noFill/>
            </a:ln>
          </c:spPr>
        </c:title>
        <c:delete val="0"/>
        <c:numFmt formatCode="General" sourceLinked="1"/>
        <c:majorTickMark val="out"/>
        <c:minorTickMark val="none"/>
        <c:tickLblPos val="nextTo"/>
        <c:crossAx val="49088429"/>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GEN_CET5!$N$20:$N$28</c:f>
              <c:strCache/>
            </c:strRef>
          </c:cat>
          <c:val>
            <c:numRef>
              <c:f>GEN_CET5!$Q$20:$Q$28</c:f>
              <c:numCache>
                <c:ptCount val="9"/>
                <c:pt idx="0">
                  <c:v>0</c:v>
                </c:pt>
                <c:pt idx="1">
                  <c:v>0</c:v>
                </c:pt>
                <c:pt idx="2">
                  <c:v>0</c:v>
                </c:pt>
                <c:pt idx="3">
                  <c:v>0</c:v>
                </c:pt>
                <c:pt idx="4">
                  <c:v>0</c:v>
                </c:pt>
                <c:pt idx="5">
                  <c:v>0</c:v>
                </c:pt>
                <c:pt idx="6">
                  <c:v>0</c:v>
                </c:pt>
                <c:pt idx="7">
                  <c:v>0</c:v>
                </c:pt>
                <c:pt idx="8">
                  <c:v>0</c:v>
                </c:pt>
              </c:numCache>
            </c:numRef>
          </c:val>
        </c:ser>
        <c:axId val="16739783"/>
        <c:axId val="16440320"/>
      </c:barChart>
      <c:catAx>
        <c:axId val="16739783"/>
        <c:scaling>
          <c:orientation val="minMax"/>
        </c:scaling>
        <c:axPos val="b"/>
        <c:title>
          <c:tx>
            <c:rich>
              <a:bodyPr vert="horz" rot="0" anchor="ctr"/>
              <a:lstStyle/>
              <a:p>
                <a:pPr algn="ctr">
                  <a:defRPr/>
                </a:pPr>
                <a:r>
                  <a:rPr lang="en-US" cap="none" sz="1000" b="1" i="0" u="none" baseline="0">
                    <a:latin typeface="Arial"/>
                    <a:ea typeface="Arial"/>
                    <a:cs typeface="Arial"/>
                  </a:rPr>
                  <a:t>Generation length (T) in years</a:t>
                </a:r>
              </a:p>
            </c:rich>
          </c:tx>
          <c:layout/>
          <c:overlay val="0"/>
          <c:spPr>
            <a:noFill/>
            <a:ln>
              <a:noFill/>
            </a:ln>
          </c:spPr>
        </c:title>
        <c:delete val="0"/>
        <c:numFmt formatCode="General" sourceLinked="1"/>
        <c:majorTickMark val="out"/>
        <c:minorTickMark val="none"/>
        <c:tickLblPos val="nextTo"/>
        <c:crossAx val="16440320"/>
        <c:crosses val="autoZero"/>
        <c:auto val="1"/>
        <c:lblOffset val="100"/>
        <c:noMultiLvlLbl val="0"/>
      </c:catAx>
      <c:valAx>
        <c:axId val="16440320"/>
        <c:scaling>
          <c:orientation val="minMax"/>
        </c:scaling>
        <c:axPos val="l"/>
        <c:title>
          <c:tx>
            <c:rich>
              <a:bodyPr vert="horz" rot="-5400000" anchor="ctr"/>
              <a:lstStyle/>
              <a:p>
                <a:pPr algn="ctr">
                  <a:defRPr/>
                </a:pPr>
                <a:r>
                  <a:rPr lang="en-US" cap="none" sz="1000" b="1" i="0" u="none" baseline="0">
                    <a:latin typeface="Arial"/>
                    <a:ea typeface="Arial"/>
                    <a:cs typeface="Arial"/>
                  </a:rPr>
                  <a:t>Frequency</a:t>
                </a:r>
              </a:p>
            </c:rich>
          </c:tx>
          <c:layout/>
          <c:overlay val="0"/>
          <c:spPr>
            <a:noFill/>
            <a:ln>
              <a:noFill/>
            </a:ln>
          </c:spPr>
        </c:title>
        <c:delete val="0"/>
        <c:numFmt formatCode="General" sourceLinked="1"/>
        <c:majorTickMark val="out"/>
        <c:minorTickMark val="none"/>
        <c:tickLblPos val="nextTo"/>
        <c:crossAx val="16739783"/>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GEN_CET5!$N$37:$N$46</c:f>
              <c:strCache/>
            </c:strRef>
          </c:cat>
          <c:val>
            <c:numRef>
              <c:f>GEN_CET5!$Q$37:$Q$46</c:f>
              <c:numCache>
                <c:ptCount val="10"/>
                <c:pt idx="0">
                  <c:v>0</c:v>
                </c:pt>
                <c:pt idx="1">
                  <c:v>0</c:v>
                </c:pt>
                <c:pt idx="2">
                  <c:v>0</c:v>
                </c:pt>
                <c:pt idx="3">
                  <c:v>0</c:v>
                </c:pt>
                <c:pt idx="4">
                  <c:v>0</c:v>
                </c:pt>
                <c:pt idx="5">
                  <c:v>0</c:v>
                </c:pt>
                <c:pt idx="6">
                  <c:v>0</c:v>
                </c:pt>
                <c:pt idx="7">
                  <c:v>0</c:v>
                </c:pt>
                <c:pt idx="8">
                  <c:v>0</c:v>
                </c:pt>
                <c:pt idx="9">
                  <c:v>0</c:v>
                </c:pt>
              </c:numCache>
            </c:numRef>
          </c:val>
        </c:ser>
        <c:ser>
          <c:idx val="1"/>
          <c:order val="1"/>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val>
            <c:numRef>
              <c:f>GEN_CET5!$Q$51:$Q$60</c:f>
              <c:numCache>
                <c:ptCount val="10"/>
                <c:pt idx="0">
                  <c:v>0</c:v>
                </c:pt>
                <c:pt idx="1">
                  <c:v>0</c:v>
                </c:pt>
                <c:pt idx="2">
                  <c:v>0</c:v>
                </c:pt>
                <c:pt idx="3">
                  <c:v>0</c:v>
                </c:pt>
                <c:pt idx="4">
                  <c:v>0</c:v>
                </c:pt>
                <c:pt idx="5">
                  <c:v>0</c:v>
                </c:pt>
                <c:pt idx="6">
                  <c:v>0</c:v>
                </c:pt>
                <c:pt idx="7">
                  <c:v>0</c:v>
                </c:pt>
                <c:pt idx="8">
                  <c:v>0</c:v>
                </c:pt>
                <c:pt idx="9">
                  <c:v>0</c:v>
                </c:pt>
              </c:numCache>
            </c:numRef>
          </c:val>
        </c:ser>
        <c:axId val="13745153"/>
        <c:axId val="56597514"/>
      </c:barChart>
      <c:catAx>
        <c:axId val="13745153"/>
        <c:scaling>
          <c:orientation val="minMax"/>
        </c:scaling>
        <c:axPos val="b"/>
        <c:title>
          <c:tx>
            <c:rich>
              <a:bodyPr vert="horz" rot="0" anchor="ctr"/>
              <a:lstStyle/>
              <a:p>
                <a:pPr algn="ctr">
                  <a:defRPr/>
                </a:pPr>
                <a:r>
                  <a:rPr lang="en-US" cap="none" sz="1000" b="1" i="0" u="none" baseline="0">
                    <a:latin typeface="Arial"/>
                    <a:ea typeface="Arial"/>
                    <a:cs typeface="Arial"/>
                  </a:rPr>
                  <a:t>Percent mature (P)</a:t>
                </a:r>
              </a:p>
            </c:rich>
          </c:tx>
          <c:layout/>
          <c:overlay val="0"/>
          <c:spPr>
            <a:noFill/>
            <a:ln>
              <a:noFill/>
            </a:ln>
          </c:spPr>
        </c:title>
        <c:delete val="0"/>
        <c:numFmt formatCode="General" sourceLinked="1"/>
        <c:majorTickMark val="out"/>
        <c:minorTickMark val="none"/>
        <c:tickLblPos val="nextTo"/>
        <c:crossAx val="56597514"/>
        <c:crosses val="autoZero"/>
        <c:auto val="1"/>
        <c:lblOffset val="100"/>
        <c:noMultiLvlLbl val="0"/>
      </c:catAx>
      <c:valAx>
        <c:axId val="56597514"/>
        <c:scaling>
          <c:orientation val="minMax"/>
        </c:scaling>
        <c:axPos val="l"/>
        <c:title>
          <c:tx>
            <c:rich>
              <a:bodyPr vert="horz" rot="-5400000" anchor="ctr"/>
              <a:lstStyle/>
              <a:p>
                <a:pPr algn="ctr">
                  <a:defRPr/>
                </a:pPr>
                <a:r>
                  <a:rPr lang="en-US" cap="none" sz="1000" b="1" i="0" u="none" baseline="0">
                    <a:latin typeface="Arial"/>
                    <a:ea typeface="Arial"/>
                    <a:cs typeface="Arial"/>
                  </a:rPr>
                  <a:t>Frequency</a:t>
                </a:r>
              </a:p>
            </c:rich>
          </c:tx>
          <c:layout/>
          <c:overlay val="0"/>
          <c:spPr>
            <a:noFill/>
            <a:ln>
              <a:noFill/>
            </a:ln>
          </c:spPr>
        </c:title>
        <c:delete val="0"/>
        <c:numFmt formatCode="General" sourceLinked="1"/>
        <c:majorTickMark val="out"/>
        <c:minorTickMark val="none"/>
        <c:tickLblPos val="nextTo"/>
        <c:crossAx val="13745153"/>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03825"/>
          <c:w val="0.7755"/>
          <c:h val="0.831"/>
        </c:manualLayout>
      </c:layout>
      <c:barChart>
        <c:barDir val="col"/>
        <c:grouping val="clustered"/>
        <c:varyColors val="0"/>
        <c:ser>
          <c:idx val="0"/>
          <c:order val="0"/>
          <c:tx>
            <c:v>Current</c:v>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GEN_CET5!$N$37:$N$46</c:f>
              <c:strCache/>
            </c:strRef>
          </c:cat>
          <c:val>
            <c:numRef>
              <c:f>GEN_CET5!$Q$37:$Q$46</c:f>
              <c:numCache>
                <c:ptCount val="10"/>
                <c:pt idx="0">
                  <c:v>0</c:v>
                </c:pt>
                <c:pt idx="1">
                  <c:v>0</c:v>
                </c:pt>
                <c:pt idx="2">
                  <c:v>0</c:v>
                </c:pt>
                <c:pt idx="3">
                  <c:v>0</c:v>
                </c:pt>
                <c:pt idx="4">
                  <c:v>0</c:v>
                </c:pt>
                <c:pt idx="5">
                  <c:v>0</c:v>
                </c:pt>
                <c:pt idx="6">
                  <c:v>0</c:v>
                </c:pt>
                <c:pt idx="7">
                  <c:v>0</c:v>
                </c:pt>
                <c:pt idx="8">
                  <c:v>0</c:v>
                </c:pt>
                <c:pt idx="9">
                  <c:v>0</c:v>
                </c:pt>
              </c:numCache>
            </c:numRef>
          </c:val>
        </c:ser>
        <c:ser>
          <c:idx val="1"/>
          <c:order val="1"/>
          <c:tx>
            <c:v>Stable (r=0)</c:v>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val>
            <c:numRef>
              <c:f>GEN_CET5!$Q$51:$Q$60</c:f>
              <c:numCache>
                <c:ptCount val="10"/>
                <c:pt idx="0">
                  <c:v>0</c:v>
                </c:pt>
                <c:pt idx="1">
                  <c:v>0</c:v>
                </c:pt>
                <c:pt idx="2">
                  <c:v>0</c:v>
                </c:pt>
                <c:pt idx="3">
                  <c:v>0</c:v>
                </c:pt>
                <c:pt idx="4">
                  <c:v>0</c:v>
                </c:pt>
                <c:pt idx="5">
                  <c:v>0</c:v>
                </c:pt>
                <c:pt idx="6">
                  <c:v>0</c:v>
                </c:pt>
                <c:pt idx="7">
                  <c:v>0</c:v>
                </c:pt>
                <c:pt idx="8">
                  <c:v>0</c:v>
                </c:pt>
                <c:pt idx="9">
                  <c:v>0</c:v>
                </c:pt>
              </c:numCache>
            </c:numRef>
          </c:val>
        </c:ser>
        <c:axId val="39615579"/>
        <c:axId val="20995892"/>
      </c:barChart>
      <c:catAx>
        <c:axId val="39615579"/>
        <c:scaling>
          <c:orientation val="minMax"/>
        </c:scaling>
        <c:axPos val="b"/>
        <c:title>
          <c:tx>
            <c:rich>
              <a:bodyPr vert="horz" rot="0" anchor="ctr"/>
              <a:lstStyle/>
              <a:p>
                <a:pPr algn="ctr">
                  <a:defRPr/>
                </a:pPr>
                <a:r>
                  <a:rPr lang="en-US" cap="none" sz="1000" b="1" i="0" u="none" baseline="0">
                    <a:latin typeface="Arial"/>
                    <a:ea typeface="Arial"/>
                    <a:cs typeface="Arial"/>
                  </a:rPr>
                  <a:t>Percent mature (P)</a:t>
                </a:r>
              </a:p>
            </c:rich>
          </c:tx>
          <c:layout/>
          <c:overlay val="0"/>
          <c:spPr>
            <a:noFill/>
            <a:ln>
              <a:noFill/>
            </a:ln>
          </c:spPr>
        </c:title>
        <c:delete val="0"/>
        <c:numFmt formatCode="General" sourceLinked="1"/>
        <c:majorTickMark val="out"/>
        <c:minorTickMark val="none"/>
        <c:tickLblPos val="nextTo"/>
        <c:crossAx val="20995892"/>
        <c:crosses val="autoZero"/>
        <c:auto val="1"/>
        <c:lblOffset val="100"/>
        <c:noMultiLvlLbl val="0"/>
      </c:catAx>
      <c:valAx>
        <c:axId val="20995892"/>
        <c:scaling>
          <c:orientation val="minMax"/>
        </c:scaling>
        <c:axPos val="l"/>
        <c:title>
          <c:tx>
            <c:rich>
              <a:bodyPr vert="horz" rot="-5400000" anchor="ctr"/>
              <a:lstStyle/>
              <a:p>
                <a:pPr algn="ctr">
                  <a:defRPr/>
                </a:pPr>
                <a:r>
                  <a:rPr lang="en-US" cap="none" sz="1000" b="1" i="0" u="none" baseline="0">
                    <a:latin typeface="Arial"/>
                    <a:ea typeface="Arial"/>
                    <a:cs typeface="Arial"/>
                  </a:rPr>
                  <a:t>Frequency</a:t>
                </a:r>
              </a:p>
            </c:rich>
          </c:tx>
          <c:layout/>
          <c:overlay val="0"/>
          <c:spPr>
            <a:noFill/>
            <a:ln>
              <a:noFill/>
            </a:ln>
          </c:spPr>
        </c:title>
        <c:delete val="0"/>
        <c:numFmt formatCode="General" sourceLinked="1"/>
        <c:majorTickMark val="out"/>
        <c:minorTickMark val="none"/>
        <c:tickLblPos val="nextTo"/>
        <c:crossAx val="39615579"/>
        <c:crossesAt val="1"/>
        <c:crossBetween val="between"/>
        <c:dispUnits/>
      </c:valAx>
      <c:spPr>
        <a:noFill/>
        <a:ln>
          <a:noFill/>
        </a:ln>
      </c:spPr>
    </c:plotArea>
    <c:legend>
      <c:legendPos val="r"/>
      <c:layout>
        <c:manualLayout>
          <c:xMode val="edge"/>
          <c:yMode val="edge"/>
          <c:x val="0.59925"/>
          <c:y val="0.114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'GEN_CET dif'!$V$2:$V$16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'GEN_CET dif'!$W$2:$W$16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54745301"/>
        <c:axId val="22945662"/>
      </c:barChart>
      <c:catAx>
        <c:axId val="54745301"/>
        <c:scaling>
          <c:orientation val="minMax"/>
        </c:scaling>
        <c:axPos val="b"/>
        <c:title>
          <c:tx>
            <c:rich>
              <a:bodyPr vert="horz" rot="0" anchor="ctr"/>
              <a:lstStyle/>
              <a:p>
                <a:pPr algn="ctr">
                  <a:defRPr/>
                </a:pPr>
                <a:r>
                  <a:rPr lang="en-US" cap="none" sz="1000" b="1" i="0" u="none" baseline="0">
                    <a:latin typeface="Arial"/>
                    <a:ea typeface="Arial"/>
                    <a:cs typeface="Arial"/>
                  </a:rPr>
                  <a:t>Population growth rate (r)</a:t>
                </a:r>
              </a:p>
            </c:rich>
          </c:tx>
          <c:layout/>
          <c:overlay val="0"/>
          <c:spPr>
            <a:noFill/>
            <a:ln>
              <a:noFill/>
            </a:ln>
          </c:spPr>
        </c:title>
        <c:delete val="0"/>
        <c:numFmt formatCode="General" sourceLinked="1"/>
        <c:majorTickMark val="out"/>
        <c:minorTickMark val="none"/>
        <c:tickLblPos val="nextTo"/>
        <c:crossAx val="22945662"/>
        <c:crosses val="autoZero"/>
        <c:auto val="1"/>
        <c:lblOffset val="100"/>
        <c:noMultiLvlLbl val="0"/>
      </c:catAx>
      <c:valAx>
        <c:axId val="22945662"/>
        <c:scaling>
          <c:orientation val="minMax"/>
        </c:scaling>
        <c:axPos val="l"/>
        <c:title>
          <c:tx>
            <c:rich>
              <a:bodyPr vert="horz" rot="-5400000" anchor="ctr"/>
              <a:lstStyle/>
              <a:p>
                <a:pPr algn="ctr">
                  <a:defRPr/>
                </a:pPr>
                <a:r>
                  <a:rPr lang="en-US" cap="none" sz="1000" b="1" i="0" u="none" baseline="0">
                    <a:latin typeface="Arial"/>
                    <a:ea typeface="Arial"/>
                    <a:cs typeface="Arial"/>
                  </a:rPr>
                  <a:t>Frequency</a:t>
                </a:r>
              </a:p>
            </c:rich>
          </c:tx>
          <c:layout/>
          <c:overlay val="0"/>
          <c:spPr>
            <a:noFill/>
            <a:ln>
              <a:noFill/>
            </a:ln>
          </c:spPr>
        </c:title>
        <c:delete val="0"/>
        <c:numFmt formatCode="General" sourceLinked="1"/>
        <c:majorTickMark val="out"/>
        <c:minorTickMark val="none"/>
        <c:tickLblPos val="nextTo"/>
        <c:crossAx val="54745301"/>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'GEN_CET dif'!$V$44:$V$50</c:f>
              <c:numCache>
                <c:ptCount val="7"/>
                <c:pt idx="0">
                  <c:v>0</c:v>
                </c:pt>
                <c:pt idx="1">
                  <c:v>0</c:v>
                </c:pt>
                <c:pt idx="2">
                  <c:v>0</c:v>
                </c:pt>
                <c:pt idx="3">
                  <c:v>0</c:v>
                </c:pt>
                <c:pt idx="4">
                  <c:v>0</c:v>
                </c:pt>
                <c:pt idx="5">
                  <c:v>0</c:v>
                </c:pt>
                <c:pt idx="6">
                  <c:v>0</c:v>
                </c:pt>
              </c:numCache>
            </c:numRef>
          </c:cat>
          <c:val>
            <c:numRef>
              <c:f>'GEN_CET dif'!$W$44:$W$50</c:f>
              <c:numCache>
                <c:ptCount val="7"/>
                <c:pt idx="0">
                  <c:v>0</c:v>
                </c:pt>
                <c:pt idx="1">
                  <c:v>0</c:v>
                </c:pt>
                <c:pt idx="2">
                  <c:v>0</c:v>
                </c:pt>
                <c:pt idx="3">
                  <c:v>0</c:v>
                </c:pt>
                <c:pt idx="4">
                  <c:v>0</c:v>
                </c:pt>
                <c:pt idx="5">
                  <c:v>0</c:v>
                </c:pt>
                <c:pt idx="6">
                  <c:v>0</c:v>
                </c:pt>
              </c:numCache>
            </c:numRef>
          </c:val>
        </c:ser>
        <c:axId val="5184367"/>
        <c:axId val="46659304"/>
      </c:barChart>
      <c:catAx>
        <c:axId val="5184367"/>
        <c:scaling>
          <c:orientation val="minMax"/>
        </c:scaling>
        <c:axPos val="b"/>
        <c:title>
          <c:tx>
            <c:rich>
              <a:bodyPr vert="horz" rot="0" anchor="ctr"/>
              <a:lstStyle/>
              <a:p>
                <a:pPr algn="ctr">
                  <a:defRPr/>
                </a:pPr>
                <a:r>
                  <a:rPr lang="en-US" cap="none" sz="1000" b="1" i="0" u="none" baseline="0">
                    <a:latin typeface="Arial"/>
                    <a:ea typeface="Arial"/>
                    <a:cs typeface="Arial"/>
                  </a:rPr>
                  <a:t>Percent mature</a:t>
                </a:r>
              </a:p>
            </c:rich>
          </c:tx>
          <c:layout/>
          <c:overlay val="0"/>
          <c:spPr>
            <a:noFill/>
            <a:ln>
              <a:noFill/>
            </a:ln>
          </c:spPr>
        </c:title>
        <c:delete val="0"/>
        <c:numFmt formatCode="General" sourceLinked="1"/>
        <c:majorTickMark val="out"/>
        <c:minorTickMark val="none"/>
        <c:tickLblPos val="nextTo"/>
        <c:crossAx val="46659304"/>
        <c:crosses val="autoZero"/>
        <c:auto val="1"/>
        <c:lblOffset val="100"/>
        <c:noMultiLvlLbl val="0"/>
      </c:catAx>
      <c:valAx>
        <c:axId val="46659304"/>
        <c:scaling>
          <c:orientation val="minMax"/>
        </c:scaling>
        <c:axPos val="l"/>
        <c:title>
          <c:tx>
            <c:rich>
              <a:bodyPr vert="horz" rot="-5400000" anchor="ctr"/>
              <a:lstStyle/>
              <a:p>
                <a:pPr algn="ctr">
                  <a:defRPr/>
                </a:pPr>
                <a:r>
                  <a:rPr lang="en-US" cap="none" sz="1000" b="1" i="0" u="none" baseline="0">
                    <a:latin typeface="Arial"/>
                    <a:ea typeface="Arial"/>
                    <a:cs typeface="Arial"/>
                  </a:rPr>
                  <a:t>Frequency</a:t>
                </a:r>
              </a:p>
            </c:rich>
          </c:tx>
          <c:layout/>
          <c:overlay val="0"/>
          <c:spPr>
            <a:noFill/>
            <a:ln>
              <a:noFill/>
            </a:ln>
          </c:spPr>
        </c:title>
        <c:delete val="0"/>
        <c:numFmt formatCode="General" sourceLinked="1"/>
        <c:majorTickMark val="out"/>
        <c:minorTickMark val="none"/>
        <c:tickLblPos val="nextTo"/>
        <c:crossAx val="5184367"/>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'GEN_CET dif'!$V$70:$V$77</c:f>
              <c:numCache>
                <c:ptCount val="8"/>
                <c:pt idx="0">
                  <c:v>0</c:v>
                </c:pt>
                <c:pt idx="1">
                  <c:v>0</c:v>
                </c:pt>
                <c:pt idx="2">
                  <c:v>0</c:v>
                </c:pt>
                <c:pt idx="3">
                  <c:v>0</c:v>
                </c:pt>
                <c:pt idx="4">
                  <c:v>0</c:v>
                </c:pt>
                <c:pt idx="5">
                  <c:v>0</c:v>
                </c:pt>
                <c:pt idx="6">
                  <c:v>0</c:v>
                </c:pt>
                <c:pt idx="7">
                  <c:v>0</c:v>
                </c:pt>
              </c:numCache>
            </c:numRef>
          </c:cat>
          <c:val>
            <c:numRef>
              <c:f>'GEN_CET dif'!$W$69:$W$77</c:f>
              <c:numCache>
                <c:ptCount val="9"/>
                <c:pt idx="0">
                  <c:v>0</c:v>
                </c:pt>
                <c:pt idx="1">
                  <c:v>0</c:v>
                </c:pt>
                <c:pt idx="2">
                  <c:v>0</c:v>
                </c:pt>
                <c:pt idx="3">
                  <c:v>0</c:v>
                </c:pt>
                <c:pt idx="4">
                  <c:v>0</c:v>
                </c:pt>
                <c:pt idx="5">
                  <c:v>0</c:v>
                </c:pt>
                <c:pt idx="6">
                  <c:v>0</c:v>
                </c:pt>
                <c:pt idx="7">
                  <c:v>0</c:v>
                </c:pt>
                <c:pt idx="8">
                  <c:v>0</c:v>
                </c:pt>
              </c:numCache>
            </c:numRef>
          </c:val>
        </c:ser>
        <c:axId val="17280553"/>
        <c:axId val="21307250"/>
      </c:barChart>
      <c:catAx>
        <c:axId val="17280553"/>
        <c:scaling>
          <c:orientation val="minMax"/>
        </c:scaling>
        <c:axPos val="b"/>
        <c:title>
          <c:tx>
            <c:rich>
              <a:bodyPr vert="horz" rot="0" anchor="ctr"/>
              <a:lstStyle/>
              <a:p>
                <a:pPr algn="ctr">
                  <a:defRPr/>
                </a:pPr>
                <a:r>
                  <a:rPr lang="en-US" cap="none" sz="1000" b="1" i="0" u="none" baseline="0">
                    <a:latin typeface="Arial"/>
                    <a:ea typeface="Arial"/>
                    <a:cs typeface="Arial"/>
                  </a:rPr>
                  <a:t>Generation length (T)</a:t>
                </a:r>
              </a:p>
            </c:rich>
          </c:tx>
          <c:layout/>
          <c:overlay val="0"/>
          <c:spPr>
            <a:noFill/>
            <a:ln>
              <a:noFill/>
            </a:ln>
          </c:spPr>
        </c:title>
        <c:delete val="0"/>
        <c:numFmt formatCode="General" sourceLinked="1"/>
        <c:majorTickMark val="out"/>
        <c:minorTickMark val="none"/>
        <c:tickLblPos val="nextTo"/>
        <c:crossAx val="21307250"/>
        <c:crosses val="autoZero"/>
        <c:auto val="1"/>
        <c:lblOffset val="100"/>
        <c:noMultiLvlLbl val="0"/>
      </c:catAx>
      <c:valAx>
        <c:axId val="21307250"/>
        <c:scaling>
          <c:orientation val="minMax"/>
        </c:scaling>
        <c:axPos val="l"/>
        <c:title>
          <c:tx>
            <c:rich>
              <a:bodyPr vert="horz" rot="-5400000" anchor="ctr"/>
              <a:lstStyle/>
              <a:p>
                <a:pPr algn="ctr">
                  <a:defRPr/>
                </a:pPr>
                <a:r>
                  <a:rPr lang="en-US" cap="none" sz="1000" b="1" i="0" u="none" baseline="0">
                    <a:latin typeface="Arial"/>
                    <a:ea typeface="Arial"/>
                    <a:cs typeface="Arial"/>
                  </a:rPr>
                  <a:t>Frequency</a:t>
                </a:r>
              </a:p>
            </c:rich>
          </c:tx>
          <c:layout/>
          <c:overlay val="0"/>
          <c:spPr>
            <a:noFill/>
            <a:ln>
              <a:noFill/>
            </a:ln>
          </c:spPr>
        </c:title>
        <c:delete val="0"/>
        <c:numFmt formatCode="General" sourceLinked="1"/>
        <c:majorTickMark val="out"/>
        <c:minorTickMark val="none"/>
        <c:tickLblPos val="nextTo"/>
        <c:crossAx val="17280553"/>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singleSpecies!$AQ$3:$AQ$34</c:f>
              <c:numCach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numCache>
            </c:numRef>
          </c:cat>
          <c:val>
            <c:numRef>
              <c:f>singleSpecies!$AR$3:$AR$34</c:f>
              <c:numCache>
                <c:ptCount val="32"/>
                <c:pt idx="0">
                  <c:v>0</c:v>
                </c:pt>
                <c:pt idx="1">
                  <c:v>13</c:v>
                </c:pt>
                <c:pt idx="2">
                  <c:v>26</c:v>
                </c:pt>
                <c:pt idx="3">
                  <c:v>4</c:v>
                </c:pt>
                <c:pt idx="4">
                  <c:v>9</c:v>
                </c:pt>
                <c:pt idx="5">
                  <c:v>6</c:v>
                </c:pt>
                <c:pt idx="6">
                  <c:v>4</c:v>
                </c:pt>
                <c:pt idx="7">
                  <c:v>3</c:v>
                </c:pt>
                <c:pt idx="8">
                  <c:v>1</c:v>
                </c:pt>
                <c:pt idx="9">
                  <c:v>1</c:v>
                </c:pt>
                <c:pt idx="10">
                  <c:v>3</c:v>
                </c:pt>
                <c:pt idx="11">
                  <c:v>0</c:v>
                </c:pt>
                <c:pt idx="12">
                  <c:v>1</c:v>
                </c:pt>
                <c:pt idx="13">
                  <c:v>0</c:v>
                </c:pt>
                <c:pt idx="14">
                  <c:v>1</c:v>
                </c:pt>
                <c:pt idx="15">
                  <c:v>1</c:v>
                </c:pt>
                <c:pt idx="16">
                  <c:v>3</c:v>
                </c:pt>
                <c:pt idx="17">
                  <c:v>1</c:v>
                </c:pt>
                <c:pt idx="18">
                  <c:v>0</c:v>
                </c:pt>
                <c:pt idx="19">
                  <c:v>2</c:v>
                </c:pt>
                <c:pt idx="20">
                  <c:v>0</c:v>
                </c:pt>
                <c:pt idx="21">
                  <c:v>0</c:v>
                </c:pt>
                <c:pt idx="22">
                  <c:v>0</c:v>
                </c:pt>
                <c:pt idx="23">
                  <c:v>0</c:v>
                </c:pt>
                <c:pt idx="24">
                  <c:v>0</c:v>
                </c:pt>
                <c:pt idx="25">
                  <c:v>1</c:v>
                </c:pt>
                <c:pt idx="26">
                  <c:v>0</c:v>
                </c:pt>
                <c:pt idx="27">
                  <c:v>0</c:v>
                </c:pt>
                <c:pt idx="28">
                  <c:v>0</c:v>
                </c:pt>
                <c:pt idx="29">
                  <c:v>0</c:v>
                </c:pt>
                <c:pt idx="30">
                  <c:v>0</c:v>
                </c:pt>
                <c:pt idx="31">
                  <c:v>1</c:v>
                </c:pt>
              </c:numCache>
            </c:numRef>
          </c:val>
        </c:ser>
        <c:axId val="57547523"/>
        <c:axId val="48165660"/>
      </c:barChart>
      <c:catAx>
        <c:axId val="57547523"/>
        <c:scaling>
          <c:orientation val="minMax"/>
        </c:scaling>
        <c:axPos val="b"/>
        <c:title>
          <c:tx>
            <c:rich>
              <a:bodyPr vert="horz" rot="0" anchor="ctr"/>
              <a:lstStyle/>
              <a:p>
                <a:pPr algn="ctr">
                  <a:defRPr/>
                </a:pPr>
                <a:r>
                  <a:rPr lang="en-US" cap="none" sz="150" b="1" i="0" u="none" baseline="0">
                    <a:latin typeface="Arial"/>
                    <a:ea typeface="Arial"/>
                    <a:cs typeface="Arial"/>
                  </a:rPr>
                  <a:t>Length (m)</a:t>
                </a:r>
              </a:p>
            </c:rich>
          </c:tx>
          <c:layout/>
          <c:overlay val="0"/>
          <c:spPr>
            <a:noFill/>
            <a:ln>
              <a:noFill/>
            </a:ln>
          </c:spPr>
        </c:title>
        <c:delete val="0"/>
        <c:numFmt formatCode="General" sourceLinked="1"/>
        <c:majorTickMark val="out"/>
        <c:minorTickMark val="none"/>
        <c:tickLblPos val="nextTo"/>
        <c:crossAx val="48165660"/>
        <c:crosses val="autoZero"/>
        <c:auto val="1"/>
        <c:lblOffset val="100"/>
        <c:noMultiLvlLbl val="0"/>
      </c:catAx>
      <c:valAx>
        <c:axId val="48165660"/>
        <c:scaling>
          <c:orientation val="minMax"/>
        </c:scaling>
        <c:axPos val="l"/>
        <c:title>
          <c:tx>
            <c:rich>
              <a:bodyPr vert="horz" rot="-5400000" anchor="ctr"/>
              <a:lstStyle/>
              <a:p>
                <a:pPr algn="ctr">
                  <a:defRPr/>
                </a:pPr>
                <a:r>
                  <a:rPr lang="en-US" cap="none" sz="150" b="1" i="0" u="none" baseline="0">
                    <a:latin typeface="Arial"/>
                    <a:ea typeface="Arial"/>
                    <a:cs typeface="Arial"/>
                  </a:rPr>
                  <a:t>Frequency</a:t>
                </a:r>
              </a:p>
            </c:rich>
          </c:tx>
          <c:layout/>
          <c:overlay val="0"/>
          <c:spPr>
            <a:noFill/>
            <a:ln>
              <a:noFill/>
            </a:ln>
          </c:spPr>
        </c:title>
        <c:delete val="0"/>
        <c:numFmt formatCode="General" sourceLinked="1"/>
        <c:majorTickMark val="out"/>
        <c:minorTickMark val="none"/>
        <c:tickLblPos val="nextTo"/>
        <c:crossAx val="5754752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singleSpecies!$AK$2:$AK$88</c:f>
              <c:numCach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Cache>
            </c:numRef>
          </c:xVal>
          <c:yVal>
            <c:numRef>
              <c:f>singleSpecies!$AJ$2:$AJ$88</c:f>
              <c:numCach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Cache>
            </c:numRef>
          </c:yVal>
          <c:smooth val="0"/>
        </c:ser>
        <c:axId val="56508691"/>
        <c:axId val="38816172"/>
      </c:scatterChart>
      <c:valAx>
        <c:axId val="56508691"/>
        <c:scaling>
          <c:orientation val="minMax"/>
        </c:scaling>
        <c:axPos val="b"/>
        <c:title>
          <c:tx>
            <c:rich>
              <a:bodyPr vert="horz" rot="0" anchor="ctr"/>
              <a:lstStyle/>
              <a:p>
                <a:pPr algn="ctr">
                  <a:defRPr/>
                </a:pPr>
                <a:r>
                  <a:rPr lang="en-US" cap="none" sz="1200" b="1" i="0" u="none" baseline="0">
                    <a:latin typeface="Arial"/>
                    <a:ea typeface="Arial"/>
                    <a:cs typeface="Arial"/>
                  </a:rPr>
                  <a:t>log(length)</a:t>
                </a:r>
              </a:p>
            </c:rich>
          </c:tx>
          <c:layout/>
          <c:overlay val="0"/>
          <c:spPr>
            <a:noFill/>
            <a:ln>
              <a:noFill/>
            </a:ln>
          </c:spPr>
        </c:title>
        <c:delete val="0"/>
        <c:numFmt formatCode="General" sourceLinked="1"/>
        <c:majorTickMark val="out"/>
        <c:minorTickMark val="none"/>
        <c:tickLblPos val="nextTo"/>
        <c:crossAx val="38816172"/>
        <c:crosses val="autoZero"/>
        <c:crossBetween val="midCat"/>
        <c:dispUnits/>
      </c:valAx>
      <c:valAx>
        <c:axId val="38816172"/>
        <c:scaling>
          <c:orientation val="minMax"/>
        </c:scaling>
        <c:axPos val="l"/>
        <c:title>
          <c:tx>
            <c:rich>
              <a:bodyPr vert="horz" rot="-5400000" anchor="ctr"/>
              <a:lstStyle/>
              <a:p>
                <a:pPr algn="ctr">
                  <a:defRPr/>
                </a:pPr>
                <a:r>
                  <a:rPr lang="en-US" cap="none" sz="1200" b="1" i="0" u="none" baseline="0">
                    <a:latin typeface="Arial"/>
                    <a:ea typeface="Arial"/>
                    <a:cs typeface="Arial"/>
                  </a:rPr>
                  <a:t>log(oldest age)</a:t>
                </a:r>
              </a:p>
            </c:rich>
          </c:tx>
          <c:layout/>
          <c:overlay val="0"/>
          <c:spPr>
            <a:noFill/>
            <a:ln>
              <a:noFill/>
            </a:ln>
          </c:spPr>
        </c:title>
        <c:delete val="0"/>
        <c:numFmt formatCode="General" sourceLinked="1"/>
        <c:majorTickMark val="out"/>
        <c:minorTickMark val="none"/>
        <c:tickLblPos val="nextTo"/>
        <c:crossAx val="5650869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singleSpecies!$AK$2:$AK$88</c:f>
              <c:numCach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Cache>
            </c:numRef>
          </c:xVal>
          <c:yVal>
            <c:numRef>
              <c:f>singleSpecies!$Z$2:$Z$88</c:f>
              <c:numCach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Cache>
            </c:numRef>
          </c:yVal>
          <c:smooth val="0"/>
        </c:ser>
        <c:axId val="13801229"/>
        <c:axId val="57102198"/>
      </c:scatterChart>
      <c:valAx>
        <c:axId val="13801229"/>
        <c:scaling>
          <c:orientation val="minMax"/>
        </c:scaling>
        <c:axPos val="b"/>
        <c:title>
          <c:tx>
            <c:rich>
              <a:bodyPr vert="horz" rot="0" anchor="ctr"/>
              <a:lstStyle/>
              <a:p>
                <a:pPr algn="ctr">
                  <a:defRPr/>
                </a:pPr>
                <a:r>
                  <a:rPr lang="en-US" cap="none" sz="1200" b="1" i="0" u="none" baseline="0">
                    <a:latin typeface="Arial"/>
                    <a:ea typeface="Arial"/>
                    <a:cs typeface="Arial"/>
                  </a:rPr>
                  <a:t>log(length)</a:t>
                </a:r>
              </a:p>
            </c:rich>
          </c:tx>
          <c:layout/>
          <c:overlay val="0"/>
          <c:spPr>
            <a:noFill/>
            <a:ln>
              <a:noFill/>
            </a:ln>
          </c:spPr>
        </c:title>
        <c:delete val="0"/>
        <c:numFmt formatCode="General" sourceLinked="1"/>
        <c:majorTickMark val="out"/>
        <c:minorTickMark val="none"/>
        <c:tickLblPos val="nextTo"/>
        <c:crossAx val="57102198"/>
        <c:crosses val="autoZero"/>
        <c:crossBetween val="midCat"/>
        <c:dispUnits/>
      </c:valAx>
      <c:valAx>
        <c:axId val="57102198"/>
        <c:scaling>
          <c:orientation val="minMax"/>
        </c:scaling>
        <c:axPos val="l"/>
        <c:title>
          <c:tx>
            <c:rich>
              <a:bodyPr vert="horz" rot="-5400000" anchor="ctr"/>
              <a:lstStyle/>
              <a:p>
                <a:pPr algn="ctr">
                  <a:defRPr/>
                </a:pPr>
                <a:r>
                  <a:rPr lang="en-US" cap="none" sz="1200" b="1" i="0" u="none" baseline="0">
                    <a:latin typeface="Arial"/>
                    <a:ea typeface="Arial"/>
                    <a:cs typeface="Arial"/>
                  </a:rPr>
                  <a:t>oldest age</a:t>
                </a:r>
              </a:p>
            </c:rich>
          </c:tx>
          <c:layout/>
          <c:overlay val="0"/>
          <c:spPr>
            <a:noFill/>
            <a:ln>
              <a:noFill/>
            </a:ln>
          </c:spPr>
        </c:title>
        <c:delete val="0"/>
        <c:numFmt formatCode="General" sourceLinked="1"/>
        <c:majorTickMark val="out"/>
        <c:minorTickMark val="none"/>
        <c:tickLblPos val="nextTo"/>
        <c:crossAx val="1380122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Odontocetes</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singleSpecies!$AE$38:$AE$88</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xVal>
          <c:yVal>
            <c:numRef>
              <c:f>singleSpecies!$L$38:$L$88</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smooth val="0"/>
        </c:ser>
        <c:axId val="44157735"/>
        <c:axId val="61875296"/>
      </c:scatterChart>
      <c:valAx>
        <c:axId val="44157735"/>
        <c:scaling>
          <c:orientation val="minMax"/>
          <c:max val="8"/>
        </c:scaling>
        <c:axPos val="b"/>
        <c:title>
          <c:tx>
            <c:rich>
              <a:bodyPr vert="horz" rot="0" anchor="ctr"/>
              <a:lstStyle/>
              <a:p>
                <a:pPr algn="ctr">
                  <a:defRPr/>
                </a:pPr>
                <a:r>
                  <a:rPr lang="en-US" cap="none" sz="1575" b="1" i="0" u="none" baseline="0">
                    <a:latin typeface="Arial"/>
                    <a:ea typeface="Arial"/>
                    <a:cs typeface="Arial"/>
                  </a:rPr>
                  <a:t>Length (m)</a:t>
                </a:r>
              </a:p>
            </c:rich>
          </c:tx>
          <c:layout/>
          <c:overlay val="0"/>
          <c:spPr>
            <a:noFill/>
            <a:ln>
              <a:noFill/>
            </a:ln>
          </c:spPr>
        </c:title>
        <c:delete val="0"/>
        <c:numFmt formatCode="General" sourceLinked="1"/>
        <c:majorTickMark val="out"/>
        <c:minorTickMark val="none"/>
        <c:tickLblPos val="nextTo"/>
        <c:crossAx val="61875296"/>
        <c:crosses val="autoZero"/>
        <c:crossBetween val="midCat"/>
        <c:dispUnits/>
        <c:majorUnit val="1"/>
        <c:minorUnit val="0.5"/>
      </c:valAx>
      <c:valAx>
        <c:axId val="61875296"/>
        <c:scaling>
          <c:orientation val="minMax"/>
        </c:scaling>
        <c:axPos val="l"/>
        <c:title>
          <c:tx>
            <c:rich>
              <a:bodyPr vert="horz" rot="-5400000" anchor="ctr"/>
              <a:lstStyle/>
              <a:p>
                <a:pPr algn="ctr">
                  <a:defRPr/>
                </a:pPr>
                <a:r>
                  <a:rPr lang="en-US" cap="none" sz="1575" b="1" i="0" u="none" baseline="0">
                    <a:latin typeface="Arial"/>
                    <a:ea typeface="Arial"/>
                    <a:cs typeface="Arial"/>
                  </a:rPr>
                  <a:t>Age sexual maturity (y)</a:t>
                </a:r>
              </a:p>
            </c:rich>
          </c:tx>
          <c:layout/>
          <c:overlay val="0"/>
          <c:spPr>
            <a:noFill/>
            <a:ln>
              <a:noFill/>
            </a:ln>
          </c:spPr>
        </c:title>
        <c:delete val="0"/>
        <c:numFmt formatCode="General" sourceLinked="1"/>
        <c:majorTickMark val="out"/>
        <c:minorTickMark val="none"/>
        <c:tickLblPos val="nextTo"/>
        <c:crossAx val="4415773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singleSpecies!$AE$2:$AE$88</c:f>
              <c:numCach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Cache>
            </c:numRef>
          </c:xVal>
          <c:yVal>
            <c:numRef>
              <c:f>singleSpecies!$Z$2:$Z$88</c:f>
              <c:numCach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Cache>
            </c:numRef>
          </c:yVal>
          <c:smooth val="0"/>
        </c:ser>
        <c:axId val="20006753"/>
        <c:axId val="45843050"/>
      </c:scatterChart>
      <c:valAx>
        <c:axId val="20006753"/>
        <c:scaling>
          <c:orientation val="minMax"/>
        </c:scaling>
        <c:axPos val="b"/>
        <c:title>
          <c:tx>
            <c:rich>
              <a:bodyPr vert="horz" rot="0" anchor="ctr"/>
              <a:lstStyle/>
              <a:p>
                <a:pPr algn="ctr">
                  <a:defRPr/>
                </a:pPr>
                <a:r>
                  <a:rPr lang="en-US" cap="none" sz="1425" b="1" i="0" u="none" baseline="0">
                    <a:latin typeface="Arial"/>
                    <a:ea typeface="Arial"/>
                    <a:cs typeface="Arial"/>
                  </a:rPr>
                  <a:t>Length (m)</a:t>
                </a:r>
              </a:p>
            </c:rich>
          </c:tx>
          <c:layout/>
          <c:overlay val="0"/>
          <c:spPr>
            <a:noFill/>
            <a:ln>
              <a:noFill/>
            </a:ln>
          </c:spPr>
        </c:title>
        <c:delete val="0"/>
        <c:numFmt formatCode="General" sourceLinked="1"/>
        <c:majorTickMark val="out"/>
        <c:minorTickMark val="none"/>
        <c:tickLblPos val="nextTo"/>
        <c:crossAx val="45843050"/>
        <c:crosses val="autoZero"/>
        <c:crossBetween val="midCat"/>
        <c:dispUnits/>
      </c:valAx>
      <c:valAx>
        <c:axId val="45843050"/>
        <c:scaling>
          <c:orientation val="minMax"/>
        </c:scaling>
        <c:axPos val="l"/>
        <c:title>
          <c:tx>
            <c:rich>
              <a:bodyPr vert="horz" rot="-5400000" anchor="ctr"/>
              <a:lstStyle/>
              <a:p>
                <a:pPr algn="ctr">
                  <a:defRPr/>
                </a:pPr>
                <a:r>
                  <a:rPr lang="en-US" cap="none" sz="1425" b="1" i="0" u="none" baseline="0">
                    <a:latin typeface="Arial"/>
                    <a:ea typeface="Arial"/>
                    <a:cs typeface="Arial"/>
                  </a:rPr>
                  <a:t>Oldest age (years)</a:t>
                </a:r>
              </a:p>
            </c:rich>
          </c:tx>
          <c:layout/>
          <c:overlay val="0"/>
          <c:spPr>
            <a:noFill/>
            <a:ln>
              <a:noFill/>
            </a:ln>
          </c:spPr>
        </c:title>
        <c:delete val="0"/>
        <c:numFmt formatCode="General" sourceLinked="1"/>
        <c:majorTickMark val="out"/>
        <c:minorTickMark val="none"/>
        <c:tickLblPos val="nextTo"/>
        <c:crossAx val="2000675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singleSpecies!$AQ$3:$AQ$34</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cat>
          <c:val>
            <c:numRef>
              <c:f>singleSpecies!$AR$3:$AR$34</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er>
        <c:axId val="9934267"/>
        <c:axId val="22299540"/>
      </c:barChart>
      <c:catAx>
        <c:axId val="9934267"/>
        <c:scaling>
          <c:orientation val="minMax"/>
        </c:scaling>
        <c:axPos val="b"/>
        <c:title>
          <c:tx>
            <c:rich>
              <a:bodyPr vert="horz" rot="0" anchor="ctr"/>
              <a:lstStyle/>
              <a:p>
                <a:pPr algn="ctr">
                  <a:defRPr/>
                </a:pPr>
                <a:r>
                  <a:rPr lang="en-US" cap="none" sz="1000" b="1" i="0" u="none" baseline="0">
                    <a:latin typeface="Arial"/>
                    <a:ea typeface="Arial"/>
                    <a:cs typeface="Arial"/>
                  </a:rPr>
                  <a:t>Length (m)</a:t>
                </a:r>
              </a:p>
            </c:rich>
          </c:tx>
          <c:layout/>
          <c:overlay val="0"/>
          <c:spPr>
            <a:noFill/>
            <a:ln>
              <a:noFill/>
            </a:ln>
          </c:spPr>
        </c:title>
        <c:delete val="0"/>
        <c:numFmt formatCode="General" sourceLinked="1"/>
        <c:majorTickMark val="out"/>
        <c:minorTickMark val="none"/>
        <c:tickLblPos val="nextTo"/>
        <c:crossAx val="22299540"/>
        <c:crosses val="autoZero"/>
        <c:auto val="1"/>
        <c:lblOffset val="100"/>
        <c:noMultiLvlLbl val="0"/>
      </c:catAx>
      <c:valAx>
        <c:axId val="22299540"/>
        <c:scaling>
          <c:orientation val="minMax"/>
        </c:scaling>
        <c:axPos val="l"/>
        <c:title>
          <c:tx>
            <c:rich>
              <a:bodyPr vert="horz" rot="-5400000" anchor="ctr"/>
              <a:lstStyle/>
              <a:p>
                <a:pPr algn="ctr">
                  <a:defRPr/>
                </a:pPr>
                <a:r>
                  <a:rPr lang="en-US" cap="none" sz="1000" b="1" i="0" u="none" baseline="0">
                    <a:latin typeface="Arial"/>
                    <a:ea typeface="Arial"/>
                    <a:cs typeface="Arial"/>
                  </a:rPr>
                  <a:t>Frequency</a:t>
                </a:r>
              </a:p>
            </c:rich>
          </c:tx>
          <c:layout/>
          <c:overlay val="0"/>
          <c:spPr>
            <a:noFill/>
            <a:ln>
              <a:noFill/>
            </a:ln>
          </c:spPr>
        </c:title>
        <c:delete val="0"/>
        <c:numFmt formatCode="General" sourceLinked="1"/>
        <c:majorTickMark val="out"/>
        <c:minorTickMark val="none"/>
        <c:tickLblPos val="nextTo"/>
        <c:crossAx val="993426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calving interval</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singleSpecies!$AT$8:$AT$12</c:f>
              <c:numCache>
                <c:ptCount val="5"/>
                <c:pt idx="0">
                  <c:v>0</c:v>
                </c:pt>
                <c:pt idx="1">
                  <c:v>0</c:v>
                </c:pt>
                <c:pt idx="2">
                  <c:v>0</c:v>
                </c:pt>
                <c:pt idx="3">
                  <c:v>0</c:v>
                </c:pt>
                <c:pt idx="4">
                  <c:v>0</c:v>
                </c:pt>
              </c:numCache>
            </c:numRef>
          </c:cat>
          <c:val>
            <c:numRef>
              <c:f>singleSpecies!$AU$8:$AU$12</c:f>
              <c:numCache>
                <c:ptCount val="5"/>
                <c:pt idx="0">
                  <c:v>0</c:v>
                </c:pt>
                <c:pt idx="1">
                  <c:v>0</c:v>
                </c:pt>
                <c:pt idx="2">
                  <c:v>0</c:v>
                </c:pt>
                <c:pt idx="3">
                  <c:v>0</c:v>
                </c:pt>
                <c:pt idx="4">
                  <c:v>0</c:v>
                </c:pt>
              </c:numCache>
            </c:numRef>
          </c:val>
        </c:ser>
        <c:axId val="66478133"/>
        <c:axId val="61432286"/>
      </c:barChart>
      <c:catAx>
        <c:axId val="66478133"/>
        <c:scaling>
          <c:orientation val="minMax"/>
        </c:scaling>
        <c:axPos val="b"/>
        <c:title>
          <c:tx>
            <c:rich>
              <a:bodyPr vert="horz" rot="0" anchor="ctr"/>
              <a:lstStyle/>
              <a:p>
                <a:pPr algn="ctr">
                  <a:defRPr/>
                </a:pPr>
                <a:r>
                  <a:rPr lang="en-US" cap="none" sz="1000"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61432286"/>
        <c:crosses val="autoZero"/>
        <c:auto val="1"/>
        <c:lblOffset val="100"/>
        <c:noMultiLvlLbl val="0"/>
      </c:catAx>
      <c:valAx>
        <c:axId val="61432286"/>
        <c:scaling>
          <c:orientation val="minMax"/>
        </c:scaling>
        <c:axPos val="l"/>
        <c:title>
          <c:tx>
            <c:rich>
              <a:bodyPr vert="horz" rot="-5400000" anchor="ctr"/>
              <a:lstStyle/>
              <a:p>
                <a:pPr algn="ctr">
                  <a:defRPr/>
                </a:pPr>
                <a:r>
                  <a:rPr lang="en-US" cap="none" sz="1000" b="1" i="0" u="none" baseline="0">
                    <a:latin typeface="Arial"/>
                    <a:ea typeface="Arial"/>
                    <a:cs typeface="Arial"/>
                  </a:rPr>
                  <a:t>Frequency</a:t>
                </a:r>
              </a:p>
            </c:rich>
          </c:tx>
          <c:layout/>
          <c:overlay val="0"/>
          <c:spPr>
            <a:noFill/>
            <a:ln>
              <a:noFill/>
            </a:ln>
          </c:spPr>
        </c:title>
        <c:delete val="0"/>
        <c:numFmt formatCode="General" sourceLinked="1"/>
        <c:majorTickMark val="out"/>
        <c:minorTickMark val="none"/>
        <c:tickLblPos val="nextTo"/>
        <c:crossAx val="6647813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singleSpecies!$AE$2:$AE$88</c:f>
              <c:numCach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Cache>
            </c:numRef>
          </c:xVal>
          <c:yVal>
            <c:numRef>
              <c:f>singleSpecies!$S$2:$S$88</c:f>
              <c:numCach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Cache>
            </c:numRef>
          </c:yVal>
          <c:smooth val="0"/>
        </c:ser>
        <c:axId val="16019663"/>
        <c:axId val="9959240"/>
      </c:scatterChart>
      <c:valAx>
        <c:axId val="16019663"/>
        <c:scaling>
          <c:orientation val="minMax"/>
        </c:scaling>
        <c:axPos val="b"/>
        <c:title>
          <c:tx>
            <c:rich>
              <a:bodyPr vert="horz" rot="0" anchor="ctr"/>
              <a:lstStyle/>
              <a:p>
                <a:pPr algn="ctr">
                  <a:defRPr/>
                </a:pPr>
                <a:r>
                  <a:rPr lang="en-US" cap="none" sz="1200" b="1" i="0" u="none" baseline="0">
                    <a:latin typeface="Arial"/>
                    <a:ea typeface="Arial"/>
                    <a:cs typeface="Arial"/>
                  </a:rPr>
                  <a:t>Length (m)</a:t>
                </a:r>
              </a:p>
            </c:rich>
          </c:tx>
          <c:layout/>
          <c:overlay val="0"/>
          <c:spPr>
            <a:noFill/>
            <a:ln>
              <a:noFill/>
            </a:ln>
          </c:spPr>
        </c:title>
        <c:delete val="0"/>
        <c:numFmt formatCode="General" sourceLinked="1"/>
        <c:majorTickMark val="out"/>
        <c:minorTickMark val="none"/>
        <c:tickLblPos val="nextTo"/>
        <c:crossAx val="9959240"/>
        <c:crosses val="autoZero"/>
        <c:crossBetween val="midCat"/>
        <c:dispUnits/>
      </c:valAx>
      <c:valAx>
        <c:axId val="9959240"/>
        <c:scaling>
          <c:orientation val="minMax"/>
        </c:scaling>
        <c:axPos val="l"/>
        <c:title>
          <c:tx>
            <c:rich>
              <a:bodyPr vert="horz" rot="-5400000" anchor="ctr"/>
              <a:lstStyle/>
              <a:p>
                <a:pPr algn="ctr">
                  <a:defRPr/>
                </a:pPr>
                <a:r>
                  <a:rPr lang="en-US" cap="none" sz="1200" b="1" i="0" u="none" baseline="0">
                    <a:latin typeface="Arial"/>
                    <a:ea typeface="Arial"/>
                    <a:cs typeface="Arial"/>
                  </a:rPr>
                  <a:t>Interbirth interval (years)</a:t>
                </a:r>
              </a:p>
            </c:rich>
          </c:tx>
          <c:layout/>
          <c:overlay val="0"/>
          <c:spPr>
            <a:noFill/>
            <a:ln>
              <a:noFill/>
            </a:ln>
          </c:spPr>
        </c:title>
        <c:delete val="0"/>
        <c:numFmt formatCode="General" sourceLinked="1"/>
        <c:majorTickMark val="out"/>
        <c:minorTickMark val="none"/>
        <c:tickLblPos val="nextTo"/>
        <c:crossAx val="16019663"/>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 Id="rId7" Type="http://schemas.openxmlformats.org/officeDocument/2006/relationships/chart" Target="/xl/charts/chart1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chart" Target="/xl/charts/chart25.xml" /><Relationship Id="rId3" Type="http://schemas.openxmlformats.org/officeDocument/2006/relationships/chart" Target="/xl/charts/chart2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304800</xdr:colOff>
      <xdr:row>89</xdr:row>
      <xdr:rowOff>47625</xdr:rowOff>
    </xdr:from>
    <xdr:to>
      <xdr:col>25</xdr:col>
      <xdr:colOff>590550</xdr:colOff>
      <xdr:row>106</xdr:row>
      <xdr:rowOff>47625</xdr:rowOff>
    </xdr:to>
    <xdr:graphicFrame>
      <xdr:nvGraphicFramePr>
        <xdr:cNvPr id="1" name="Chart 25"/>
        <xdr:cNvGraphicFramePr/>
      </xdr:nvGraphicFramePr>
      <xdr:xfrm>
        <a:off x="12725400" y="37366575"/>
        <a:ext cx="6057900" cy="2752725"/>
      </xdr:xfrm>
      <a:graphic>
        <a:graphicData uri="http://schemas.openxmlformats.org/drawingml/2006/chart">
          <c:chart xmlns:c="http://schemas.openxmlformats.org/drawingml/2006/chart" r:id="rId1"/>
        </a:graphicData>
      </a:graphic>
    </xdr:graphicFrame>
    <xdr:clientData/>
  </xdr:twoCellAnchor>
  <xdr:twoCellAnchor>
    <xdr:from>
      <xdr:col>41</xdr:col>
      <xdr:colOff>561975</xdr:colOff>
      <xdr:row>87</xdr:row>
      <xdr:rowOff>304800</xdr:rowOff>
    </xdr:from>
    <xdr:to>
      <xdr:col>49</xdr:col>
      <xdr:colOff>371475</xdr:colOff>
      <xdr:row>106</xdr:row>
      <xdr:rowOff>142875</xdr:rowOff>
    </xdr:to>
    <xdr:graphicFrame>
      <xdr:nvGraphicFramePr>
        <xdr:cNvPr id="2" name="Chart 30"/>
        <xdr:cNvGraphicFramePr/>
      </xdr:nvGraphicFramePr>
      <xdr:xfrm>
        <a:off x="30051375" y="37080825"/>
        <a:ext cx="4533900" cy="3133725"/>
      </xdr:xfrm>
      <a:graphic>
        <a:graphicData uri="http://schemas.openxmlformats.org/drawingml/2006/chart">
          <c:chart xmlns:c="http://schemas.openxmlformats.org/drawingml/2006/chart" r:id="rId2"/>
        </a:graphicData>
      </a:graphic>
    </xdr:graphicFrame>
    <xdr:clientData/>
  </xdr:twoCellAnchor>
  <xdr:twoCellAnchor>
    <xdr:from>
      <xdr:col>41</xdr:col>
      <xdr:colOff>314325</xdr:colOff>
      <xdr:row>76</xdr:row>
      <xdr:rowOff>114300</xdr:rowOff>
    </xdr:from>
    <xdr:to>
      <xdr:col>48</xdr:col>
      <xdr:colOff>238125</xdr:colOff>
      <xdr:row>82</xdr:row>
      <xdr:rowOff>590550</xdr:rowOff>
    </xdr:to>
    <xdr:graphicFrame>
      <xdr:nvGraphicFramePr>
        <xdr:cNvPr id="3" name="Chart 31"/>
        <xdr:cNvGraphicFramePr/>
      </xdr:nvGraphicFramePr>
      <xdr:xfrm>
        <a:off x="29803725" y="31099125"/>
        <a:ext cx="4057650" cy="2981325"/>
      </xdr:xfrm>
      <a:graphic>
        <a:graphicData uri="http://schemas.openxmlformats.org/drawingml/2006/chart">
          <c:chart xmlns:c="http://schemas.openxmlformats.org/drawingml/2006/chart" r:id="rId3"/>
        </a:graphicData>
      </a:graphic>
    </xdr:graphicFrame>
    <xdr:clientData/>
  </xdr:twoCellAnchor>
  <xdr:twoCellAnchor>
    <xdr:from>
      <xdr:col>41</xdr:col>
      <xdr:colOff>571500</xdr:colOff>
      <xdr:row>83</xdr:row>
      <xdr:rowOff>0</xdr:rowOff>
    </xdr:from>
    <xdr:to>
      <xdr:col>48</xdr:col>
      <xdr:colOff>200025</xdr:colOff>
      <xdr:row>87</xdr:row>
      <xdr:rowOff>190500</xdr:rowOff>
    </xdr:to>
    <xdr:graphicFrame>
      <xdr:nvGraphicFramePr>
        <xdr:cNvPr id="4" name="Chart 32"/>
        <xdr:cNvGraphicFramePr/>
      </xdr:nvGraphicFramePr>
      <xdr:xfrm>
        <a:off x="30060900" y="34347150"/>
        <a:ext cx="3762375" cy="2619375"/>
      </xdr:xfrm>
      <a:graphic>
        <a:graphicData uri="http://schemas.openxmlformats.org/drawingml/2006/chart">
          <c:chart xmlns:c="http://schemas.openxmlformats.org/drawingml/2006/chart" r:id="rId4"/>
        </a:graphicData>
      </a:graphic>
    </xdr:graphicFrame>
    <xdr:clientData/>
  </xdr:twoCellAnchor>
  <xdr:twoCellAnchor>
    <xdr:from>
      <xdr:col>30</xdr:col>
      <xdr:colOff>342900</xdr:colOff>
      <xdr:row>99</xdr:row>
      <xdr:rowOff>66675</xdr:rowOff>
    </xdr:from>
    <xdr:to>
      <xdr:col>41</xdr:col>
      <xdr:colOff>95250</xdr:colOff>
      <xdr:row>118</xdr:row>
      <xdr:rowOff>38100</xdr:rowOff>
    </xdr:to>
    <xdr:graphicFrame>
      <xdr:nvGraphicFramePr>
        <xdr:cNvPr id="5" name="Chart 33"/>
        <xdr:cNvGraphicFramePr/>
      </xdr:nvGraphicFramePr>
      <xdr:xfrm>
        <a:off x="22040850" y="39004875"/>
        <a:ext cx="7543800" cy="3048000"/>
      </xdr:xfrm>
      <a:graphic>
        <a:graphicData uri="http://schemas.openxmlformats.org/drawingml/2006/chart">
          <c:chart xmlns:c="http://schemas.openxmlformats.org/drawingml/2006/chart" r:id="rId5"/>
        </a:graphicData>
      </a:graphic>
    </xdr:graphicFrame>
    <xdr:clientData/>
  </xdr:twoCellAnchor>
  <xdr:twoCellAnchor>
    <xdr:from>
      <xdr:col>8</xdr:col>
      <xdr:colOff>171450</xdr:colOff>
      <xdr:row>92</xdr:row>
      <xdr:rowOff>104775</xdr:rowOff>
    </xdr:from>
    <xdr:to>
      <xdr:col>16</xdr:col>
      <xdr:colOff>19050</xdr:colOff>
      <xdr:row>108</xdr:row>
      <xdr:rowOff>142875</xdr:rowOff>
    </xdr:to>
    <xdr:graphicFrame>
      <xdr:nvGraphicFramePr>
        <xdr:cNvPr id="6" name="Chart 34"/>
        <xdr:cNvGraphicFramePr/>
      </xdr:nvGraphicFramePr>
      <xdr:xfrm>
        <a:off x="6705600" y="37909500"/>
        <a:ext cx="5734050" cy="2628900"/>
      </xdr:xfrm>
      <a:graphic>
        <a:graphicData uri="http://schemas.openxmlformats.org/drawingml/2006/chart">
          <c:chart xmlns:c="http://schemas.openxmlformats.org/drawingml/2006/chart" r:id="rId6"/>
        </a:graphicData>
      </a:graphic>
    </xdr:graphicFrame>
    <xdr:clientData/>
  </xdr:twoCellAnchor>
  <xdr:twoCellAnchor>
    <xdr:from>
      <xdr:col>47</xdr:col>
      <xdr:colOff>85725</xdr:colOff>
      <xdr:row>1</xdr:row>
      <xdr:rowOff>180975</xdr:rowOff>
    </xdr:from>
    <xdr:to>
      <xdr:col>54</xdr:col>
      <xdr:colOff>38100</xdr:colOff>
      <xdr:row>6</xdr:row>
      <xdr:rowOff>323850</xdr:rowOff>
    </xdr:to>
    <xdr:graphicFrame>
      <xdr:nvGraphicFramePr>
        <xdr:cNvPr id="7" name="Chart 36"/>
        <xdr:cNvGraphicFramePr/>
      </xdr:nvGraphicFramePr>
      <xdr:xfrm>
        <a:off x="33118425" y="1162050"/>
        <a:ext cx="4086225" cy="2114550"/>
      </xdr:xfrm>
      <a:graphic>
        <a:graphicData uri="http://schemas.openxmlformats.org/drawingml/2006/chart">
          <c:chart xmlns:c="http://schemas.openxmlformats.org/drawingml/2006/chart" r:id="rId7"/>
        </a:graphicData>
      </a:graphic>
    </xdr:graphicFrame>
    <xdr:clientData/>
  </xdr:twoCellAnchor>
  <xdr:twoCellAnchor>
    <xdr:from>
      <xdr:col>46</xdr:col>
      <xdr:colOff>561975</xdr:colOff>
      <xdr:row>6</xdr:row>
      <xdr:rowOff>533400</xdr:rowOff>
    </xdr:from>
    <xdr:to>
      <xdr:col>53</xdr:col>
      <xdr:colOff>514350</xdr:colOff>
      <xdr:row>11</xdr:row>
      <xdr:rowOff>257175</xdr:rowOff>
    </xdr:to>
    <xdr:graphicFrame>
      <xdr:nvGraphicFramePr>
        <xdr:cNvPr id="8" name="Chart 37"/>
        <xdr:cNvGraphicFramePr/>
      </xdr:nvGraphicFramePr>
      <xdr:xfrm>
        <a:off x="33004125" y="3486150"/>
        <a:ext cx="4086225" cy="2028825"/>
      </xdr:xfrm>
      <a:graphic>
        <a:graphicData uri="http://schemas.openxmlformats.org/drawingml/2006/chart">
          <c:chart xmlns:c="http://schemas.openxmlformats.org/drawingml/2006/chart" r:id="rId8"/>
        </a:graphicData>
      </a:graphic>
    </xdr:graphicFrame>
    <xdr:clientData/>
  </xdr:twoCellAnchor>
  <xdr:twoCellAnchor>
    <xdr:from>
      <xdr:col>16</xdr:col>
      <xdr:colOff>352425</xdr:colOff>
      <xdr:row>107</xdr:row>
      <xdr:rowOff>0</xdr:rowOff>
    </xdr:from>
    <xdr:to>
      <xdr:col>25</xdr:col>
      <xdr:colOff>419100</xdr:colOff>
      <xdr:row>122</xdr:row>
      <xdr:rowOff>9525</xdr:rowOff>
    </xdr:to>
    <xdr:graphicFrame>
      <xdr:nvGraphicFramePr>
        <xdr:cNvPr id="9" name="Chart 39"/>
        <xdr:cNvGraphicFramePr/>
      </xdr:nvGraphicFramePr>
      <xdr:xfrm>
        <a:off x="12773025" y="40233600"/>
        <a:ext cx="5838825" cy="243840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28</xdr:row>
      <xdr:rowOff>161925</xdr:rowOff>
    </xdr:from>
    <xdr:to>
      <xdr:col>3</xdr:col>
      <xdr:colOff>0</xdr:colOff>
      <xdr:row>30</xdr:row>
      <xdr:rowOff>0</xdr:rowOff>
    </xdr:to>
    <xdr:graphicFrame>
      <xdr:nvGraphicFramePr>
        <xdr:cNvPr id="1" name="Chart 26"/>
        <xdr:cNvGraphicFramePr/>
      </xdr:nvGraphicFramePr>
      <xdr:xfrm>
        <a:off x="3152775" y="5610225"/>
        <a:ext cx="0" cy="161925"/>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30</xdr:row>
      <xdr:rowOff>0</xdr:rowOff>
    </xdr:from>
    <xdr:to>
      <xdr:col>3</xdr:col>
      <xdr:colOff>0</xdr:colOff>
      <xdr:row>31</xdr:row>
      <xdr:rowOff>0</xdr:rowOff>
    </xdr:to>
    <xdr:graphicFrame>
      <xdr:nvGraphicFramePr>
        <xdr:cNvPr id="2" name="Chart 27"/>
        <xdr:cNvGraphicFramePr/>
      </xdr:nvGraphicFramePr>
      <xdr:xfrm>
        <a:off x="3152775" y="5772150"/>
        <a:ext cx="0" cy="1619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34</xdr:row>
      <xdr:rowOff>0</xdr:rowOff>
    </xdr:from>
    <xdr:to>
      <xdr:col>1</xdr:col>
      <xdr:colOff>0</xdr:colOff>
      <xdr:row>34</xdr:row>
      <xdr:rowOff>0</xdr:rowOff>
    </xdr:to>
    <xdr:graphicFrame>
      <xdr:nvGraphicFramePr>
        <xdr:cNvPr id="3" name="Chart 29"/>
        <xdr:cNvGraphicFramePr/>
      </xdr:nvGraphicFramePr>
      <xdr:xfrm>
        <a:off x="1952625" y="6429375"/>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1</xdr:row>
      <xdr:rowOff>0</xdr:rowOff>
    </xdr:from>
    <xdr:to>
      <xdr:col>9</xdr:col>
      <xdr:colOff>57150</xdr:colOff>
      <xdr:row>1</xdr:row>
      <xdr:rowOff>0</xdr:rowOff>
    </xdr:to>
    <xdr:graphicFrame>
      <xdr:nvGraphicFramePr>
        <xdr:cNvPr id="4" name="Chart 31"/>
        <xdr:cNvGraphicFramePr/>
      </xdr:nvGraphicFramePr>
      <xdr:xfrm>
        <a:off x="5514975" y="981075"/>
        <a:ext cx="2447925"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1</xdr:row>
      <xdr:rowOff>0</xdr:rowOff>
    </xdr:from>
    <xdr:to>
      <xdr:col>11</xdr:col>
      <xdr:colOff>514350</xdr:colOff>
      <xdr:row>1</xdr:row>
      <xdr:rowOff>0</xdr:rowOff>
    </xdr:to>
    <xdr:graphicFrame>
      <xdr:nvGraphicFramePr>
        <xdr:cNvPr id="5" name="Chart 32"/>
        <xdr:cNvGraphicFramePr/>
      </xdr:nvGraphicFramePr>
      <xdr:xfrm>
        <a:off x="5514975" y="981075"/>
        <a:ext cx="4086225" cy="0"/>
      </xdr:xfrm>
      <a:graphic>
        <a:graphicData uri="http://schemas.openxmlformats.org/drawingml/2006/chart">
          <c:chart xmlns:c="http://schemas.openxmlformats.org/drawingml/2006/chart" r:id="rId5"/>
        </a:graphicData>
      </a:graphic>
    </xdr:graphicFrame>
    <xdr:clientData/>
  </xdr:twoCellAnchor>
  <xdr:twoCellAnchor>
    <xdr:from>
      <xdr:col>18</xdr:col>
      <xdr:colOff>28575</xdr:colOff>
      <xdr:row>10</xdr:row>
      <xdr:rowOff>38100</xdr:rowOff>
    </xdr:from>
    <xdr:to>
      <xdr:col>26</xdr:col>
      <xdr:colOff>38100</xdr:colOff>
      <xdr:row>29</xdr:row>
      <xdr:rowOff>152400</xdr:rowOff>
    </xdr:to>
    <xdr:graphicFrame>
      <xdr:nvGraphicFramePr>
        <xdr:cNvPr id="6" name="Chart 81"/>
        <xdr:cNvGraphicFramePr/>
      </xdr:nvGraphicFramePr>
      <xdr:xfrm>
        <a:off x="13249275" y="2505075"/>
        <a:ext cx="4733925" cy="3257550"/>
      </xdr:xfrm>
      <a:graphic>
        <a:graphicData uri="http://schemas.openxmlformats.org/drawingml/2006/chart">
          <c:chart xmlns:c="http://schemas.openxmlformats.org/drawingml/2006/chart" r:id="rId6"/>
        </a:graphicData>
      </a:graphic>
    </xdr:graphicFrame>
    <xdr:clientData/>
  </xdr:twoCellAnchor>
  <xdr:twoCellAnchor>
    <xdr:from>
      <xdr:col>9</xdr:col>
      <xdr:colOff>438150</xdr:colOff>
      <xdr:row>0</xdr:row>
      <xdr:rowOff>133350</xdr:rowOff>
    </xdr:from>
    <xdr:to>
      <xdr:col>17</xdr:col>
      <xdr:colOff>200025</xdr:colOff>
      <xdr:row>10</xdr:row>
      <xdr:rowOff>104775</xdr:rowOff>
    </xdr:to>
    <xdr:graphicFrame>
      <xdr:nvGraphicFramePr>
        <xdr:cNvPr id="7" name="Chart 84"/>
        <xdr:cNvGraphicFramePr/>
      </xdr:nvGraphicFramePr>
      <xdr:xfrm>
        <a:off x="8343900" y="133350"/>
        <a:ext cx="4486275" cy="2438400"/>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238125</xdr:colOff>
      <xdr:row>17</xdr:row>
      <xdr:rowOff>123825</xdr:rowOff>
    </xdr:from>
    <xdr:to>
      <xdr:col>23</xdr:col>
      <xdr:colOff>28575</xdr:colOff>
      <xdr:row>41</xdr:row>
      <xdr:rowOff>152400</xdr:rowOff>
    </xdr:to>
    <xdr:graphicFrame>
      <xdr:nvGraphicFramePr>
        <xdr:cNvPr id="1" name="Chart 1"/>
        <xdr:cNvGraphicFramePr/>
      </xdr:nvGraphicFramePr>
      <xdr:xfrm>
        <a:off x="9725025" y="2886075"/>
        <a:ext cx="5886450" cy="3914775"/>
      </xdr:xfrm>
      <a:graphic>
        <a:graphicData uri="http://schemas.openxmlformats.org/drawingml/2006/chart">
          <c:chart xmlns:c="http://schemas.openxmlformats.org/drawingml/2006/chart" r:id="rId1"/>
        </a:graphicData>
      </a:graphic>
    </xdr:graphicFrame>
    <xdr:clientData/>
  </xdr:twoCellAnchor>
  <xdr:twoCellAnchor>
    <xdr:from>
      <xdr:col>17</xdr:col>
      <xdr:colOff>219075</xdr:colOff>
      <xdr:row>43</xdr:row>
      <xdr:rowOff>85725</xdr:rowOff>
    </xdr:from>
    <xdr:to>
      <xdr:col>27</xdr:col>
      <xdr:colOff>9525</xdr:colOff>
      <xdr:row>67</xdr:row>
      <xdr:rowOff>104775</xdr:rowOff>
    </xdr:to>
    <xdr:graphicFrame>
      <xdr:nvGraphicFramePr>
        <xdr:cNvPr id="2" name="Chart 2"/>
        <xdr:cNvGraphicFramePr/>
      </xdr:nvGraphicFramePr>
      <xdr:xfrm>
        <a:off x="12144375" y="7067550"/>
        <a:ext cx="5886450" cy="3924300"/>
      </xdr:xfrm>
      <a:graphic>
        <a:graphicData uri="http://schemas.openxmlformats.org/drawingml/2006/chart">
          <c:chart xmlns:c="http://schemas.openxmlformats.org/drawingml/2006/chart" r:id="rId2"/>
        </a:graphicData>
      </a:graphic>
    </xdr:graphicFrame>
    <xdr:clientData/>
  </xdr:twoCellAnchor>
  <xdr:twoCellAnchor>
    <xdr:from>
      <xdr:col>17</xdr:col>
      <xdr:colOff>180975</xdr:colOff>
      <xdr:row>69</xdr:row>
      <xdr:rowOff>76200</xdr:rowOff>
    </xdr:from>
    <xdr:to>
      <xdr:col>26</xdr:col>
      <xdr:colOff>581025</xdr:colOff>
      <xdr:row>93</xdr:row>
      <xdr:rowOff>95250</xdr:rowOff>
    </xdr:to>
    <xdr:graphicFrame>
      <xdr:nvGraphicFramePr>
        <xdr:cNvPr id="3" name="Chart 3"/>
        <xdr:cNvGraphicFramePr/>
      </xdr:nvGraphicFramePr>
      <xdr:xfrm>
        <a:off x="12106275" y="11287125"/>
        <a:ext cx="5886450" cy="39147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314325</xdr:colOff>
      <xdr:row>1</xdr:row>
      <xdr:rowOff>28575</xdr:rowOff>
    </xdr:from>
    <xdr:to>
      <xdr:col>27</xdr:col>
      <xdr:colOff>104775</xdr:colOff>
      <xdr:row>16</xdr:row>
      <xdr:rowOff>66675</xdr:rowOff>
    </xdr:to>
    <xdr:graphicFrame>
      <xdr:nvGraphicFramePr>
        <xdr:cNvPr id="1" name="Chart 1"/>
        <xdr:cNvGraphicFramePr/>
      </xdr:nvGraphicFramePr>
      <xdr:xfrm>
        <a:off x="11696700" y="200025"/>
        <a:ext cx="5886450" cy="2466975"/>
      </xdr:xfrm>
      <a:graphic>
        <a:graphicData uri="http://schemas.openxmlformats.org/drawingml/2006/chart">
          <c:chart xmlns:c="http://schemas.openxmlformats.org/drawingml/2006/chart" r:id="rId1"/>
        </a:graphicData>
      </a:graphic>
    </xdr:graphicFrame>
    <xdr:clientData/>
  </xdr:twoCellAnchor>
  <xdr:twoCellAnchor>
    <xdr:from>
      <xdr:col>17</xdr:col>
      <xdr:colOff>142875</xdr:colOff>
      <xdr:row>16</xdr:row>
      <xdr:rowOff>123825</xdr:rowOff>
    </xdr:from>
    <xdr:to>
      <xdr:col>26</xdr:col>
      <xdr:colOff>542925</xdr:colOff>
      <xdr:row>31</xdr:row>
      <xdr:rowOff>133350</xdr:rowOff>
    </xdr:to>
    <xdr:graphicFrame>
      <xdr:nvGraphicFramePr>
        <xdr:cNvPr id="2" name="Chart 2"/>
        <xdr:cNvGraphicFramePr/>
      </xdr:nvGraphicFramePr>
      <xdr:xfrm>
        <a:off x="11525250" y="2724150"/>
        <a:ext cx="5886450" cy="2466975"/>
      </xdr:xfrm>
      <a:graphic>
        <a:graphicData uri="http://schemas.openxmlformats.org/drawingml/2006/chart">
          <c:chart xmlns:c="http://schemas.openxmlformats.org/drawingml/2006/chart" r:id="rId2"/>
        </a:graphicData>
      </a:graphic>
    </xdr:graphicFrame>
    <xdr:clientData/>
  </xdr:twoCellAnchor>
  <xdr:twoCellAnchor>
    <xdr:from>
      <xdr:col>17</xdr:col>
      <xdr:colOff>142875</xdr:colOff>
      <xdr:row>32</xdr:row>
      <xdr:rowOff>85725</xdr:rowOff>
    </xdr:from>
    <xdr:to>
      <xdr:col>26</xdr:col>
      <xdr:colOff>542925</xdr:colOff>
      <xdr:row>47</xdr:row>
      <xdr:rowOff>104775</xdr:rowOff>
    </xdr:to>
    <xdr:graphicFrame>
      <xdr:nvGraphicFramePr>
        <xdr:cNvPr id="3" name="Chart 3"/>
        <xdr:cNvGraphicFramePr/>
      </xdr:nvGraphicFramePr>
      <xdr:xfrm>
        <a:off x="11525250" y="5305425"/>
        <a:ext cx="5886450" cy="2466975"/>
      </xdr:xfrm>
      <a:graphic>
        <a:graphicData uri="http://schemas.openxmlformats.org/drawingml/2006/chart">
          <c:chart xmlns:c="http://schemas.openxmlformats.org/drawingml/2006/chart" r:id="rId3"/>
        </a:graphicData>
      </a:graphic>
    </xdr:graphicFrame>
    <xdr:clientData/>
  </xdr:twoCellAnchor>
  <xdr:twoCellAnchor>
    <xdr:from>
      <xdr:col>17</xdr:col>
      <xdr:colOff>0</xdr:colOff>
      <xdr:row>49</xdr:row>
      <xdr:rowOff>0</xdr:rowOff>
    </xdr:from>
    <xdr:to>
      <xdr:col>26</xdr:col>
      <xdr:colOff>409575</xdr:colOff>
      <xdr:row>64</xdr:row>
      <xdr:rowOff>38100</xdr:rowOff>
    </xdr:to>
    <xdr:graphicFrame>
      <xdr:nvGraphicFramePr>
        <xdr:cNvPr id="4" name="Chart 4"/>
        <xdr:cNvGraphicFramePr/>
      </xdr:nvGraphicFramePr>
      <xdr:xfrm>
        <a:off x="11382375" y="7991475"/>
        <a:ext cx="5895975" cy="24765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238125</xdr:colOff>
      <xdr:row>17</xdr:row>
      <xdr:rowOff>123825</xdr:rowOff>
    </xdr:from>
    <xdr:to>
      <xdr:col>29</xdr:col>
      <xdr:colOff>28575</xdr:colOff>
      <xdr:row>41</xdr:row>
      <xdr:rowOff>152400</xdr:rowOff>
    </xdr:to>
    <xdr:graphicFrame>
      <xdr:nvGraphicFramePr>
        <xdr:cNvPr id="1" name="Chart 1"/>
        <xdr:cNvGraphicFramePr/>
      </xdr:nvGraphicFramePr>
      <xdr:xfrm>
        <a:off x="15325725" y="2886075"/>
        <a:ext cx="5886450" cy="3914775"/>
      </xdr:xfrm>
      <a:graphic>
        <a:graphicData uri="http://schemas.openxmlformats.org/drawingml/2006/chart">
          <c:chart xmlns:c="http://schemas.openxmlformats.org/drawingml/2006/chart" r:id="rId1"/>
        </a:graphicData>
      </a:graphic>
    </xdr:graphicFrame>
    <xdr:clientData/>
  </xdr:twoCellAnchor>
  <xdr:twoCellAnchor>
    <xdr:from>
      <xdr:col>23</xdr:col>
      <xdr:colOff>219075</xdr:colOff>
      <xdr:row>43</xdr:row>
      <xdr:rowOff>85725</xdr:rowOff>
    </xdr:from>
    <xdr:to>
      <xdr:col>33</xdr:col>
      <xdr:colOff>9525</xdr:colOff>
      <xdr:row>67</xdr:row>
      <xdr:rowOff>104775</xdr:rowOff>
    </xdr:to>
    <xdr:graphicFrame>
      <xdr:nvGraphicFramePr>
        <xdr:cNvPr id="2" name="Chart 2"/>
        <xdr:cNvGraphicFramePr/>
      </xdr:nvGraphicFramePr>
      <xdr:xfrm>
        <a:off x="17745075" y="7067550"/>
        <a:ext cx="5886450" cy="3924300"/>
      </xdr:xfrm>
      <a:graphic>
        <a:graphicData uri="http://schemas.openxmlformats.org/drawingml/2006/chart">
          <c:chart xmlns:c="http://schemas.openxmlformats.org/drawingml/2006/chart" r:id="rId2"/>
        </a:graphicData>
      </a:graphic>
    </xdr:graphicFrame>
    <xdr:clientData/>
  </xdr:twoCellAnchor>
  <xdr:twoCellAnchor>
    <xdr:from>
      <xdr:col>23</xdr:col>
      <xdr:colOff>180975</xdr:colOff>
      <xdr:row>69</xdr:row>
      <xdr:rowOff>76200</xdr:rowOff>
    </xdr:from>
    <xdr:to>
      <xdr:col>32</xdr:col>
      <xdr:colOff>581025</xdr:colOff>
      <xdr:row>93</xdr:row>
      <xdr:rowOff>95250</xdr:rowOff>
    </xdr:to>
    <xdr:graphicFrame>
      <xdr:nvGraphicFramePr>
        <xdr:cNvPr id="3" name="Chart 3"/>
        <xdr:cNvGraphicFramePr/>
      </xdr:nvGraphicFramePr>
      <xdr:xfrm>
        <a:off x="17706975" y="11287125"/>
        <a:ext cx="5886450" cy="39147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xdr:row>
      <xdr:rowOff>0</xdr:rowOff>
    </xdr:from>
    <xdr:to>
      <xdr:col>15</xdr:col>
      <xdr:colOff>0</xdr:colOff>
      <xdr:row>1</xdr:row>
      <xdr:rowOff>0</xdr:rowOff>
    </xdr:to>
    <xdr:graphicFrame>
      <xdr:nvGraphicFramePr>
        <xdr:cNvPr id="1" name="Chart 1"/>
        <xdr:cNvGraphicFramePr/>
      </xdr:nvGraphicFramePr>
      <xdr:xfrm>
        <a:off x="8124825" y="981075"/>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DPG\LOCALS~1\Temp\iucnOct2006a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rese"/>
      <sheetName val="singleSpecies"/>
      <sheetName val="RegrOldLen"/>
      <sheetName val="GenOutput"/>
      <sheetName val="GEN_CET"/>
      <sheetName val="Striped_Spotted"/>
      <sheetName val="complete species"/>
    </sheetNames>
    <sheetDataSet>
      <sheetData sheetId="1">
        <row r="1">
          <cell r="A1" t="str">
            <v>Species</v>
          </cell>
          <cell r="E1" t="str">
            <v>calf survival (S0)</v>
          </cell>
          <cell r="H1" t="str">
            <v>Non-calf survival (SA) ref</v>
          </cell>
          <cell r="N1" t="str">
            <v>AFR</v>
          </cell>
          <cell r="S1" t="str">
            <v>IBI</v>
          </cell>
          <cell r="Z1" t="str">
            <v>oldest age reprod female</v>
          </cell>
          <cell r="AD1" t="str">
            <v>oldest age (est)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C25"/>
  <sheetViews>
    <sheetView workbookViewId="0" topLeftCell="A1">
      <selection activeCell="G28" sqref="G28"/>
    </sheetView>
  </sheetViews>
  <sheetFormatPr defaultColWidth="9.140625" defaultRowHeight="12.75"/>
  <sheetData>
    <row r="1" ht="12.75">
      <c r="A1" t="s">
        <v>79</v>
      </c>
    </row>
    <row r="3" ht="12.75">
      <c r="A3" t="s">
        <v>80</v>
      </c>
    </row>
    <row r="4" ht="12.75">
      <c r="B4" t="s">
        <v>81</v>
      </c>
    </row>
    <row r="5" ht="12.75">
      <c r="B5" t="s">
        <v>82</v>
      </c>
    </row>
    <row r="6" ht="12.75">
      <c r="B6" t="s">
        <v>874</v>
      </c>
    </row>
    <row r="7" ht="12.75">
      <c r="A7" t="s">
        <v>83</v>
      </c>
    </row>
    <row r="8" ht="12.75">
      <c r="B8" t="s">
        <v>84</v>
      </c>
    </row>
    <row r="9" ht="12.75">
      <c r="C9" t="s">
        <v>85</v>
      </c>
    </row>
    <row r="10" ht="12.75">
      <c r="C10" t="s">
        <v>86</v>
      </c>
    </row>
    <row r="11" ht="12.75">
      <c r="B11" t="s">
        <v>87</v>
      </c>
    </row>
    <row r="12" ht="12.75">
      <c r="B12" t="s">
        <v>873</v>
      </c>
    </row>
    <row r="13" ht="12.75">
      <c r="A13" t="s">
        <v>88</v>
      </c>
    </row>
    <row r="14" ht="12.75">
      <c r="B14" t="s">
        <v>89</v>
      </c>
    </row>
    <row r="15" ht="12.75">
      <c r="B15" t="s">
        <v>90</v>
      </c>
    </row>
    <row r="16" ht="12.75">
      <c r="B16" t="s">
        <v>91</v>
      </c>
    </row>
    <row r="17" ht="12.75">
      <c r="A17" t="s">
        <v>92</v>
      </c>
    </row>
    <row r="18" ht="12.75">
      <c r="A18" t="s">
        <v>93</v>
      </c>
    </row>
    <row r="19" ht="12.75">
      <c r="B19" t="s">
        <v>94</v>
      </c>
    </row>
    <row r="20" ht="12.75">
      <c r="B20" t="s">
        <v>95</v>
      </c>
    </row>
    <row r="21" ht="12.75">
      <c r="B21" t="s">
        <v>96</v>
      </c>
    </row>
    <row r="22" ht="12.75">
      <c r="B22" t="s">
        <v>875</v>
      </c>
    </row>
    <row r="23" ht="12.75">
      <c r="A23" t="s">
        <v>870</v>
      </c>
    </row>
    <row r="24" ht="12.75">
      <c r="A24" t="s">
        <v>871</v>
      </c>
    </row>
    <row r="25" ht="12.75">
      <c r="A25" t="s">
        <v>872</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O13"/>
  <sheetViews>
    <sheetView workbookViewId="0" topLeftCell="A4">
      <selection activeCell="R2" sqref="R2"/>
    </sheetView>
  </sheetViews>
  <sheetFormatPr defaultColWidth="9.140625" defaultRowHeight="12.75"/>
  <cols>
    <col min="1" max="1" width="16.8515625" style="0" customWidth="1"/>
    <col min="2" max="2" width="7.57421875" style="0" customWidth="1"/>
    <col min="4" max="4" width="7.140625" style="0" customWidth="1"/>
    <col min="6" max="6" width="6.8515625" style="60" customWidth="1"/>
    <col min="8" max="8" width="7.140625" style="0" customWidth="1"/>
    <col min="9" max="9" width="7.28125" style="0" customWidth="1"/>
    <col min="12" max="12" width="6.57421875" style="0" customWidth="1"/>
    <col min="13" max="13" width="5.7109375" style="0" customWidth="1"/>
    <col min="14" max="14" width="5.421875" style="0" customWidth="1"/>
    <col min="15" max="15" width="5.57421875" style="0" customWidth="1"/>
  </cols>
  <sheetData>
    <row r="1" spans="1:15" s="16" customFormat="1" ht="77.25" customHeight="1" thickBot="1">
      <c r="A1" s="28" t="s">
        <v>587</v>
      </c>
      <c r="B1" s="29" t="s">
        <v>753</v>
      </c>
      <c r="C1" s="58" t="s">
        <v>759</v>
      </c>
      <c r="D1" s="29" t="s">
        <v>755</v>
      </c>
      <c r="E1" s="29" t="s">
        <v>754</v>
      </c>
      <c r="F1" s="42" t="s">
        <v>253</v>
      </c>
      <c r="G1" s="30" t="s">
        <v>760</v>
      </c>
      <c r="H1" s="46" t="s">
        <v>460</v>
      </c>
      <c r="I1" s="29" t="s">
        <v>758</v>
      </c>
      <c r="J1" s="29" t="s">
        <v>768</v>
      </c>
      <c r="K1" s="29" t="s">
        <v>775</v>
      </c>
      <c r="L1" s="29" t="s">
        <v>756</v>
      </c>
      <c r="M1" s="29" t="s">
        <v>757</v>
      </c>
      <c r="N1" s="29" t="s">
        <v>763</v>
      </c>
      <c r="O1" s="42" t="s">
        <v>761</v>
      </c>
    </row>
    <row r="2" spans="1:15" s="16" customFormat="1" ht="43.5" customHeight="1" thickTop="1">
      <c r="A2" s="4" t="s">
        <v>609</v>
      </c>
      <c r="B2" s="17"/>
      <c r="C2" s="47">
        <v>28.7</v>
      </c>
      <c r="D2" s="17">
        <v>0.76</v>
      </c>
      <c r="E2" s="17">
        <v>0.96</v>
      </c>
      <c r="F2" s="43">
        <f>D2/E2</f>
        <v>0.7916666666666667</v>
      </c>
      <c r="G2" s="17" t="s">
        <v>884</v>
      </c>
      <c r="H2" s="47">
        <v>5</v>
      </c>
      <c r="I2" s="17">
        <v>12</v>
      </c>
      <c r="J2" s="17">
        <v>2.4</v>
      </c>
      <c r="K2" s="17"/>
      <c r="L2" s="17"/>
      <c r="M2" s="17"/>
      <c r="N2" s="17"/>
      <c r="O2" s="43">
        <v>16.5</v>
      </c>
    </row>
    <row r="3" spans="1:15" s="16" customFormat="1" ht="25.5">
      <c r="A3" s="4" t="s">
        <v>625</v>
      </c>
      <c r="B3" s="17"/>
      <c r="C3" s="47"/>
      <c r="D3" s="17">
        <v>0.9</v>
      </c>
      <c r="E3" s="17">
        <v>0.95</v>
      </c>
      <c r="F3" s="43">
        <f>D3/E3</f>
        <v>0.9473684210526316</v>
      </c>
      <c r="G3" s="17" t="s">
        <v>456</v>
      </c>
      <c r="H3" s="47">
        <v>8</v>
      </c>
      <c r="I3" s="17">
        <v>13.75</v>
      </c>
      <c r="J3" s="17">
        <v>2</v>
      </c>
      <c r="K3" s="17">
        <v>0.46</v>
      </c>
      <c r="L3" s="17"/>
      <c r="M3" s="17"/>
      <c r="N3" s="17"/>
      <c r="O3" s="43">
        <v>15</v>
      </c>
    </row>
    <row r="4" spans="1:15" s="16" customFormat="1" ht="25.5">
      <c r="A4" s="4" t="s">
        <v>627</v>
      </c>
      <c r="B4" s="17"/>
      <c r="C4" s="47">
        <v>46.9</v>
      </c>
      <c r="D4" s="17"/>
      <c r="E4" s="17">
        <v>0.98</v>
      </c>
      <c r="F4" s="43"/>
      <c r="G4" s="17" t="s">
        <v>63</v>
      </c>
      <c r="H4" s="47">
        <v>20</v>
      </c>
      <c r="I4" s="17">
        <v>13</v>
      </c>
      <c r="J4" s="17">
        <v>3</v>
      </c>
      <c r="K4" s="17">
        <v>0.31</v>
      </c>
      <c r="L4" s="17"/>
      <c r="M4" s="17"/>
      <c r="N4" s="17">
        <v>120</v>
      </c>
      <c r="O4" s="43">
        <v>19.8</v>
      </c>
    </row>
    <row r="5" spans="1:15" s="16" customFormat="1" ht="33.75">
      <c r="A5" s="4" t="s">
        <v>628</v>
      </c>
      <c r="B5" s="17" t="s">
        <v>293</v>
      </c>
      <c r="C5" s="47"/>
      <c r="D5" s="17">
        <v>0.91</v>
      </c>
      <c r="E5" s="17">
        <v>0.986</v>
      </c>
      <c r="F5" s="43">
        <f>D5/E5</f>
        <v>0.922920892494929</v>
      </c>
      <c r="G5" s="17"/>
      <c r="H5" s="47">
        <v>7</v>
      </c>
      <c r="I5" s="17"/>
      <c r="J5" s="17">
        <v>3</v>
      </c>
      <c r="K5" s="17"/>
      <c r="L5" s="17">
        <v>0.16</v>
      </c>
      <c r="M5" s="17"/>
      <c r="N5" s="17">
        <v>70</v>
      </c>
      <c r="O5" s="43">
        <v>17</v>
      </c>
    </row>
    <row r="6" spans="1:15" s="16" customFormat="1" ht="45">
      <c r="A6" s="4" t="s">
        <v>629</v>
      </c>
      <c r="B6" s="17" t="s">
        <v>732</v>
      </c>
      <c r="C6" s="47"/>
      <c r="D6" s="17">
        <v>0.88</v>
      </c>
      <c r="E6" s="17">
        <v>0.99</v>
      </c>
      <c r="F6" s="43">
        <f>D6/E6</f>
        <v>0.888888888888889</v>
      </c>
      <c r="G6" s="17"/>
      <c r="H6" s="47">
        <v>8</v>
      </c>
      <c r="I6" s="17"/>
      <c r="J6" s="17">
        <v>4</v>
      </c>
      <c r="K6" s="17"/>
      <c r="L6" s="17"/>
      <c r="M6" s="17"/>
      <c r="N6" s="17">
        <v>69</v>
      </c>
      <c r="O6" s="43">
        <v>18</v>
      </c>
    </row>
    <row r="7" spans="1:15" s="16" customFormat="1" ht="25.5">
      <c r="A7" s="68" t="s">
        <v>653</v>
      </c>
      <c r="B7" s="17"/>
      <c r="C7" s="47">
        <v>16</v>
      </c>
      <c r="D7" s="17"/>
      <c r="E7" s="17">
        <f>(0.84+0.91)/2</f>
        <v>0.875</v>
      </c>
      <c r="F7" s="43"/>
      <c r="G7" s="17" t="s">
        <v>405</v>
      </c>
      <c r="H7" s="47">
        <v>6</v>
      </c>
      <c r="I7" s="17">
        <v>14.5</v>
      </c>
      <c r="J7" s="17">
        <f>((32+37)/2)/12</f>
        <v>2.875</v>
      </c>
      <c r="K7" s="17"/>
      <c r="L7" s="17"/>
      <c r="M7" s="17">
        <v>16</v>
      </c>
      <c r="N7" s="17"/>
      <c r="O7" s="43">
        <f>(3.9+4.3)/2</f>
        <v>4.1</v>
      </c>
    </row>
    <row r="8" spans="1:15" s="16" customFormat="1" ht="25.5">
      <c r="A8" s="4" t="s">
        <v>659</v>
      </c>
      <c r="B8" s="17"/>
      <c r="C8" s="47"/>
      <c r="D8" s="17">
        <v>0.68</v>
      </c>
      <c r="E8" s="17">
        <v>0.86</v>
      </c>
      <c r="F8" s="43">
        <f>D8/E8</f>
        <v>0.7906976744186047</v>
      </c>
      <c r="G8" s="17" t="s">
        <v>399</v>
      </c>
      <c r="H8" s="47">
        <v>6</v>
      </c>
      <c r="I8" s="17">
        <v>12</v>
      </c>
      <c r="J8" s="17"/>
      <c r="K8" s="17"/>
      <c r="L8" s="17"/>
      <c r="M8" s="17"/>
      <c r="N8" s="17">
        <v>18</v>
      </c>
      <c r="O8" s="43">
        <v>1.7</v>
      </c>
    </row>
    <row r="9" spans="1:15" s="16" customFormat="1" ht="25.5">
      <c r="A9" s="4" t="s">
        <v>662</v>
      </c>
      <c r="B9" s="17" t="s">
        <v>220</v>
      </c>
      <c r="C9" s="47">
        <v>13</v>
      </c>
      <c r="D9" s="17"/>
      <c r="E9" s="17"/>
      <c r="F9" s="43"/>
      <c r="G9" s="17"/>
      <c r="H9" s="47">
        <v>8</v>
      </c>
      <c r="I9" s="17"/>
      <c r="J9" s="17">
        <v>2.5</v>
      </c>
      <c r="K9" s="17"/>
      <c r="L9" s="17"/>
      <c r="M9" s="17"/>
      <c r="N9" s="17">
        <v>19</v>
      </c>
      <c r="O9" s="43">
        <v>1.53</v>
      </c>
    </row>
    <row r="10" spans="1:15" s="16" customFormat="1" ht="25.5">
      <c r="A10" s="4" t="s">
        <v>686</v>
      </c>
      <c r="B10" s="17"/>
      <c r="C10" s="47"/>
      <c r="D10" s="17">
        <v>0.82</v>
      </c>
      <c r="E10" s="17">
        <v>0.94</v>
      </c>
      <c r="F10" s="43">
        <f>D10/E10</f>
        <v>0.8723404255319149</v>
      </c>
      <c r="G10" s="21">
        <v>11</v>
      </c>
      <c r="H10" s="48"/>
      <c r="I10" s="21">
        <v>12</v>
      </c>
      <c r="J10" s="21">
        <v>3</v>
      </c>
      <c r="K10" s="21"/>
      <c r="L10" s="21">
        <v>0.068</v>
      </c>
      <c r="M10" s="21"/>
      <c r="N10" s="21">
        <v>43</v>
      </c>
      <c r="O10" s="50">
        <f>(2.4+3.7)/2</f>
        <v>3.05</v>
      </c>
    </row>
    <row r="11" spans="1:15" s="16" customFormat="1" ht="12.75">
      <c r="A11" s="4" t="s">
        <v>716</v>
      </c>
      <c r="B11" s="17"/>
      <c r="C11" s="47">
        <v>26.5</v>
      </c>
      <c r="D11" s="17"/>
      <c r="E11" s="17">
        <v>0.999</v>
      </c>
      <c r="F11" s="43"/>
      <c r="G11" s="17"/>
      <c r="H11" s="47">
        <v>9</v>
      </c>
      <c r="I11" s="17">
        <v>12</v>
      </c>
      <c r="J11" s="17">
        <v>3</v>
      </c>
      <c r="K11" s="17"/>
      <c r="L11" s="17"/>
      <c r="M11" s="17"/>
      <c r="N11" s="17"/>
      <c r="O11" s="94">
        <v>7.9</v>
      </c>
    </row>
    <row r="12" spans="1:15" s="16" customFormat="1" ht="45">
      <c r="A12" s="4" t="s">
        <v>722</v>
      </c>
      <c r="B12" s="24" t="s">
        <v>323</v>
      </c>
      <c r="C12" s="47">
        <v>9.1</v>
      </c>
      <c r="D12" s="17"/>
      <c r="E12" s="17"/>
      <c r="F12" s="43"/>
      <c r="G12" s="17" t="s">
        <v>53</v>
      </c>
      <c r="H12" s="47">
        <v>3.5</v>
      </c>
      <c r="I12" s="17">
        <v>12</v>
      </c>
      <c r="J12" s="17"/>
      <c r="K12" s="17"/>
      <c r="L12" s="17"/>
      <c r="M12" s="17"/>
      <c r="N12" s="17">
        <v>13</v>
      </c>
      <c r="O12" s="43">
        <v>1.68</v>
      </c>
    </row>
    <row r="13" spans="1:15" s="16" customFormat="1" ht="25.5">
      <c r="A13" s="4" t="s">
        <v>730</v>
      </c>
      <c r="B13" s="17"/>
      <c r="C13" s="47">
        <v>7</v>
      </c>
      <c r="D13" s="17"/>
      <c r="E13" s="17"/>
      <c r="F13" s="43"/>
      <c r="G13" s="17" t="s">
        <v>916</v>
      </c>
      <c r="H13" s="47">
        <v>3</v>
      </c>
      <c r="I13" s="17">
        <v>10.5</v>
      </c>
      <c r="J13" s="17">
        <v>2</v>
      </c>
      <c r="K13" s="17"/>
      <c r="L13" s="17"/>
      <c r="M13" s="17"/>
      <c r="N13" s="17">
        <v>9</v>
      </c>
      <c r="O13" s="43">
        <v>1.74</v>
      </c>
    </row>
    <row r="62" ht="12.75"/>
    <row r="63" ht="12.75"/>
    <row r="64" ht="12.75"/>
  </sheetData>
  <printOptions/>
  <pageMargins left="0.75" right="0.75" top="1" bottom="1" header="0.5" footer="0.5"/>
  <pageSetup orientation="landscape" r:id="rId4"/>
  <drawing r:id="rId3"/>
  <legacyDrawing r:id="rId2"/>
</worksheet>
</file>

<file path=xl/worksheets/sheet11.xml><?xml version="1.0" encoding="utf-8"?>
<worksheet xmlns="http://schemas.openxmlformats.org/spreadsheetml/2006/main" xmlns:r="http://schemas.openxmlformats.org/officeDocument/2006/relationships">
  <dimension ref="A1:V294"/>
  <sheetViews>
    <sheetView workbookViewId="0" topLeftCell="A1">
      <pane xSplit="2" ySplit="1" topLeftCell="C106"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21.28125" style="12" customWidth="1"/>
    <col min="2" max="2" width="32.8515625" style="12" customWidth="1"/>
    <col min="3" max="3" width="8.28125" style="12" customWidth="1"/>
    <col min="4" max="4" width="4.421875" style="12" customWidth="1"/>
    <col min="5" max="5" width="6.8515625" style="12" customWidth="1"/>
    <col min="6" max="6" width="8.7109375" style="12" customWidth="1"/>
    <col min="7" max="7" width="6.28125" style="12" customWidth="1"/>
    <col min="8" max="9" width="14.7109375" style="12" customWidth="1"/>
    <col min="10" max="13" width="9.140625" style="12" customWidth="1"/>
    <col min="14" max="14" width="10.140625" style="12" customWidth="1"/>
    <col min="15" max="15" width="10.00390625" style="12" bestFit="1" customWidth="1"/>
    <col min="16" max="16" width="8.140625" style="12" customWidth="1"/>
    <col min="17" max="18" width="9.140625" style="12" customWidth="1"/>
    <col min="19" max="19" width="11.57421875" style="12" customWidth="1"/>
    <col min="20" max="21" width="8.28125" style="12" customWidth="1"/>
    <col min="22" max="22" width="10.28125" style="35" customWidth="1"/>
    <col min="23" max="16384" width="8.8515625" style="16" customWidth="1"/>
  </cols>
  <sheetData>
    <row r="1" spans="1:22" ht="77.25" customHeight="1" thickBot="1">
      <c r="A1" s="28" t="s">
        <v>587</v>
      </c>
      <c r="B1" s="28" t="s">
        <v>589</v>
      </c>
      <c r="C1" s="29" t="s">
        <v>753</v>
      </c>
      <c r="D1" s="29" t="s">
        <v>759</v>
      </c>
      <c r="E1" s="29" t="s">
        <v>755</v>
      </c>
      <c r="F1" s="29" t="s">
        <v>754</v>
      </c>
      <c r="G1" s="29" t="s">
        <v>816</v>
      </c>
      <c r="H1" s="30" t="s">
        <v>760</v>
      </c>
      <c r="I1" s="30" t="s">
        <v>460</v>
      </c>
      <c r="J1" s="30" t="s">
        <v>588</v>
      </c>
      <c r="K1" s="30" t="s">
        <v>771</v>
      </c>
      <c r="L1" s="29" t="s">
        <v>758</v>
      </c>
      <c r="M1" s="29" t="s">
        <v>768</v>
      </c>
      <c r="N1" s="29" t="s">
        <v>564</v>
      </c>
      <c r="O1" s="29" t="s">
        <v>775</v>
      </c>
      <c r="P1" s="29" t="s">
        <v>756</v>
      </c>
      <c r="Q1" s="29" t="s">
        <v>757</v>
      </c>
      <c r="R1" s="29" t="s">
        <v>763</v>
      </c>
      <c r="S1" s="29" t="s">
        <v>761</v>
      </c>
      <c r="T1" s="29" t="s">
        <v>762</v>
      </c>
      <c r="U1" s="29" t="s">
        <v>813</v>
      </c>
      <c r="V1" s="29" t="s">
        <v>942</v>
      </c>
    </row>
    <row r="2" spans="1:22" ht="27" thickTop="1">
      <c r="A2" s="26" t="s">
        <v>590</v>
      </c>
      <c r="B2" s="27" t="s">
        <v>331</v>
      </c>
      <c r="C2" s="27"/>
      <c r="D2" s="27"/>
      <c r="E2" s="27"/>
      <c r="F2" s="27"/>
      <c r="G2" s="27"/>
      <c r="H2" s="27" t="s">
        <v>217</v>
      </c>
      <c r="I2" s="27">
        <v>8</v>
      </c>
      <c r="J2" s="27"/>
      <c r="K2" s="27"/>
      <c r="L2" s="27"/>
      <c r="M2" s="27"/>
      <c r="N2" s="27"/>
      <c r="O2" s="27">
        <v>0.78</v>
      </c>
      <c r="P2" s="27"/>
      <c r="Q2" s="27"/>
      <c r="R2" s="27"/>
      <c r="S2" s="27"/>
      <c r="T2" s="27"/>
      <c r="U2" s="27"/>
      <c r="V2" s="31" t="s">
        <v>332</v>
      </c>
    </row>
    <row r="3" spans="1:22" ht="30">
      <c r="A3" s="6" t="s">
        <v>590</v>
      </c>
      <c r="B3" s="7" t="s">
        <v>388</v>
      </c>
      <c r="C3" s="7"/>
      <c r="D3" s="7"/>
      <c r="E3" s="7"/>
      <c r="F3" s="7"/>
      <c r="G3" s="7"/>
      <c r="H3" s="7" t="s">
        <v>389</v>
      </c>
      <c r="I3" s="7">
        <v>10</v>
      </c>
      <c r="J3" s="7"/>
      <c r="K3" s="7"/>
      <c r="L3" s="7"/>
      <c r="M3" s="7"/>
      <c r="N3" s="7"/>
      <c r="O3" s="7"/>
      <c r="P3" s="7"/>
      <c r="Q3" s="7"/>
      <c r="R3" s="7"/>
      <c r="S3" s="7"/>
      <c r="T3" s="7"/>
      <c r="U3" s="7"/>
      <c r="V3" s="32"/>
    </row>
    <row r="4" spans="1:22" ht="30">
      <c r="A4" s="6" t="s">
        <v>590</v>
      </c>
      <c r="B4" s="7" t="s">
        <v>325</v>
      </c>
      <c r="C4" s="7"/>
      <c r="D4" s="7"/>
      <c r="E4" s="7"/>
      <c r="F4" s="7"/>
      <c r="G4" s="7">
        <v>0.11</v>
      </c>
      <c r="H4" s="7"/>
      <c r="I4" s="7"/>
      <c r="J4" s="7" t="s">
        <v>897</v>
      </c>
      <c r="K4" s="7" t="s">
        <v>896</v>
      </c>
      <c r="L4" s="7"/>
      <c r="M4" s="7"/>
      <c r="N4" s="7"/>
      <c r="O4" s="7"/>
      <c r="P4" s="7"/>
      <c r="Q4" s="7"/>
      <c r="R4" s="7"/>
      <c r="S4" s="7" t="s">
        <v>895</v>
      </c>
      <c r="T4" s="7"/>
      <c r="U4" s="7"/>
      <c r="V4" s="32"/>
    </row>
    <row r="5" spans="1:22" ht="60.75">
      <c r="A5" s="6" t="s">
        <v>590</v>
      </c>
      <c r="B5" s="7" t="s">
        <v>442</v>
      </c>
      <c r="C5" s="7"/>
      <c r="D5" s="7"/>
      <c r="E5" s="7"/>
      <c r="F5" s="7"/>
      <c r="G5" s="7"/>
      <c r="H5" s="7" t="s">
        <v>454</v>
      </c>
      <c r="I5" s="7">
        <v>10</v>
      </c>
      <c r="J5" s="7"/>
      <c r="K5" s="7"/>
      <c r="L5" s="7" t="s">
        <v>21</v>
      </c>
      <c r="M5" s="7" t="s">
        <v>885</v>
      </c>
      <c r="N5" s="7"/>
      <c r="O5" s="7" t="s">
        <v>445</v>
      </c>
      <c r="P5" s="7"/>
      <c r="Q5" s="7"/>
      <c r="R5" s="7"/>
      <c r="S5" s="7"/>
      <c r="T5" s="7"/>
      <c r="U5" s="7"/>
      <c r="V5" s="32"/>
    </row>
    <row r="6" spans="1:22" ht="30">
      <c r="A6" s="6" t="s">
        <v>590</v>
      </c>
      <c r="B6" s="7" t="s">
        <v>818</v>
      </c>
      <c r="C6" s="7"/>
      <c r="D6" s="7"/>
      <c r="E6" s="7"/>
      <c r="F6" s="7" t="s">
        <v>822</v>
      </c>
      <c r="G6" s="7"/>
      <c r="H6" s="7" t="s">
        <v>823</v>
      </c>
      <c r="I6" s="7">
        <v>7</v>
      </c>
      <c r="J6" s="7"/>
      <c r="K6" s="7"/>
      <c r="L6" s="7"/>
      <c r="M6" s="7"/>
      <c r="N6" s="7" t="s">
        <v>819</v>
      </c>
      <c r="O6" s="7" t="s">
        <v>820</v>
      </c>
      <c r="P6" s="7"/>
      <c r="Q6" s="7"/>
      <c r="R6" s="7" t="s">
        <v>821</v>
      </c>
      <c r="S6" s="7"/>
      <c r="T6" s="7"/>
      <c r="U6" s="7"/>
      <c r="V6" s="32"/>
    </row>
    <row r="7" spans="1:22" ht="26.25">
      <c r="A7" s="6" t="s">
        <v>590</v>
      </c>
      <c r="B7" s="7" t="s">
        <v>328</v>
      </c>
      <c r="C7" s="7"/>
      <c r="D7" s="7"/>
      <c r="E7" s="7"/>
      <c r="F7" s="7"/>
      <c r="G7" s="7"/>
      <c r="H7" s="7" t="s">
        <v>329</v>
      </c>
      <c r="I7" s="7">
        <v>6</v>
      </c>
      <c r="J7" s="7"/>
      <c r="K7" s="7"/>
      <c r="L7" s="7"/>
      <c r="M7" s="7"/>
      <c r="N7" s="7"/>
      <c r="O7" s="7"/>
      <c r="P7" s="7"/>
      <c r="Q7" s="7"/>
      <c r="R7" s="7"/>
      <c r="S7" s="7"/>
      <c r="T7" s="7"/>
      <c r="U7" s="7"/>
      <c r="V7" s="32" t="s">
        <v>330</v>
      </c>
    </row>
    <row r="8" spans="1:22" ht="30">
      <c r="A8" s="6" t="s">
        <v>590</v>
      </c>
      <c r="B8" s="7" t="s">
        <v>36</v>
      </c>
      <c r="C8" s="7"/>
      <c r="D8" s="7"/>
      <c r="E8" s="7"/>
      <c r="F8" s="7"/>
      <c r="G8" s="7"/>
      <c r="H8" s="7" t="s">
        <v>37</v>
      </c>
      <c r="I8" s="7">
        <v>6</v>
      </c>
      <c r="J8" s="7"/>
      <c r="K8" s="7"/>
      <c r="L8" s="7"/>
      <c r="M8" s="7"/>
      <c r="N8" s="7"/>
      <c r="O8" s="7"/>
      <c r="P8" s="7"/>
      <c r="Q8" s="7"/>
      <c r="R8" s="7"/>
      <c r="S8" s="7"/>
      <c r="T8" s="7"/>
      <c r="U8" s="7"/>
      <c r="V8" s="32"/>
    </row>
    <row r="9" spans="1:22" ht="26.25">
      <c r="A9" s="4" t="s">
        <v>591</v>
      </c>
      <c r="B9" s="3" t="s">
        <v>750</v>
      </c>
      <c r="C9" s="3"/>
      <c r="D9" s="3"/>
      <c r="E9" s="3"/>
      <c r="F9" s="3"/>
      <c r="G9" s="3"/>
      <c r="H9" s="3"/>
      <c r="I9" s="3"/>
      <c r="J9" s="3">
        <v>7.7</v>
      </c>
      <c r="K9" s="3"/>
      <c r="L9" s="3"/>
      <c r="M9" s="3"/>
      <c r="N9" s="3"/>
      <c r="O9" s="3"/>
      <c r="P9" s="3">
        <v>0.392</v>
      </c>
      <c r="Q9" s="3"/>
      <c r="R9" s="3"/>
      <c r="S9" s="3"/>
      <c r="T9" s="3"/>
      <c r="U9" s="3"/>
      <c r="V9" s="33"/>
    </row>
    <row r="10" spans="1:22" ht="91.5">
      <c r="A10" s="4" t="s">
        <v>591</v>
      </c>
      <c r="B10" s="17" t="s">
        <v>765</v>
      </c>
      <c r="C10" s="17"/>
      <c r="D10" s="17"/>
      <c r="E10" s="17"/>
      <c r="F10" s="17"/>
      <c r="G10" s="17"/>
      <c r="H10" s="17" t="s">
        <v>767</v>
      </c>
      <c r="I10" s="17">
        <v>7</v>
      </c>
      <c r="J10" s="17"/>
      <c r="K10" s="17"/>
      <c r="L10" s="17"/>
      <c r="M10" s="17"/>
      <c r="N10" s="17"/>
      <c r="O10" s="17"/>
      <c r="P10" s="17"/>
      <c r="Q10" s="17"/>
      <c r="R10" s="17"/>
      <c r="S10" s="17"/>
      <c r="T10" s="17"/>
      <c r="U10" s="17"/>
      <c r="V10" s="34"/>
    </row>
    <row r="11" spans="1:22" ht="40.5">
      <c r="A11" s="4" t="s">
        <v>591</v>
      </c>
      <c r="B11" s="17" t="s">
        <v>0</v>
      </c>
      <c r="C11" s="17"/>
      <c r="D11" s="17"/>
      <c r="E11" s="17"/>
      <c r="F11" s="17"/>
      <c r="G11" s="17"/>
      <c r="H11" s="17" t="s">
        <v>781</v>
      </c>
      <c r="I11" s="17">
        <v>6</v>
      </c>
      <c r="J11" s="17"/>
      <c r="K11" s="17"/>
      <c r="L11" s="17" t="s">
        <v>782</v>
      </c>
      <c r="M11" s="17" t="s">
        <v>783</v>
      </c>
      <c r="N11" s="17"/>
      <c r="O11" s="17"/>
      <c r="P11" s="17"/>
      <c r="Q11" s="17"/>
      <c r="R11" s="17"/>
      <c r="S11" s="17" t="s">
        <v>784</v>
      </c>
      <c r="T11" s="17"/>
      <c r="U11" s="17"/>
      <c r="V11" s="34"/>
    </row>
    <row r="12" spans="1:22" ht="30">
      <c r="A12" s="8" t="s">
        <v>601</v>
      </c>
      <c r="B12" s="7" t="s">
        <v>1</v>
      </c>
      <c r="C12" s="7"/>
      <c r="D12" s="7"/>
      <c r="E12" s="7"/>
      <c r="F12" s="7"/>
      <c r="G12" s="7"/>
      <c r="H12" s="7" t="s">
        <v>788</v>
      </c>
      <c r="I12" s="7">
        <v>8</v>
      </c>
      <c r="J12" s="7" t="s">
        <v>787</v>
      </c>
      <c r="K12" s="7"/>
      <c r="L12" s="7"/>
      <c r="M12" s="7"/>
      <c r="N12" s="7"/>
      <c r="O12" s="9" t="s">
        <v>785</v>
      </c>
      <c r="P12" s="7" t="s">
        <v>790</v>
      </c>
      <c r="Q12" s="7"/>
      <c r="R12" s="7" t="s">
        <v>786</v>
      </c>
      <c r="S12" s="7" t="s">
        <v>789</v>
      </c>
      <c r="T12" s="7"/>
      <c r="U12" s="7"/>
      <c r="V12" s="32"/>
    </row>
    <row r="13" spans="1:22" ht="30">
      <c r="A13" s="8" t="s">
        <v>601</v>
      </c>
      <c r="B13" s="7" t="s">
        <v>833</v>
      </c>
      <c r="C13" s="7"/>
      <c r="D13" s="7"/>
      <c r="E13" s="7"/>
      <c r="F13" s="7"/>
      <c r="G13" s="7"/>
      <c r="H13" s="7" t="s">
        <v>835</v>
      </c>
      <c r="I13" s="7">
        <v>8</v>
      </c>
      <c r="J13" s="7"/>
      <c r="K13" s="7"/>
      <c r="L13" s="7"/>
      <c r="M13" s="7"/>
      <c r="N13" s="7"/>
      <c r="O13" s="9"/>
      <c r="P13" s="7"/>
      <c r="Q13" s="7"/>
      <c r="R13" s="7"/>
      <c r="S13" s="7" t="s">
        <v>834</v>
      </c>
      <c r="T13" s="7"/>
      <c r="U13" s="7"/>
      <c r="V13" s="32"/>
    </row>
    <row r="14" spans="1:22" ht="30">
      <c r="A14" s="8" t="s">
        <v>601</v>
      </c>
      <c r="B14" s="7" t="s">
        <v>442</v>
      </c>
      <c r="C14" s="7"/>
      <c r="D14" s="7"/>
      <c r="E14" s="7"/>
      <c r="F14" s="7"/>
      <c r="G14" s="7"/>
      <c r="H14" s="7" t="s">
        <v>453</v>
      </c>
      <c r="I14" s="7">
        <v>9</v>
      </c>
      <c r="J14" s="7"/>
      <c r="K14" s="7"/>
      <c r="L14" s="7" t="s">
        <v>452</v>
      </c>
      <c r="M14" s="7" t="s">
        <v>916</v>
      </c>
      <c r="N14" s="7"/>
      <c r="O14" s="9" t="s">
        <v>447</v>
      </c>
      <c r="P14" s="7"/>
      <c r="Q14" s="7"/>
      <c r="R14" s="7"/>
      <c r="S14" s="7"/>
      <c r="T14" s="7"/>
      <c r="U14" s="7"/>
      <c r="V14" s="32"/>
    </row>
    <row r="15" spans="1:22" ht="20.25">
      <c r="A15" s="8" t="s">
        <v>601</v>
      </c>
      <c r="B15" s="7" t="s">
        <v>845</v>
      </c>
      <c r="C15" s="7"/>
      <c r="D15" s="7"/>
      <c r="E15" s="7"/>
      <c r="F15" s="7"/>
      <c r="G15" s="7" t="s">
        <v>849</v>
      </c>
      <c r="H15" s="7" t="s">
        <v>847</v>
      </c>
      <c r="I15" s="7">
        <v>10</v>
      </c>
      <c r="J15" s="7"/>
      <c r="K15" s="7"/>
      <c r="L15" s="7" t="s">
        <v>817</v>
      </c>
      <c r="M15" s="7" t="s">
        <v>848</v>
      </c>
      <c r="N15" s="7"/>
      <c r="O15" s="9"/>
      <c r="P15" s="7"/>
      <c r="Q15" s="7"/>
      <c r="R15" s="7"/>
      <c r="S15" s="7"/>
      <c r="T15" s="7"/>
      <c r="U15" s="7"/>
      <c r="V15" s="32"/>
    </row>
    <row r="16" spans="1:22" ht="30">
      <c r="A16" s="4" t="s">
        <v>602</v>
      </c>
      <c r="B16" s="3" t="s">
        <v>442</v>
      </c>
      <c r="C16" s="3"/>
      <c r="D16" s="3"/>
      <c r="E16" s="3"/>
      <c r="F16" s="3"/>
      <c r="G16" s="3"/>
      <c r="H16" s="3" t="s">
        <v>457</v>
      </c>
      <c r="I16" s="3">
        <v>9</v>
      </c>
      <c r="J16" s="3"/>
      <c r="K16" s="3"/>
      <c r="L16" s="3" t="s">
        <v>885</v>
      </c>
      <c r="M16" s="3" t="s">
        <v>931</v>
      </c>
      <c r="N16" s="3"/>
      <c r="O16" s="3" t="s">
        <v>446</v>
      </c>
      <c r="P16" s="3"/>
      <c r="Q16" s="3"/>
      <c r="R16" s="3"/>
      <c r="S16" s="3"/>
      <c r="T16" s="3"/>
      <c r="U16" s="3"/>
      <c r="V16" s="33"/>
    </row>
    <row r="17" spans="1:22" ht="12.75">
      <c r="A17" s="8" t="s">
        <v>603</v>
      </c>
      <c r="B17" s="7"/>
      <c r="C17" s="7"/>
      <c r="D17" s="7"/>
      <c r="E17" s="7"/>
      <c r="F17" s="7"/>
      <c r="G17" s="7"/>
      <c r="H17" s="7"/>
      <c r="I17" s="7"/>
      <c r="J17" s="7"/>
      <c r="K17" s="7"/>
      <c r="L17" s="7"/>
      <c r="M17" s="7"/>
      <c r="N17" s="7"/>
      <c r="O17" s="7"/>
      <c r="P17" s="7"/>
      <c r="Q17" s="7"/>
      <c r="R17" s="7"/>
      <c r="S17" s="7"/>
      <c r="T17" s="7"/>
      <c r="U17" s="7"/>
      <c r="V17" s="32"/>
    </row>
    <row r="18" spans="1:22" ht="30">
      <c r="A18" s="4" t="s">
        <v>604</v>
      </c>
      <c r="B18" s="3" t="s">
        <v>858</v>
      </c>
      <c r="C18" s="3"/>
      <c r="D18" s="3"/>
      <c r="E18" s="3"/>
      <c r="F18" s="3"/>
      <c r="G18" s="3"/>
      <c r="H18" s="3"/>
      <c r="I18" s="3"/>
      <c r="J18" s="3"/>
      <c r="K18" s="3"/>
      <c r="L18" s="3"/>
      <c r="M18" s="3" t="s">
        <v>862</v>
      </c>
      <c r="N18" s="3"/>
      <c r="O18" s="3"/>
      <c r="P18" s="3" t="s">
        <v>859</v>
      </c>
      <c r="Q18" s="3"/>
      <c r="R18" s="3"/>
      <c r="S18" s="3" t="s">
        <v>860</v>
      </c>
      <c r="T18" s="3"/>
      <c r="U18" s="3" t="s">
        <v>861</v>
      </c>
      <c r="V18" s="33"/>
    </row>
    <row r="19" spans="1:22" ht="30">
      <c r="A19" s="4" t="s">
        <v>604</v>
      </c>
      <c r="B19" s="3" t="s">
        <v>824</v>
      </c>
      <c r="C19" s="3"/>
      <c r="D19" s="3"/>
      <c r="E19" s="3"/>
      <c r="F19" s="3"/>
      <c r="G19" s="3" t="s">
        <v>827</v>
      </c>
      <c r="H19" s="3"/>
      <c r="I19" s="3"/>
      <c r="J19" s="3"/>
      <c r="K19" s="3"/>
      <c r="L19" s="3" t="s">
        <v>825</v>
      </c>
      <c r="M19" s="3"/>
      <c r="N19" s="3"/>
      <c r="O19" s="3"/>
      <c r="P19" s="3"/>
      <c r="Q19" s="3"/>
      <c r="R19" s="3"/>
      <c r="S19" s="3" t="s">
        <v>826</v>
      </c>
      <c r="T19" s="3"/>
      <c r="U19" s="3"/>
      <c r="V19" s="33"/>
    </row>
    <row r="20" spans="1:22" ht="91.5">
      <c r="A20" s="4" t="s">
        <v>604</v>
      </c>
      <c r="B20" s="3" t="s">
        <v>764</v>
      </c>
      <c r="C20" s="3"/>
      <c r="D20" s="3"/>
      <c r="E20" s="3"/>
      <c r="F20" s="3"/>
      <c r="G20" s="3"/>
      <c r="H20" s="3" t="s">
        <v>766</v>
      </c>
      <c r="I20" s="3">
        <v>7</v>
      </c>
      <c r="J20" s="3"/>
      <c r="K20" s="3"/>
      <c r="L20" s="3"/>
      <c r="M20" s="3"/>
      <c r="N20" s="3"/>
      <c r="O20" s="3"/>
      <c r="P20" s="3"/>
      <c r="Q20" s="3"/>
      <c r="R20" s="3"/>
      <c r="S20" s="3"/>
      <c r="T20" s="3"/>
      <c r="U20" s="3"/>
      <c r="V20" s="33"/>
    </row>
    <row r="21" spans="1:22" ht="30">
      <c r="A21" s="4" t="s">
        <v>604</v>
      </c>
      <c r="B21" s="3" t="s">
        <v>442</v>
      </c>
      <c r="C21" s="3"/>
      <c r="D21" s="3"/>
      <c r="E21" s="3"/>
      <c r="F21" s="3"/>
      <c r="G21" s="3"/>
      <c r="H21" s="3" t="s">
        <v>451</v>
      </c>
      <c r="I21" s="3">
        <v>8</v>
      </c>
      <c r="J21" s="3"/>
      <c r="K21" s="3"/>
      <c r="L21" s="3" t="s">
        <v>956</v>
      </c>
      <c r="M21" s="3"/>
      <c r="N21" s="3"/>
      <c r="O21" s="5" t="s">
        <v>449</v>
      </c>
      <c r="P21" s="3"/>
      <c r="Q21" s="3"/>
      <c r="R21" s="3"/>
      <c r="S21" s="3"/>
      <c r="T21" s="3"/>
      <c r="U21" s="3"/>
      <c r="V21" s="33"/>
    </row>
    <row r="22" spans="1:22" ht="20.25">
      <c r="A22" s="4" t="s">
        <v>604</v>
      </c>
      <c r="B22" s="3" t="s">
        <v>888</v>
      </c>
      <c r="C22" s="3"/>
      <c r="D22" s="3"/>
      <c r="E22" s="3"/>
      <c r="F22" s="3"/>
      <c r="G22" s="3">
        <v>0.061</v>
      </c>
      <c r="H22" s="3" t="s">
        <v>889</v>
      </c>
      <c r="I22" s="3">
        <v>10</v>
      </c>
      <c r="J22" s="3"/>
      <c r="K22" s="3"/>
      <c r="L22" s="3"/>
      <c r="M22" s="3"/>
      <c r="N22" s="3"/>
      <c r="O22" s="5">
        <v>0.555</v>
      </c>
      <c r="P22" s="3"/>
      <c r="Q22" s="3"/>
      <c r="R22" s="3"/>
      <c r="S22" s="3"/>
      <c r="T22" s="3"/>
      <c r="U22" s="3"/>
      <c r="V22" s="33"/>
    </row>
    <row r="23" spans="1:22" ht="30">
      <c r="A23" s="4" t="s">
        <v>604</v>
      </c>
      <c r="B23" s="3" t="s">
        <v>866</v>
      </c>
      <c r="C23" s="3" t="s">
        <v>867</v>
      </c>
      <c r="D23" s="3"/>
      <c r="E23" s="3"/>
      <c r="F23" s="3"/>
      <c r="G23" s="3" t="s">
        <v>852</v>
      </c>
      <c r="H23" s="3"/>
      <c r="I23" s="3"/>
      <c r="J23" s="3"/>
      <c r="K23" s="3"/>
      <c r="L23" s="3"/>
      <c r="M23" s="3"/>
      <c r="N23" s="3"/>
      <c r="O23" s="3"/>
      <c r="P23" s="3" t="s">
        <v>868</v>
      </c>
      <c r="Q23" s="3"/>
      <c r="R23" s="3"/>
      <c r="S23" s="3"/>
      <c r="T23" s="3"/>
      <c r="U23" s="3"/>
      <c r="V23" s="33"/>
    </row>
    <row r="24" spans="1:22" ht="20.25">
      <c r="A24" s="8" t="s">
        <v>607</v>
      </c>
      <c r="B24" s="7" t="s">
        <v>606</v>
      </c>
      <c r="C24" s="7"/>
      <c r="D24" s="7"/>
      <c r="E24" s="7"/>
      <c r="F24" s="7" t="s">
        <v>605</v>
      </c>
      <c r="G24" s="7"/>
      <c r="H24" s="7"/>
      <c r="I24" s="7"/>
      <c r="J24" s="7"/>
      <c r="K24" s="7"/>
      <c r="L24" s="7"/>
      <c r="M24" s="7"/>
      <c r="N24" s="7"/>
      <c r="O24" s="7"/>
      <c r="P24" s="7"/>
      <c r="Q24" s="7"/>
      <c r="R24" s="7"/>
      <c r="S24" s="7"/>
      <c r="T24" s="7"/>
      <c r="U24" s="7"/>
      <c r="V24" s="32"/>
    </row>
    <row r="25" spans="1:22" ht="30">
      <c r="A25" s="8" t="s">
        <v>607</v>
      </c>
      <c r="B25" s="7" t="s">
        <v>442</v>
      </c>
      <c r="C25" s="7"/>
      <c r="D25" s="7"/>
      <c r="E25" s="7"/>
      <c r="F25" s="7"/>
      <c r="G25" s="7"/>
      <c r="H25" s="7" t="s">
        <v>450</v>
      </c>
      <c r="I25" s="7">
        <v>5</v>
      </c>
      <c r="J25" s="7"/>
      <c r="K25" s="7"/>
      <c r="L25" s="7" t="s">
        <v>956</v>
      </c>
      <c r="M25" s="7"/>
      <c r="N25" s="7"/>
      <c r="O25" s="7" t="s">
        <v>448</v>
      </c>
      <c r="P25" s="7"/>
      <c r="Q25" s="7"/>
      <c r="R25" s="7"/>
      <c r="S25" s="7"/>
      <c r="T25" s="7"/>
      <c r="U25" s="7"/>
      <c r="V25" s="32"/>
    </row>
    <row r="26" spans="1:22" ht="20.25">
      <c r="A26" s="8" t="s">
        <v>607</v>
      </c>
      <c r="B26" s="7" t="s">
        <v>850</v>
      </c>
      <c r="C26" s="7"/>
      <c r="D26" s="7"/>
      <c r="E26" s="7"/>
      <c r="F26" s="7"/>
      <c r="G26" s="7" t="s">
        <v>852</v>
      </c>
      <c r="H26" s="7" t="s">
        <v>846</v>
      </c>
      <c r="I26" s="7">
        <v>10</v>
      </c>
      <c r="J26" s="7"/>
      <c r="K26" s="7"/>
      <c r="L26" s="7" t="s">
        <v>851</v>
      </c>
      <c r="M26" s="7"/>
      <c r="N26" s="7"/>
      <c r="O26" s="7"/>
      <c r="P26" s="7"/>
      <c r="Q26" s="7"/>
      <c r="R26" s="7"/>
      <c r="S26" s="7"/>
      <c r="T26" s="7"/>
      <c r="U26" s="7"/>
      <c r="V26" s="32"/>
    </row>
    <row r="27" spans="1:22" ht="30">
      <c r="A27" s="8" t="s">
        <v>607</v>
      </c>
      <c r="B27" s="7" t="s">
        <v>741</v>
      </c>
      <c r="C27" s="7"/>
      <c r="D27" s="7"/>
      <c r="E27" s="7"/>
      <c r="F27" s="7" t="s">
        <v>608</v>
      </c>
      <c r="G27" s="7"/>
      <c r="H27" s="7"/>
      <c r="I27" s="7"/>
      <c r="J27" s="7"/>
      <c r="K27" s="7"/>
      <c r="L27" s="7"/>
      <c r="M27" s="7"/>
      <c r="N27" s="7"/>
      <c r="O27" s="7"/>
      <c r="P27" s="7"/>
      <c r="Q27" s="7"/>
      <c r="R27" s="7"/>
      <c r="S27" s="7"/>
      <c r="T27" s="7"/>
      <c r="U27" s="7"/>
      <c r="V27" s="32"/>
    </row>
    <row r="28" spans="1:22" ht="26.25">
      <c r="A28" s="4" t="s">
        <v>609</v>
      </c>
      <c r="B28" s="3" t="s">
        <v>744</v>
      </c>
      <c r="C28" s="3"/>
      <c r="D28" s="3"/>
      <c r="E28" s="3"/>
      <c r="F28" s="3" t="s">
        <v>619</v>
      </c>
      <c r="G28" s="3"/>
      <c r="H28" s="3"/>
      <c r="I28" s="3"/>
      <c r="J28" s="3"/>
      <c r="K28" s="3"/>
      <c r="L28" s="3"/>
      <c r="M28" s="3"/>
      <c r="N28" s="3"/>
      <c r="O28" s="3"/>
      <c r="P28" s="3"/>
      <c r="Q28" s="3"/>
      <c r="R28" s="3"/>
      <c r="S28" s="3"/>
      <c r="T28" s="3"/>
      <c r="U28" s="3"/>
      <c r="V28" s="33"/>
    </row>
    <row r="29" spans="1:22" ht="26.25">
      <c r="A29" s="4" t="s">
        <v>609</v>
      </c>
      <c r="B29" s="3" t="s">
        <v>615</v>
      </c>
      <c r="C29" s="3"/>
      <c r="D29" s="3"/>
      <c r="E29" s="3"/>
      <c r="F29" s="3" t="s">
        <v>296</v>
      </c>
      <c r="G29" s="3"/>
      <c r="H29" s="3"/>
      <c r="I29" s="3"/>
      <c r="J29" s="3"/>
      <c r="K29" s="3"/>
      <c r="L29" s="3"/>
      <c r="M29" s="3" t="s">
        <v>299</v>
      </c>
      <c r="N29" s="3"/>
      <c r="O29" s="3"/>
      <c r="P29" s="3"/>
      <c r="Q29" s="3"/>
      <c r="R29" s="3"/>
      <c r="S29" s="3"/>
      <c r="T29" s="3"/>
      <c r="U29" s="3"/>
      <c r="V29" s="33"/>
    </row>
    <row r="30" spans="1:22" ht="30">
      <c r="A30" s="4" t="s">
        <v>609</v>
      </c>
      <c r="B30" s="3" t="s">
        <v>611</v>
      </c>
      <c r="C30" s="3"/>
      <c r="D30" s="3"/>
      <c r="E30" s="3"/>
      <c r="F30" s="3" t="s">
        <v>610</v>
      </c>
      <c r="G30" s="3"/>
      <c r="H30" s="3"/>
      <c r="I30" s="3"/>
      <c r="J30" s="3"/>
      <c r="K30" s="3"/>
      <c r="L30" s="3"/>
      <c r="M30" s="3"/>
      <c r="N30" s="3"/>
      <c r="O30" s="3"/>
      <c r="P30" s="3"/>
      <c r="Q30" s="3"/>
      <c r="R30" s="3"/>
      <c r="S30" s="3"/>
      <c r="T30" s="3"/>
      <c r="U30" s="3"/>
      <c r="V30" s="33"/>
    </row>
    <row r="31" spans="1:22" ht="30">
      <c r="A31" s="4" t="s">
        <v>609</v>
      </c>
      <c r="B31" s="3" t="s">
        <v>606</v>
      </c>
      <c r="C31" s="3"/>
      <c r="D31" s="3"/>
      <c r="E31" s="3"/>
      <c r="F31" s="3" t="s">
        <v>616</v>
      </c>
      <c r="G31" s="3"/>
      <c r="H31" s="3"/>
      <c r="I31" s="3"/>
      <c r="J31" s="3"/>
      <c r="K31" s="3"/>
      <c r="L31" s="3"/>
      <c r="M31" s="3"/>
      <c r="N31" s="3"/>
      <c r="O31" s="3"/>
      <c r="P31" s="3" t="s">
        <v>742</v>
      </c>
      <c r="Q31" s="3"/>
      <c r="R31" s="3"/>
      <c r="S31" s="3"/>
      <c r="T31" s="3"/>
      <c r="U31" s="3"/>
      <c r="V31" s="33"/>
    </row>
    <row r="32" spans="1:22" ht="40.5">
      <c r="A32" s="4" t="s">
        <v>609</v>
      </c>
      <c r="B32" s="3" t="s">
        <v>297</v>
      </c>
      <c r="C32" s="3"/>
      <c r="D32" s="3"/>
      <c r="E32" s="3"/>
      <c r="F32" s="3" t="s">
        <v>295</v>
      </c>
      <c r="G32" s="3"/>
      <c r="H32" s="3"/>
      <c r="I32" s="3"/>
      <c r="J32" s="3"/>
      <c r="K32" s="3"/>
      <c r="L32" s="3"/>
      <c r="M32" s="3" t="s">
        <v>298</v>
      </c>
      <c r="N32" s="3"/>
      <c r="O32" s="3"/>
      <c r="P32" s="3"/>
      <c r="Q32" s="3"/>
      <c r="R32" s="3"/>
      <c r="S32" s="3"/>
      <c r="T32" s="3"/>
      <c r="U32" s="3"/>
      <c r="V32" s="33"/>
    </row>
    <row r="33" spans="1:22" ht="26.25">
      <c r="A33" s="4" t="s">
        <v>609</v>
      </c>
      <c r="B33" s="3" t="s">
        <v>883</v>
      </c>
      <c r="C33" s="3"/>
      <c r="D33" s="3"/>
      <c r="E33" s="3"/>
      <c r="F33" s="3"/>
      <c r="G33" s="3"/>
      <c r="H33" s="3" t="s">
        <v>884</v>
      </c>
      <c r="I33" s="3">
        <v>5</v>
      </c>
      <c r="J33" s="3"/>
      <c r="K33" s="3"/>
      <c r="L33" s="3" t="s">
        <v>885</v>
      </c>
      <c r="M33" s="3" t="s">
        <v>886</v>
      </c>
      <c r="N33" s="3"/>
      <c r="O33" s="3"/>
      <c r="P33" s="3"/>
      <c r="Q33" s="3"/>
      <c r="R33" s="3"/>
      <c r="S33" s="3"/>
      <c r="T33" s="3"/>
      <c r="U33" s="3"/>
      <c r="V33" s="33"/>
    </row>
    <row r="34" spans="1:22" ht="40.5">
      <c r="A34" s="4" t="s">
        <v>609</v>
      </c>
      <c r="B34" s="3" t="s">
        <v>623</v>
      </c>
      <c r="C34" s="3"/>
      <c r="D34" s="3"/>
      <c r="E34" s="3" t="s">
        <v>622</v>
      </c>
      <c r="F34" s="3"/>
      <c r="G34" s="3"/>
      <c r="H34" s="3"/>
      <c r="I34" s="3"/>
      <c r="J34" s="3"/>
      <c r="K34" s="3"/>
      <c r="L34" s="3"/>
      <c r="M34" s="3"/>
      <c r="N34" s="3"/>
      <c r="O34" s="3"/>
      <c r="P34" s="3"/>
      <c r="Q34" s="3"/>
      <c r="R34" s="3"/>
      <c r="S34" s="3"/>
      <c r="T34" s="3"/>
      <c r="U34" s="3"/>
      <c r="V34" s="33"/>
    </row>
    <row r="35" spans="1:22" ht="26.25">
      <c r="A35" s="4" t="s">
        <v>609</v>
      </c>
      <c r="B35" s="3" t="s">
        <v>743</v>
      </c>
      <c r="C35" s="3"/>
      <c r="D35" s="3"/>
      <c r="E35" s="3"/>
      <c r="F35" s="3" t="s">
        <v>618</v>
      </c>
      <c r="G35" s="3"/>
      <c r="H35" s="3"/>
      <c r="I35" s="3"/>
      <c r="J35" s="3"/>
      <c r="K35" s="3"/>
      <c r="L35" s="3"/>
      <c r="M35" s="3"/>
      <c r="N35" s="3"/>
      <c r="O35" s="3"/>
      <c r="P35" s="3"/>
      <c r="Q35" s="3"/>
      <c r="R35" s="3"/>
      <c r="S35" s="3"/>
      <c r="T35" s="3"/>
      <c r="U35" s="3"/>
      <c r="V35" s="33"/>
    </row>
    <row r="36" spans="1:22" ht="26.25">
      <c r="A36" s="4" t="s">
        <v>609</v>
      </c>
      <c r="B36" s="3" t="s">
        <v>614</v>
      </c>
      <c r="C36" s="3"/>
      <c r="D36" s="3"/>
      <c r="E36" s="3"/>
      <c r="F36" s="3" t="s">
        <v>612</v>
      </c>
      <c r="G36" s="3"/>
      <c r="H36" s="3"/>
      <c r="I36" s="3"/>
      <c r="J36" s="3"/>
      <c r="K36" s="3"/>
      <c r="L36" s="3"/>
      <c r="M36" s="3"/>
      <c r="N36" s="3"/>
      <c r="O36" s="3"/>
      <c r="P36" s="3"/>
      <c r="Q36" s="3"/>
      <c r="R36" s="3"/>
      <c r="S36" s="3"/>
      <c r="T36" s="3"/>
      <c r="U36" s="3"/>
      <c r="V36" s="33"/>
    </row>
    <row r="37" spans="1:22" ht="40.5">
      <c r="A37" s="4" t="s">
        <v>609</v>
      </c>
      <c r="B37" s="3" t="s">
        <v>442</v>
      </c>
      <c r="C37" s="3"/>
      <c r="D37" s="3"/>
      <c r="E37" s="3"/>
      <c r="F37" s="3"/>
      <c r="G37" s="3"/>
      <c r="H37" s="3"/>
      <c r="I37" s="3"/>
      <c r="J37" s="3"/>
      <c r="K37" s="3"/>
      <c r="L37" s="38" t="s">
        <v>178</v>
      </c>
      <c r="M37" s="3"/>
      <c r="N37" s="3"/>
      <c r="O37" s="3" t="s">
        <v>444</v>
      </c>
      <c r="P37" s="3"/>
      <c r="Q37" s="3"/>
      <c r="R37" s="3"/>
      <c r="S37" s="3"/>
      <c r="T37" s="3"/>
      <c r="U37" s="3"/>
      <c r="V37" s="33"/>
    </row>
    <row r="38" spans="1:22" ht="26.25">
      <c r="A38" s="4" t="s">
        <v>609</v>
      </c>
      <c r="B38" s="3" t="s">
        <v>745</v>
      </c>
      <c r="C38" s="3"/>
      <c r="D38" s="3"/>
      <c r="E38" s="3"/>
      <c r="F38" s="3" t="s">
        <v>620</v>
      </c>
      <c r="G38" s="3"/>
      <c r="H38" s="3"/>
      <c r="I38" s="3"/>
      <c r="J38" s="3"/>
      <c r="K38" s="3"/>
      <c r="L38" s="3"/>
      <c r="M38" s="3"/>
      <c r="N38" s="3"/>
      <c r="O38" s="3"/>
      <c r="P38" s="3"/>
      <c r="Q38" s="3"/>
      <c r="R38" s="3"/>
      <c r="S38" s="3"/>
      <c r="T38" s="3"/>
      <c r="U38" s="3"/>
      <c r="V38" s="33"/>
    </row>
    <row r="39" spans="1:22" ht="26.25">
      <c r="A39" s="4" t="s">
        <v>609</v>
      </c>
      <c r="B39" s="3" t="s">
        <v>746</v>
      </c>
      <c r="C39" s="3"/>
      <c r="D39" s="3"/>
      <c r="E39" s="3"/>
      <c r="F39" s="3" t="s">
        <v>621</v>
      </c>
      <c r="G39" s="3"/>
      <c r="H39" s="3"/>
      <c r="I39" s="3"/>
      <c r="J39" s="3"/>
      <c r="K39" s="3"/>
      <c r="L39" s="3"/>
      <c r="M39" s="3"/>
      <c r="N39" s="3"/>
      <c r="O39" s="3"/>
      <c r="P39" s="3"/>
      <c r="Q39" s="3"/>
      <c r="R39" s="3"/>
      <c r="S39" s="3"/>
      <c r="T39" s="3"/>
      <c r="U39" s="3"/>
      <c r="V39" s="33"/>
    </row>
    <row r="40" spans="1:22" ht="26.25">
      <c r="A40" s="4" t="s">
        <v>609</v>
      </c>
      <c r="B40" s="3" t="s">
        <v>617</v>
      </c>
      <c r="C40" s="3"/>
      <c r="D40" s="3"/>
      <c r="E40" s="3"/>
      <c r="F40" s="3"/>
      <c r="G40" s="3"/>
      <c r="H40" s="3"/>
      <c r="I40" s="3"/>
      <c r="J40" s="3"/>
      <c r="K40" s="3"/>
      <c r="L40" s="3"/>
      <c r="M40" s="3"/>
      <c r="N40" s="3"/>
      <c r="O40" s="3"/>
      <c r="P40" s="3">
        <v>0.05</v>
      </c>
      <c r="Q40" s="3"/>
      <c r="R40" s="3"/>
      <c r="S40" s="3"/>
      <c r="T40" s="3"/>
      <c r="U40" s="3"/>
      <c r="V40" s="33"/>
    </row>
    <row r="41" spans="1:22" ht="12.75">
      <c r="A41" s="8" t="s">
        <v>624</v>
      </c>
      <c r="B41" s="7"/>
      <c r="C41" s="7"/>
      <c r="D41" s="7"/>
      <c r="E41" s="7"/>
      <c r="F41" s="7"/>
      <c r="G41" s="7"/>
      <c r="H41" s="7"/>
      <c r="I41" s="7"/>
      <c r="J41" s="7"/>
      <c r="K41" s="7"/>
      <c r="L41" s="7"/>
      <c r="M41" s="7"/>
      <c r="N41" s="7"/>
      <c r="O41" s="7"/>
      <c r="P41" s="7"/>
      <c r="Q41" s="7"/>
      <c r="R41" s="7"/>
      <c r="S41" s="7"/>
      <c r="T41" s="7"/>
      <c r="U41" s="7"/>
      <c r="V41" s="32"/>
    </row>
    <row r="42" spans="1:22" ht="71.25">
      <c r="A42" s="4" t="s">
        <v>625</v>
      </c>
      <c r="B42" s="3" t="s">
        <v>794</v>
      </c>
      <c r="C42" s="3"/>
      <c r="D42" s="3"/>
      <c r="E42" s="3"/>
      <c r="F42" s="3" t="s">
        <v>626</v>
      </c>
      <c r="G42" s="3"/>
      <c r="H42" s="3"/>
      <c r="I42" s="3"/>
      <c r="J42" s="3"/>
      <c r="K42" s="3"/>
      <c r="L42" s="3"/>
      <c r="M42" s="3"/>
      <c r="N42" s="3"/>
      <c r="O42" s="3"/>
      <c r="P42" s="3" t="s">
        <v>613</v>
      </c>
      <c r="Q42" s="3"/>
      <c r="R42" s="3"/>
      <c r="S42" s="3"/>
      <c r="T42" s="3"/>
      <c r="U42" s="3"/>
      <c r="V42" s="33"/>
    </row>
    <row r="43" spans="1:22" ht="30">
      <c r="A43" s="4" t="s">
        <v>625</v>
      </c>
      <c r="B43" s="3" t="s">
        <v>442</v>
      </c>
      <c r="C43" s="3"/>
      <c r="D43" s="3"/>
      <c r="E43" s="3"/>
      <c r="F43" s="3"/>
      <c r="G43" s="3" t="s">
        <v>443</v>
      </c>
      <c r="H43" s="3" t="s">
        <v>456</v>
      </c>
      <c r="I43" s="3">
        <v>8</v>
      </c>
      <c r="J43" s="3"/>
      <c r="K43" s="3"/>
      <c r="L43" s="3" t="s">
        <v>455</v>
      </c>
      <c r="M43" s="3" t="s">
        <v>931</v>
      </c>
      <c r="N43" s="3"/>
      <c r="O43" s="3">
        <v>0.46</v>
      </c>
      <c r="P43" s="3"/>
      <c r="Q43" s="3"/>
      <c r="R43" s="3"/>
      <c r="S43" s="3"/>
      <c r="T43" s="3"/>
      <c r="U43" s="3"/>
      <c r="V43" s="33"/>
    </row>
    <row r="44" spans="1:22" ht="30">
      <c r="A44" s="4" t="s">
        <v>625</v>
      </c>
      <c r="B44" s="3" t="s">
        <v>495</v>
      </c>
      <c r="C44" s="5">
        <v>0.037</v>
      </c>
      <c r="D44" s="3"/>
      <c r="E44" s="3">
        <v>0.899</v>
      </c>
      <c r="F44" s="3">
        <v>0.945</v>
      </c>
      <c r="G44" s="3"/>
      <c r="H44" s="3" t="s">
        <v>456</v>
      </c>
      <c r="I44" s="3">
        <v>8</v>
      </c>
      <c r="J44" s="3"/>
      <c r="K44" s="3"/>
      <c r="L44" s="3" t="s">
        <v>496</v>
      </c>
      <c r="M44" s="3"/>
      <c r="N44" s="3"/>
      <c r="O44" s="3">
        <v>0.467</v>
      </c>
      <c r="P44" s="3"/>
      <c r="Q44" s="3"/>
      <c r="R44" s="3"/>
      <c r="S44" s="3"/>
      <c r="T44" s="3"/>
      <c r="U44" s="3"/>
      <c r="V44" s="33"/>
    </row>
    <row r="45" spans="1:22" ht="122.25">
      <c r="A45" s="4" t="s">
        <v>625</v>
      </c>
      <c r="B45" s="3" t="s">
        <v>853</v>
      </c>
      <c r="C45" s="3"/>
      <c r="D45" s="3"/>
      <c r="E45" s="3"/>
      <c r="F45" s="3"/>
      <c r="G45" s="3" t="s">
        <v>857</v>
      </c>
      <c r="H45" s="3" t="s">
        <v>854</v>
      </c>
      <c r="I45" s="3">
        <v>8</v>
      </c>
      <c r="J45" s="3"/>
      <c r="K45" s="3"/>
      <c r="L45" s="3" t="s">
        <v>856</v>
      </c>
      <c r="M45" s="3"/>
      <c r="N45" s="3"/>
      <c r="O45" s="3" t="s">
        <v>855</v>
      </c>
      <c r="P45" s="3"/>
      <c r="Q45" s="3"/>
      <c r="R45" s="3"/>
      <c r="S45" s="3"/>
      <c r="T45" s="3"/>
      <c r="U45" s="3"/>
      <c r="V45" s="33"/>
    </row>
    <row r="46" spans="1:22" ht="20.25">
      <c r="A46" s="4" t="s">
        <v>625</v>
      </c>
      <c r="B46" s="3" t="s">
        <v>863</v>
      </c>
      <c r="C46" s="3"/>
      <c r="D46" s="3"/>
      <c r="E46" s="3"/>
      <c r="F46" s="3"/>
      <c r="G46" s="3" t="s">
        <v>864</v>
      </c>
      <c r="H46" s="3"/>
      <c r="I46" s="3"/>
      <c r="J46" s="3"/>
      <c r="K46" s="3"/>
      <c r="L46" s="3"/>
      <c r="M46" s="3"/>
      <c r="N46" s="3"/>
      <c r="O46" s="3"/>
      <c r="P46" s="3" t="s">
        <v>865</v>
      </c>
      <c r="Q46" s="3"/>
      <c r="R46" s="3"/>
      <c r="S46" s="3"/>
      <c r="T46" s="3"/>
      <c r="U46" s="3"/>
      <c r="V46" s="33"/>
    </row>
    <row r="47" spans="1:22" ht="30">
      <c r="A47" s="8" t="s">
        <v>627</v>
      </c>
      <c r="B47" s="7" t="s">
        <v>60</v>
      </c>
      <c r="C47" s="7"/>
      <c r="D47" s="7"/>
      <c r="E47" s="7"/>
      <c r="F47" s="7"/>
      <c r="G47" s="7"/>
      <c r="H47" s="7" t="s">
        <v>63</v>
      </c>
      <c r="I47" s="7">
        <v>20</v>
      </c>
      <c r="J47" s="7"/>
      <c r="K47" s="7"/>
      <c r="L47" s="7"/>
      <c r="M47" s="7"/>
      <c r="N47" s="7"/>
      <c r="O47" s="7"/>
      <c r="P47" s="7"/>
      <c r="Q47" s="7"/>
      <c r="R47" s="7">
        <v>120</v>
      </c>
      <c r="S47" s="7"/>
      <c r="T47" s="7"/>
      <c r="U47" s="7"/>
      <c r="V47" s="32"/>
    </row>
    <row r="48" spans="1:22" ht="12.75">
      <c r="A48" s="8" t="s">
        <v>627</v>
      </c>
      <c r="B48" s="7" t="s">
        <v>61</v>
      </c>
      <c r="C48" s="7"/>
      <c r="D48" s="7"/>
      <c r="E48" s="7"/>
      <c r="F48" s="7"/>
      <c r="G48" s="7"/>
      <c r="H48" s="7"/>
      <c r="I48" s="7"/>
      <c r="J48" s="7"/>
      <c r="K48" s="7"/>
      <c r="L48" s="7"/>
      <c r="M48" s="7"/>
      <c r="N48" s="7"/>
      <c r="O48" s="7"/>
      <c r="P48" s="7"/>
      <c r="Q48" s="7"/>
      <c r="R48" s="7"/>
      <c r="S48" s="7"/>
      <c r="T48" s="7"/>
      <c r="U48" s="7"/>
      <c r="V48" s="32"/>
    </row>
    <row r="49" spans="1:22" ht="12.75">
      <c r="A49" s="8" t="s">
        <v>627</v>
      </c>
      <c r="B49" s="7" t="s">
        <v>108</v>
      </c>
      <c r="C49" s="10"/>
      <c r="D49" s="7"/>
      <c r="E49" s="7"/>
      <c r="F49" s="7"/>
      <c r="G49" s="7"/>
      <c r="H49" s="7"/>
      <c r="I49" s="7"/>
      <c r="J49" s="7"/>
      <c r="K49" s="7"/>
      <c r="L49" s="7" t="s">
        <v>109</v>
      </c>
      <c r="M49" s="7"/>
      <c r="N49" s="7"/>
      <c r="O49" s="7"/>
      <c r="P49" s="7"/>
      <c r="Q49" s="7"/>
      <c r="R49" s="7"/>
      <c r="S49" s="7"/>
      <c r="T49" s="7"/>
      <c r="U49" s="7"/>
      <c r="V49" s="32"/>
    </row>
    <row r="50" spans="1:22" ht="30">
      <c r="A50" s="8" t="s">
        <v>627</v>
      </c>
      <c r="B50" s="7" t="s">
        <v>442</v>
      </c>
      <c r="C50" s="10"/>
      <c r="D50" s="7"/>
      <c r="E50" s="7"/>
      <c r="F50" s="7"/>
      <c r="G50" s="7"/>
      <c r="H50" s="7" t="s">
        <v>908</v>
      </c>
      <c r="I50" s="7">
        <v>4</v>
      </c>
      <c r="J50" s="7"/>
      <c r="K50" s="7"/>
      <c r="L50" s="7"/>
      <c r="M50" s="7" t="s">
        <v>916</v>
      </c>
      <c r="N50" s="7"/>
      <c r="O50" s="7">
        <v>0.31</v>
      </c>
      <c r="P50" s="7"/>
      <c r="Q50" s="7"/>
      <c r="R50" s="7"/>
      <c r="S50" s="7"/>
      <c r="T50" s="7"/>
      <c r="U50" s="7"/>
      <c r="V50" s="32"/>
    </row>
    <row r="51" spans="1:22" ht="30">
      <c r="A51" s="8" t="s">
        <v>627</v>
      </c>
      <c r="B51" s="7" t="s">
        <v>326</v>
      </c>
      <c r="C51" s="10"/>
      <c r="D51" s="7"/>
      <c r="E51" s="7"/>
      <c r="F51" s="7"/>
      <c r="G51" s="7"/>
      <c r="H51" s="7"/>
      <c r="I51" s="7"/>
      <c r="J51" s="7"/>
      <c r="K51" s="7"/>
      <c r="L51" s="7"/>
      <c r="M51" s="7" t="s">
        <v>327</v>
      </c>
      <c r="N51" s="7"/>
      <c r="O51" s="7"/>
      <c r="P51" s="7"/>
      <c r="Q51" s="7"/>
      <c r="R51" s="7"/>
      <c r="S51" s="7"/>
      <c r="T51" s="7"/>
      <c r="U51" s="7"/>
      <c r="V51" s="32"/>
    </row>
    <row r="52" spans="1:22" ht="30">
      <c r="A52" s="8" t="s">
        <v>627</v>
      </c>
      <c r="B52" s="7" t="s">
        <v>925</v>
      </c>
      <c r="C52" s="7"/>
      <c r="D52" s="7"/>
      <c r="E52" s="7"/>
      <c r="F52" s="7"/>
      <c r="G52" s="7"/>
      <c r="H52" s="7"/>
      <c r="I52" s="7"/>
      <c r="J52" s="7"/>
      <c r="K52" s="7"/>
      <c r="L52" s="7" t="s">
        <v>926</v>
      </c>
      <c r="M52" s="7" t="s">
        <v>928</v>
      </c>
      <c r="N52" s="7"/>
      <c r="O52" s="7" t="s">
        <v>927</v>
      </c>
      <c r="P52" s="7"/>
      <c r="Q52" s="7"/>
      <c r="R52" s="7"/>
      <c r="S52" s="7"/>
      <c r="T52" s="7"/>
      <c r="U52" s="7" t="s">
        <v>929</v>
      </c>
      <c r="V52" s="32"/>
    </row>
    <row r="53" spans="1:22" ht="12.75">
      <c r="A53" s="8" t="s">
        <v>627</v>
      </c>
      <c r="B53" s="7" t="s">
        <v>106</v>
      </c>
      <c r="C53" s="10">
        <v>0.02</v>
      </c>
      <c r="D53" s="7"/>
      <c r="E53" s="7"/>
      <c r="F53" s="7"/>
      <c r="G53" s="7"/>
      <c r="H53" s="7"/>
      <c r="I53" s="7"/>
      <c r="J53" s="7"/>
      <c r="K53" s="7"/>
      <c r="L53" s="7"/>
      <c r="M53" s="7"/>
      <c r="N53" s="7"/>
      <c r="O53" s="7"/>
      <c r="P53" s="7"/>
      <c r="Q53" s="7"/>
      <c r="R53" s="7"/>
      <c r="S53" s="7"/>
      <c r="T53" s="7"/>
      <c r="U53" s="7"/>
      <c r="V53" s="32"/>
    </row>
    <row r="54" spans="1:22" ht="12.75">
      <c r="A54" s="8" t="s">
        <v>627</v>
      </c>
      <c r="B54" s="7" t="s">
        <v>62</v>
      </c>
      <c r="C54" s="7"/>
      <c r="D54" s="7"/>
      <c r="E54" s="7"/>
      <c r="F54" s="7"/>
      <c r="G54" s="7"/>
      <c r="H54" s="7"/>
      <c r="I54" s="7"/>
      <c r="J54" s="7"/>
      <c r="K54" s="7"/>
      <c r="L54" s="7"/>
      <c r="M54" s="7"/>
      <c r="N54" s="7"/>
      <c r="O54" s="7"/>
      <c r="P54" s="7"/>
      <c r="Q54" s="7"/>
      <c r="R54" s="7"/>
      <c r="S54" s="7"/>
      <c r="T54" s="7"/>
      <c r="U54" s="7"/>
      <c r="V54" s="32"/>
    </row>
    <row r="55" spans="1:22" ht="30">
      <c r="A55" s="8" t="s">
        <v>627</v>
      </c>
      <c r="B55" s="7" t="s">
        <v>104</v>
      </c>
      <c r="C55" s="7" t="s">
        <v>105</v>
      </c>
      <c r="D55" s="7"/>
      <c r="E55" s="7"/>
      <c r="F55" s="7"/>
      <c r="G55" s="7"/>
      <c r="H55" s="7"/>
      <c r="I55" s="7"/>
      <c r="J55" s="7"/>
      <c r="K55" s="7"/>
      <c r="L55" s="7" t="s">
        <v>107</v>
      </c>
      <c r="M55" s="7"/>
      <c r="N55" s="7"/>
      <c r="O55" s="7"/>
      <c r="P55" s="7"/>
      <c r="Q55" s="7"/>
      <c r="R55" s="7"/>
      <c r="S55" s="7"/>
      <c r="T55" s="7"/>
      <c r="U55" s="7"/>
      <c r="V55" s="32"/>
    </row>
    <row r="56" spans="1:22" ht="12.75">
      <c r="A56" s="8" t="s">
        <v>627</v>
      </c>
      <c r="B56" s="7" t="s">
        <v>747</v>
      </c>
      <c r="C56" s="7"/>
      <c r="D56" s="7"/>
      <c r="E56" s="7"/>
      <c r="F56" s="7">
        <v>0.98</v>
      </c>
      <c r="G56" s="7"/>
      <c r="H56" s="7"/>
      <c r="I56" s="7"/>
      <c r="J56" s="7"/>
      <c r="K56" s="7"/>
      <c r="L56" s="7"/>
      <c r="M56" s="7"/>
      <c r="N56" s="7"/>
      <c r="O56" s="7"/>
      <c r="P56" s="7"/>
      <c r="Q56" s="7"/>
      <c r="R56" s="7"/>
      <c r="S56" s="7"/>
      <c r="T56" s="7"/>
      <c r="U56" s="7"/>
      <c r="V56" s="32"/>
    </row>
    <row r="57" spans="1:22" ht="12.75">
      <c r="A57" s="4" t="s">
        <v>628</v>
      </c>
      <c r="B57" s="3" t="s">
        <v>281</v>
      </c>
      <c r="C57" s="3"/>
      <c r="D57" s="3"/>
      <c r="E57" s="3"/>
      <c r="F57" s="3"/>
      <c r="G57" s="3"/>
      <c r="H57" s="3"/>
      <c r="I57" s="3"/>
      <c r="J57" s="3"/>
      <c r="K57" s="3"/>
      <c r="L57" s="3"/>
      <c r="M57" s="3" t="s">
        <v>282</v>
      </c>
      <c r="N57" s="3"/>
      <c r="O57" s="3"/>
      <c r="P57" s="3"/>
      <c r="Q57" s="3"/>
      <c r="R57" s="3"/>
      <c r="S57" s="3"/>
      <c r="T57" s="3"/>
      <c r="U57" s="3"/>
      <c r="V57" s="33"/>
    </row>
    <row r="58" spans="1:22" ht="30">
      <c r="A58" s="4" t="s">
        <v>628</v>
      </c>
      <c r="B58" s="3" t="s">
        <v>288</v>
      </c>
      <c r="C58" s="3" t="s">
        <v>293</v>
      </c>
      <c r="D58" s="3"/>
      <c r="E58" s="3" t="s">
        <v>291</v>
      </c>
      <c r="F58" s="3" t="s">
        <v>292</v>
      </c>
      <c r="G58" s="3"/>
      <c r="H58" s="3"/>
      <c r="I58" s="3">
        <v>7</v>
      </c>
      <c r="J58" s="3"/>
      <c r="K58" s="3" t="s">
        <v>290</v>
      </c>
      <c r="L58" s="3"/>
      <c r="M58" s="3" t="s">
        <v>289</v>
      </c>
      <c r="N58" s="3"/>
      <c r="O58" s="3"/>
      <c r="P58" s="3">
        <v>0.16</v>
      </c>
      <c r="Q58" s="3"/>
      <c r="R58" s="3"/>
      <c r="S58" s="3"/>
      <c r="T58" s="3"/>
      <c r="U58" s="3"/>
      <c r="V58" s="33"/>
    </row>
    <row r="59" spans="1:22" ht="81">
      <c r="A59" s="4" t="s">
        <v>628</v>
      </c>
      <c r="B59" s="3" t="s">
        <v>828</v>
      </c>
      <c r="C59" s="3" t="s">
        <v>829</v>
      </c>
      <c r="D59" s="3"/>
      <c r="E59" s="3"/>
      <c r="F59" s="3"/>
      <c r="G59" s="3" t="s">
        <v>831</v>
      </c>
      <c r="H59" s="3"/>
      <c r="I59" s="3"/>
      <c r="J59" s="3"/>
      <c r="K59" s="3"/>
      <c r="L59" s="3"/>
      <c r="M59" s="3" t="s">
        <v>830</v>
      </c>
      <c r="N59" s="3"/>
      <c r="O59" s="3"/>
      <c r="P59" s="3"/>
      <c r="Q59" s="3"/>
      <c r="R59" s="3"/>
      <c r="S59" s="3"/>
      <c r="T59" s="3"/>
      <c r="U59" s="3"/>
      <c r="V59" s="33"/>
    </row>
    <row r="60" spans="1:22" ht="30">
      <c r="A60" s="4" t="s">
        <v>628</v>
      </c>
      <c r="B60" s="3" t="s">
        <v>905</v>
      </c>
      <c r="C60" s="3"/>
      <c r="D60" s="3"/>
      <c r="E60" s="3"/>
      <c r="F60" s="3"/>
      <c r="G60" s="3"/>
      <c r="H60" s="3"/>
      <c r="I60" s="3"/>
      <c r="J60" s="3"/>
      <c r="K60" s="3"/>
      <c r="L60" s="3" t="s">
        <v>906</v>
      </c>
      <c r="M60" s="3"/>
      <c r="N60" s="3"/>
      <c r="O60" s="3"/>
      <c r="P60" s="3"/>
      <c r="Q60" s="3"/>
      <c r="R60" s="3"/>
      <c r="S60" s="3"/>
      <c r="T60" s="3"/>
      <c r="U60" s="3"/>
      <c r="V60" s="33"/>
    </row>
    <row r="61" spans="1:22" ht="30">
      <c r="A61" s="4" t="s">
        <v>628</v>
      </c>
      <c r="B61" s="3" t="s">
        <v>279</v>
      </c>
      <c r="C61" s="3"/>
      <c r="D61" s="3"/>
      <c r="E61" s="3"/>
      <c r="F61" s="3"/>
      <c r="G61" s="3"/>
      <c r="H61" s="3"/>
      <c r="I61" s="3"/>
      <c r="J61" s="3"/>
      <c r="K61" s="3"/>
      <c r="L61" s="3"/>
      <c r="M61" s="3" t="s">
        <v>280</v>
      </c>
      <c r="N61" s="3"/>
      <c r="O61" s="3"/>
      <c r="P61" s="3"/>
      <c r="Q61" s="3"/>
      <c r="R61" s="3"/>
      <c r="S61" s="3"/>
      <c r="T61" s="3"/>
      <c r="U61" s="3"/>
      <c r="V61" s="33"/>
    </row>
    <row r="62" spans="1:22" ht="40.5">
      <c r="A62" s="4" t="s">
        <v>628</v>
      </c>
      <c r="B62" s="3" t="s">
        <v>283</v>
      </c>
      <c r="C62" s="5" t="s">
        <v>287</v>
      </c>
      <c r="D62" s="3"/>
      <c r="E62" s="3"/>
      <c r="F62" s="3"/>
      <c r="G62" s="3" t="s">
        <v>286</v>
      </c>
      <c r="H62" s="3"/>
      <c r="I62" s="3">
        <v>8</v>
      </c>
      <c r="J62" s="3"/>
      <c r="K62" s="3" t="s">
        <v>285</v>
      </c>
      <c r="L62" s="3"/>
      <c r="M62" s="3" t="s">
        <v>284</v>
      </c>
      <c r="N62" s="3"/>
      <c r="O62" s="3"/>
      <c r="P62" s="3"/>
      <c r="Q62" s="3"/>
      <c r="R62" s="3"/>
      <c r="S62" s="3"/>
      <c r="T62" s="3"/>
      <c r="U62" s="3"/>
      <c r="V62" s="33"/>
    </row>
    <row r="63" spans="1:22" ht="30">
      <c r="A63" s="4" t="s">
        <v>628</v>
      </c>
      <c r="B63" s="3" t="s">
        <v>442</v>
      </c>
      <c r="C63" s="5"/>
      <c r="D63" s="3"/>
      <c r="E63" s="3"/>
      <c r="F63" s="3"/>
      <c r="G63" s="3"/>
      <c r="H63" s="3"/>
      <c r="I63" s="3"/>
      <c r="J63" s="3"/>
      <c r="K63" s="3"/>
      <c r="L63" s="3" t="s">
        <v>21</v>
      </c>
      <c r="M63" s="3"/>
      <c r="N63" s="3"/>
      <c r="O63" s="3"/>
      <c r="P63" s="3"/>
      <c r="Q63" s="3"/>
      <c r="R63" s="3"/>
      <c r="S63" s="3"/>
      <c r="T63" s="3"/>
      <c r="U63" s="3"/>
      <c r="V63" s="33"/>
    </row>
    <row r="64" spans="1:22" ht="30">
      <c r="A64" s="8" t="s">
        <v>629</v>
      </c>
      <c r="B64" s="7" t="s">
        <v>748</v>
      </c>
      <c r="C64" s="7" t="s">
        <v>732</v>
      </c>
      <c r="D64" s="7"/>
      <c r="E64" s="7"/>
      <c r="F64" s="7" t="s">
        <v>731</v>
      </c>
      <c r="G64" s="7"/>
      <c r="H64" s="7"/>
      <c r="I64" s="7"/>
      <c r="J64" s="7"/>
      <c r="K64" s="7"/>
      <c r="L64" s="7"/>
      <c r="M64" s="7"/>
      <c r="N64" s="7"/>
      <c r="O64" s="7"/>
      <c r="P64" s="7"/>
      <c r="Q64" s="7"/>
      <c r="R64" s="7"/>
      <c r="S64" s="7"/>
      <c r="T64" s="7"/>
      <c r="U64" s="7"/>
      <c r="V64" s="32"/>
    </row>
    <row r="65" spans="1:22" ht="20.25">
      <c r="A65" s="8" t="s">
        <v>629</v>
      </c>
      <c r="B65" s="7" t="s">
        <v>426</v>
      </c>
      <c r="C65" s="7"/>
      <c r="D65" s="7" t="s">
        <v>427</v>
      </c>
      <c r="E65" s="7"/>
      <c r="F65" s="7"/>
      <c r="G65" s="7"/>
      <c r="H65" s="7"/>
      <c r="I65" s="7"/>
      <c r="J65" s="7"/>
      <c r="K65" s="7"/>
      <c r="L65" s="7"/>
      <c r="M65" s="7"/>
      <c r="N65" s="7"/>
      <c r="O65" s="7"/>
      <c r="P65" s="7"/>
      <c r="Q65" s="7"/>
      <c r="R65" s="7"/>
      <c r="S65" s="7"/>
      <c r="T65" s="7"/>
      <c r="U65" s="7"/>
      <c r="V65" s="7"/>
    </row>
    <row r="66" spans="1:22" ht="40.5">
      <c r="A66" s="8" t="s">
        <v>629</v>
      </c>
      <c r="B66" s="7" t="s">
        <v>791</v>
      </c>
      <c r="C66" s="7" t="s">
        <v>793</v>
      </c>
      <c r="D66" s="7"/>
      <c r="E66" s="7"/>
      <c r="F66" s="7"/>
      <c r="G66" s="7"/>
      <c r="H66" s="7"/>
      <c r="I66" s="7">
        <v>8</v>
      </c>
      <c r="J66" s="7"/>
      <c r="K66" s="7" t="s">
        <v>810</v>
      </c>
      <c r="L66" s="7"/>
      <c r="M66" s="7" t="s">
        <v>792</v>
      </c>
      <c r="N66" s="7"/>
      <c r="O66" s="7"/>
      <c r="P66" s="7"/>
      <c r="Q66" s="7"/>
      <c r="R66" s="7" t="s">
        <v>809</v>
      </c>
      <c r="S66" s="7"/>
      <c r="T66" s="7"/>
      <c r="U66" s="7"/>
      <c r="V66" s="32"/>
    </row>
    <row r="67" spans="1:22" ht="51">
      <c r="A67" s="8" t="s">
        <v>629</v>
      </c>
      <c r="B67" s="7" t="s">
        <v>811</v>
      </c>
      <c r="C67" s="7" t="s">
        <v>815</v>
      </c>
      <c r="D67" s="7"/>
      <c r="E67" s="7"/>
      <c r="F67" s="7"/>
      <c r="G67" s="7" t="s">
        <v>832</v>
      </c>
      <c r="H67" s="7"/>
      <c r="I67" s="7">
        <v>7</v>
      </c>
      <c r="J67" s="7"/>
      <c r="K67" s="7" t="s">
        <v>812</v>
      </c>
      <c r="L67" s="7"/>
      <c r="M67" s="7" t="s">
        <v>943</v>
      </c>
      <c r="N67" s="7"/>
      <c r="O67" s="7"/>
      <c r="P67" s="7"/>
      <c r="Q67" s="7"/>
      <c r="R67" s="7"/>
      <c r="S67" s="7"/>
      <c r="T67" s="7"/>
      <c r="U67" s="7" t="s">
        <v>814</v>
      </c>
      <c r="V67" s="32"/>
    </row>
    <row r="68" spans="1:22" ht="30">
      <c r="A68" s="8" t="s">
        <v>629</v>
      </c>
      <c r="B68" s="7" t="s">
        <v>843</v>
      </c>
      <c r="C68" s="7"/>
      <c r="D68" s="7"/>
      <c r="E68" s="7">
        <v>0.88</v>
      </c>
      <c r="F68" s="7"/>
      <c r="G68" s="7" t="s">
        <v>844</v>
      </c>
      <c r="H68" s="7"/>
      <c r="I68" s="7"/>
      <c r="J68" s="7"/>
      <c r="K68" s="7"/>
      <c r="L68" s="7"/>
      <c r="M68" s="7"/>
      <c r="N68" s="7"/>
      <c r="O68" s="7"/>
      <c r="P68" s="7"/>
      <c r="Q68" s="7"/>
      <c r="R68" s="7"/>
      <c r="S68" s="7"/>
      <c r="T68" s="7"/>
      <c r="U68" s="7"/>
      <c r="V68" s="32"/>
    </row>
    <row r="69" spans="1:22" ht="30">
      <c r="A69" s="8" t="s">
        <v>629</v>
      </c>
      <c r="B69" s="7" t="s">
        <v>940</v>
      </c>
      <c r="C69" s="7"/>
      <c r="D69" s="7"/>
      <c r="E69" s="7"/>
      <c r="F69" s="7"/>
      <c r="G69" s="7"/>
      <c r="H69" s="7"/>
      <c r="I69" s="7"/>
      <c r="J69" s="7"/>
      <c r="K69" s="7" t="s">
        <v>945</v>
      </c>
      <c r="L69" s="7"/>
      <c r="M69" s="7" t="s">
        <v>944</v>
      </c>
      <c r="N69" s="7"/>
      <c r="O69" s="7"/>
      <c r="P69" s="7" t="s">
        <v>947</v>
      </c>
      <c r="Q69" s="7"/>
      <c r="R69" s="7"/>
      <c r="S69" s="7"/>
      <c r="T69" s="7"/>
      <c r="U69" s="7" t="s">
        <v>946</v>
      </c>
      <c r="V69" s="7" t="s">
        <v>941</v>
      </c>
    </row>
    <row r="70" spans="1:22" ht="30">
      <c r="A70" s="8" t="s">
        <v>629</v>
      </c>
      <c r="B70" s="7" t="s">
        <v>442</v>
      </c>
      <c r="C70" s="7"/>
      <c r="D70" s="7"/>
      <c r="E70" s="7"/>
      <c r="F70" s="7"/>
      <c r="G70" s="7"/>
      <c r="H70" s="7"/>
      <c r="I70" s="7"/>
      <c r="J70" s="7"/>
      <c r="K70" s="7"/>
      <c r="L70" s="7" t="s">
        <v>21</v>
      </c>
      <c r="M70" s="7" t="s">
        <v>916</v>
      </c>
      <c r="N70" s="7"/>
      <c r="O70" s="7"/>
      <c r="P70" s="7"/>
      <c r="Q70" s="7"/>
      <c r="R70" s="7"/>
      <c r="S70" s="7"/>
      <c r="T70" s="7"/>
      <c r="U70" s="7"/>
      <c r="V70" s="7"/>
    </row>
    <row r="71" spans="1:22" ht="12.75">
      <c r="A71" s="4" t="s">
        <v>630</v>
      </c>
      <c r="B71" s="3"/>
      <c r="C71" s="3"/>
      <c r="D71" s="3"/>
      <c r="E71" s="3"/>
      <c r="F71" s="3"/>
      <c r="G71" s="3"/>
      <c r="H71" s="3"/>
      <c r="I71" s="3"/>
      <c r="J71" s="3"/>
      <c r="K71" s="3"/>
      <c r="L71" s="3" t="s">
        <v>817</v>
      </c>
      <c r="M71" s="3"/>
      <c r="N71" s="3"/>
      <c r="O71" s="3"/>
      <c r="P71" s="3"/>
      <c r="Q71" s="3"/>
      <c r="R71" s="3"/>
      <c r="S71" s="3"/>
      <c r="T71" s="3"/>
      <c r="U71" s="3"/>
      <c r="V71" s="33"/>
    </row>
    <row r="72" spans="1:22" ht="12.75">
      <c r="A72" s="6" t="s">
        <v>631</v>
      </c>
      <c r="B72" s="7"/>
      <c r="C72" s="7"/>
      <c r="D72" s="7"/>
      <c r="E72" s="7"/>
      <c r="F72" s="7"/>
      <c r="G72" s="7"/>
      <c r="H72" s="7"/>
      <c r="I72" s="7"/>
      <c r="J72" s="7"/>
      <c r="K72" s="7"/>
      <c r="L72" s="7"/>
      <c r="M72" s="7"/>
      <c r="N72" s="7"/>
      <c r="O72" s="7"/>
      <c r="P72" s="7"/>
      <c r="Q72" s="7"/>
      <c r="R72" s="7"/>
      <c r="S72" s="7"/>
      <c r="T72" s="7"/>
      <c r="U72" s="7"/>
      <c r="V72" s="32"/>
    </row>
    <row r="73" spans="1:22" ht="12.75">
      <c r="A73" s="4" t="s">
        <v>632</v>
      </c>
      <c r="B73" s="3" t="s">
        <v>502</v>
      </c>
      <c r="C73" s="3"/>
      <c r="D73" s="3"/>
      <c r="E73" s="3"/>
      <c r="F73" s="3"/>
      <c r="G73" s="3"/>
      <c r="H73" s="3"/>
      <c r="I73" s="3"/>
      <c r="J73" s="3"/>
      <c r="K73" s="3"/>
      <c r="L73" s="3" t="s">
        <v>21</v>
      </c>
      <c r="M73" s="3"/>
      <c r="N73" s="3"/>
      <c r="O73" s="36"/>
      <c r="P73" s="3"/>
      <c r="Q73" s="3"/>
      <c r="R73" s="3"/>
      <c r="S73" s="3"/>
      <c r="T73" s="3"/>
      <c r="U73" s="3"/>
      <c r="V73" s="33"/>
    </row>
    <row r="74" spans="1:22" ht="30">
      <c r="A74" s="4" t="s">
        <v>632</v>
      </c>
      <c r="B74" s="3" t="s">
        <v>314</v>
      </c>
      <c r="C74" s="3"/>
      <c r="D74" s="3"/>
      <c r="E74" s="3"/>
      <c r="F74" s="3"/>
      <c r="G74" s="3"/>
      <c r="H74" s="3" t="s">
        <v>315</v>
      </c>
      <c r="I74" s="3"/>
      <c r="J74" s="3"/>
      <c r="K74" s="3"/>
      <c r="L74" s="3" t="s">
        <v>317</v>
      </c>
      <c r="M74" s="3"/>
      <c r="N74" s="3"/>
      <c r="O74" s="36">
        <v>0.296</v>
      </c>
      <c r="P74" s="3"/>
      <c r="Q74" s="3"/>
      <c r="R74" s="3" t="s">
        <v>316</v>
      </c>
      <c r="S74" s="3" t="s">
        <v>318</v>
      </c>
      <c r="T74" s="3"/>
      <c r="U74" s="3"/>
      <c r="V74" s="33"/>
    </row>
    <row r="75" spans="1:22" ht="20.25">
      <c r="A75" s="4" t="s">
        <v>632</v>
      </c>
      <c r="B75" s="3" t="s">
        <v>473</v>
      </c>
      <c r="C75" s="3"/>
      <c r="D75" s="3"/>
      <c r="E75" s="3"/>
      <c r="F75" s="3"/>
      <c r="G75" s="3"/>
      <c r="H75" s="3" t="s">
        <v>477</v>
      </c>
      <c r="I75" s="3"/>
      <c r="J75" s="3"/>
      <c r="K75" s="3"/>
      <c r="L75" s="3" t="s">
        <v>475</v>
      </c>
      <c r="M75" s="3"/>
      <c r="N75" s="3"/>
      <c r="O75" s="36"/>
      <c r="P75" s="3"/>
      <c r="Q75" s="3"/>
      <c r="R75" s="3" t="s">
        <v>474</v>
      </c>
      <c r="S75" s="3"/>
      <c r="T75" s="3"/>
      <c r="U75" s="3"/>
      <c r="V75" s="33"/>
    </row>
    <row r="76" spans="1:22" ht="20.25">
      <c r="A76" s="8" t="s">
        <v>633</v>
      </c>
      <c r="B76" s="7" t="s">
        <v>473</v>
      </c>
      <c r="C76" s="7"/>
      <c r="D76" s="7"/>
      <c r="E76" s="7"/>
      <c r="F76" s="7"/>
      <c r="G76" s="7"/>
      <c r="H76" s="7" t="s">
        <v>478</v>
      </c>
      <c r="I76" s="7"/>
      <c r="J76" s="7"/>
      <c r="K76" s="7"/>
      <c r="L76" s="7" t="s">
        <v>885</v>
      </c>
      <c r="M76" s="7" t="s">
        <v>931</v>
      </c>
      <c r="N76" s="7"/>
      <c r="O76" s="7"/>
      <c r="P76" s="7"/>
      <c r="Q76" s="7"/>
      <c r="R76" s="7" t="s">
        <v>476</v>
      </c>
      <c r="S76" s="7"/>
      <c r="T76" s="7"/>
      <c r="U76" s="7"/>
      <c r="V76" s="32"/>
    </row>
    <row r="77" spans="1:22" ht="12.75">
      <c r="A77" s="4" t="s">
        <v>634</v>
      </c>
      <c r="B77" s="3"/>
      <c r="C77" s="3"/>
      <c r="D77" s="3"/>
      <c r="E77" s="3"/>
      <c r="F77" s="3"/>
      <c r="G77" s="3"/>
      <c r="H77" s="3"/>
      <c r="I77" s="3"/>
      <c r="J77" s="3"/>
      <c r="K77" s="3"/>
      <c r="L77" s="3"/>
      <c r="M77" s="3"/>
      <c r="N77" s="3"/>
      <c r="O77" s="3"/>
      <c r="P77" s="3"/>
      <c r="Q77" s="3"/>
      <c r="R77" s="3"/>
      <c r="S77" s="3"/>
      <c r="T77" s="3"/>
      <c r="U77" s="3"/>
      <c r="V77" s="33"/>
    </row>
    <row r="78" spans="1:22" ht="12.75">
      <c r="A78" s="8" t="s">
        <v>635</v>
      </c>
      <c r="B78" s="7"/>
      <c r="C78" s="7"/>
      <c r="D78" s="7"/>
      <c r="E78" s="7"/>
      <c r="F78" s="7"/>
      <c r="G78" s="7"/>
      <c r="H78" s="7"/>
      <c r="I78" s="7"/>
      <c r="J78" s="7"/>
      <c r="K78" s="7"/>
      <c r="L78" s="7"/>
      <c r="M78" s="7"/>
      <c r="N78" s="7"/>
      <c r="O78" s="7"/>
      <c r="P78" s="7"/>
      <c r="Q78" s="7"/>
      <c r="R78" s="7"/>
      <c r="S78" s="7"/>
      <c r="T78" s="7"/>
      <c r="U78" s="7"/>
      <c r="V78" s="32"/>
    </row>
    <row r="79" spans="1:22" ht="12.75">
      <c r="A79" s="4" t="s">
        <v>636</v>
      </c>
      <c r="B79" s="3"/>
      <c r="C79" s="3"/>
      <c r="D79" s="3"/>
      <c r="E79" s="3"/>
      <c r="F79" s="3"/>
      <c r="G79" s="3"/>
      <c r="H79" s="3"/>
      <c r="I79" s="3"/>
      <c r="J79" s="3"/>
      <c r="K79" s="3"/>
      <c r="L79" s="3"/>
      <c r="M79" s="3"/>
      <c r="N79" s="3"/>
      <c r="O79" s="3"/>
      <c r="P79" s="3"/>
      <c r="Q79" s="3"/>
      <c r="R79" s="3"/>
      <c r="S79" s="3"/>
      <c r="T79" s="3"/>
      <c r="U79" s="3"/>
      <c r="V79" s="33"/>
    </row>
    <row r="80" spans="1:22" ht="12.75">
      <c r="A80" s="8" t="s">
        <v>637</v>
      </c>
      <c r="B80" s="7"/>
      <c r="C80" s="7"/>
      <c r="D80" s="7"/>
      <c r="E80" s="7"/>
      <c r="F80" s="7"/>
      <c r="G80" s="7"/>
      <c r="H80" s="7"/>
      <c r="I80" s="7"/>
      <c r="J80" s="7"/>
      <c r="K80" s="7"/>
      <c r="L80" s="7"/>
      <c r="M80" s="7"/>
      <c r="N80" s="7"/>
      <c r="O80" s="7"/>
      <c r="P80" s="7"/>
      <c r="Q80" s="7"/>
      <c r="R80" s="7"/>
      <c r="S80" s="7"/>
      <c r="T80" s="7"/>
      <c r="U80" s="7"/>
      <c r="V80" s="32"/>
    </row>
    <row r="81" spans="1:22" ht="12.75">
      <c r="A81" s="4" t="s">
        <v>638</v>
      </c>
      <c r="B81" s="3"/>
      <c r="C81" s="3"/>
      <c r="D81" s="3"/>
      <c r="E81" s="3"/>
      <c r="F81" s="3"/>
      <c r="G81" s="3"/>
      <c r="H81" s="3"/>
      <c r="I81" s="3"/>
      <c r="J81" s="3"/>
      <c r="K81" s="3"/>
      <c r="L81" s="3"/>
      <c r="M81" s="3"/>
      <c r="N81" s="3"/>
      <c r="O81" s="3"/>
      <c r="P81" s="3"/>
      <c r="Q81" s="3"/>
      <c r="R81" s="3"/>
      <c r="S81" s="3"/>
      <c r="T81" s="3"/>
      <c r="U81" s="3"/>
      <c r="V81" s="33"/>
    </row>
    <row r="82" spans="1:22" ht="12.75">
      <c r="A82" s="8" t="s">
        <v>639</v>
      </c>
      <c r="B82" s="7"/>
      <c r="C82" s="7"/>
      <c r="D82" s="7"/>
      <c r="E82" s="7"/>
      <c r="F82" s="7"/>
      <c r="G82" s="7"/>
      <c r="H82" s="7"/>
      <c r="I82" s="7"/>
      <c r="J82" s="7"/>
      <c r="K82" s="7"/>
      <c r="L82" s="7"/>
      <c r="M82" s="7"/>
      <c r="N82" s="7"/>
      <c r="O82" s="7"/>
      <c r="P82" s="7"/>
      <c r="Q82" s="7"/>
      <c r="R82" s="7"/>
      <c r="S82" s="7"/>
      <c r="T82" s="7"/>
      <c r="U82" s="7"/>
      <c r="V82" s="32"/>
    </row>
    <row r="83" spans="1:22" ht="12.75">
      <c r="A83" s="4" t="s">
        <v>640</v>
      </c>
      <c r="B83" s="3"/>
      <c r="C83" s="3"/>
      <c r="D83" s="3"/>
      <c r="E83" s="3"/>
      <c r="F83" s="3"/>
      <c r="G83" s="3"/>
      <c r="H83" s="3"/>
      <c r="I83" s="3"/>
      <c r="J83" s="3"/>
      <c r="K83" s="3"/>
      <c r="L83" s="3"/>
      <c r="M83" s="3"/>
      <c r="N83" s="3"/>
      <c r="O83" s="3"/>
      <c r="P83" s="3"/>
      <c r="Q83" s="3"/>
      <c r="R83" s="3"/>
      <c r="S83" s="3"/>
      <c r="T83" s="3"/>
      <c r="U83" s="3"/>
      <c r="V83" s="33"/>
    </row>
    <row r="84" spans="1:22" ht="12.75">
      <c r="A84" s="8" t="s">
        <v>641</v>
      </c>
      <c r="B84" s="7"/>
      <c r="C84" s="7"/>
      <c r="D84" s="7"/>
      <c r="E84" s="7"/>
      <c r="F84" s="7"/>
      <c r="G84" s="7"/>
      <c r="H84" s="7"/>
      <c r="I84" s="7"/>
      <c r="J84" s="7"/>
      <c r="K84" s="7"/>
      <c r="L84" s="7"/>
      <c r="M84" s="7"/>
      <c r="N84" s="7"/>
      <c r="O84" s="7"/>
      <c r="P84" s="7"/>
      <c r="Q84" s="7"/>
      <c r="R84" s="7"/>
      <c r="S84" s="7"/>
      <c r="T84" s="7"/>
      <c r="U84" s="7"/>
      <c r="V84" s="32"/>
    </row>
    <row r="85" spans="1:22" ht="12.75">
      <c r="A85" s="4" t="s">
        <v>642</v>
      </c>
      <c r="B85" s="3"/>
      <c r="C85" s="3"/>
      <c r="D85" s="3"/>
      <c r="E85" s="3"/>
      <c r="F85" s="3"/>
      <c r="G85" s="3"/>
      <c r="H85" s="3"/>
      <c r="I85" s="3"/>
      <c r="J85" s="3"/>
      <c r="K85" s="3"/>
      <c r="L85" s="3"/>
      <c r="M85" s="3"/>
      <c r="N85" s="3"/>
      <c r="O85" s="3"/>
      <c r="P85" s="3"/>
      <c r="Q85" s="3"/>
      <c r="R85" s="3"/>
      <c r="S85" s="3"/>
      <c r="T85" s="3"/>
      <c r="U85" s="3"/>
      <c r="V85" s="33"/>
    </row>
    <row r="86" spans="1:22" ht="12.75">
      <c r="A86" s="8" t="s">
        <v>643</v>
      </c>
      <c r="B86" s="7"/>
      <c r="C86" s="7"/>
      <c r="D86" s="7"/>
      <c r="E86" s="7"/>
      <c r="F86" s="7"/>
      <c r="G86" s="7"/>
      <c r="H86" s="7"/>
      <c r="I86" s="7"/>
      <c r="J86" s="7"/>
      <c r="K86" s="7"/>
      <c r="L86" s="7"/>
      <c r="M86" s="7"/>
      <c r="N86" s="7"/>
      <c r="O86" s="7"/>
      <c r="P86" s="7"/>
      <c r="Q86" s="7"/>
      <c r="R86" s="7"/>
      <c r="S86" s="7"/>
      <c r="T86" s="7"/>
      <c r="U86" s="7"/>
      <c r="V86" s="32"/>
    </row>
    <row r="87" spans="1:22" ht="12.75">
      <c r="A87" s="4" t="s">
        <v>644</v>
      </c>
      <c r="B87" s="3"/>
      <c r="C87" s="3"/>
      <c r="D87" s="3"/>
      <c r="E87" s="3"/>
      <c r="F87" s="3"/>
      <c r="G87" s="3"/>
      <c r="H87" s="3"/>
      <c r="I87" s="3"/>
      <c r="J87" s="3"/>
      <c r="K87" s="3"/>
      <c r="L87" s="3"/>
      <c r="M87" s="3"/>
      <c r="N87" s="3"/>
      <c r="O87" s="3"/>
      <c r="P87" s="3"/>
      <c r="Q87" s="3"/>
      <c r="R87" s="3"/>
      <c r="S87" s="3"/>
      <c r="T87" s="3"/>
      <c r="U87" s="3"/>
      <c r="V87" s="33"/>
    </row>
    <row r="88" spans="1:22" ht="12.75">
      <c r="A88" s="8" t="s">
        <v>645</v>
      </c>
      <c r="B88" s="7"/>
      <c r="C88" s="7"/>
      <c r="D88" s="7"/>
      <c r="E88" s="7"/>
      <c r="F88" s="7"/>
      <c r="G88" s="7"/>
      <c r="H88" s="7"/>
      <c r="I88" s="7"/>
      <c r="J88" s="7"/>
      <c r="K88" s="7"/>
      <c r="L88" s="7"/>
      <c r="M88" s="7"/>
      <c r="N88" s="7"/>
      <c r="O88" s="7"/>
      <c r="P88" s="7"/>
      <c r="Q88" s="7"/>
      <c r="R88" s="7"/>
      <c r="S88" s="7"/>
      <c r="T88" s="7"/>
      <c r="U88" s="7"/>
      <c r="V88" s="32"/>
    </row>
    <row r="89" spans="1:22" ht="12.75">
      <c r="A89" s="4" t="s">
        <v>646</v>
      </c>
      <c r="B89" s="3"/>
      <c r="C89" s="3"/>
      <c r="D89" s="3"/>
      <c r="E89" s="3"/>
      <c r="F89" s="3"/>
      <c r="G89" s="3"/>
      <c r="H89" s="3"/>
      <c r="I89" s="3"/>
      <c r="J89" s="3"/>
      <c r="K89" s="3"/>
      <c r="L89" s="3"/>
      <c r="M89" s="3"/>
      <c r="N89" s="3"/>
      <c r="O89" s="3"/>
      <c r="P89" s="3"/>
      <c r="Q89" s="3"/>
      <c r="R89" s="3"/>
      <c r="S89" s="3"/>
      <c r="T89" s="3"/>
      <c r="U89" s="3"/>
      <c r="V89" s="33"/>
    </row>
    <row r="90" spans="1:22" ht="12.75">
      <c r="A90" s="8" t="s">
        <v>647</v>
      </c>
      <c r="B90" s="7"/>
      <c r="C90" s="7"/>
      <c r="D90" s="7"/>
      <c r="E90" s="7"/>
      <c r="F90" s="7"/>
      <c r="G90" s="7"/>
      <c r="H90" s="7"/>
      <c r="I90" s="7"/>
      <c r="J90" s="7"/>
      <c r="K90" s="7"/>
      <c r="L90" s="7"/>
      <c r="M90" s="7"/>
      <c r="N90" s="7"/>
      <c r="O90" s="7"/>
      <c r="P90" s="7"/>
      <c r="Q90" s="7"/>
      <c r="R90" s="7"/>
      <c r="S90" s="7"/>
      <c r="T90" s="7"/>
      <c r="U90" s="7"/>
      <c r="V90" s="32"/>
    </row>
    <row r="91" spans="1:22" ht="12.75">
      <c r="A91" s="4" t="s">
        <v>648</v>
      </c>
      <c r="B91" s="3"/>
      <c r="C91" s="3"/>
      <c r="D91" s="3"/>
      <c r="E91" s="3"/>
      <c r="F91" s="3"/>
      <c r="G91" s="3"/>
      <c r="H91" s="3"/>
      <c r="I91" s="3"/>
      <c r="J91" s="3"/>
      <c r="K91" s="3"/>
      <c r="L91" s="3"/>
      <c r="M91" s="3"/>
      <c r="N91" s="3"/>
      <c r="O91" s="3"/>
      <c r="P91" s="3"/>
      <c r="Q91" s="3"/>
      <c r="R91" s="3"/>
      <c r="S91" s="3"/>
      <c r="T91" s="3"/>
      <c r="U91" s="3"/>
      <c r="V91" s="33"/>
    </row>
    <row r="92" spans="1:22" ht="12.75">
      <c r="A92" s="8" t="s">
        <v>649</v>
      </c>
      <c r="B92" s="7"/>
      <c r="C92" s="7"/>
      <c r="D92" s="7"/>
      <c r="E92" s="7"/>
      <c r="F92" s="7"/>
      <c r="G92" s="7"/>
      <c r="H92" s="7"/>
      <c r="I92" s="7"/>
      <c r="J92" s="7"/>
      <c r="K92" s="7"/>
      <c r="L92" s="7"/>
      <c r="M92" s="7"/>
      <c r="N92" s="7"/>
      <c r="O92" s="7"/>
      <c r="P92" s="7"/>
      <c r="Q92" s="7"/>
      <c r="R92" s="7"/>
      <c r="S92" s="7"/>
      <c r="T92" s="7"/>
      <c r="U92" s="7"/>
      <c r="V92" s="32"/>
    </row>
    <row r="93" spans="1:22" ht="12.75">
      <c r="A93" s="4" t="s">
        <v>650</v>
      </c>
      <c r="B93" s="3"/>
      <c r="C93" s="3"/>
      <c r="D93" s="3"/>
      <c r="E93" s="3"/>
      <c r="F93" s="3"/>
      <c r="G93" s="3"/>
      <c r="H93" s="3"/>
      <c r="I93" s="3"/>
      <c r="J93" s="3"/>
      <c r="K93" s="3"/>
      <c r="L93" s="3"/>
      <c r="M93" s="3"/>
      <c r="N93" s="3"/>
      <c r="O93" s="3"/>
      <c r="P93" s="3"/>
      <c r="Q93" s="3"/>
      <c r="R93" s="3"/>
      <c r="S93" s="3"/>
      <c r="T93" s="3"/>
      <c r="U93" s="3"/>
      <c r="V93" s="33"/>
    </row>
    <row r="94" spans="1:22" ht="12.75">
      <c r="A94" s="8" t="s">
        <v>651</v>
      </c>
      <c r="B94" s="7"/>
      <c r="C94" s="7"/>
      <c r="D94" s="7"/>
      <c r="E94" s="7"/>
      <c r="F94" s="7"/>
      <c r="G94" s="7"/>
      <c r="H94" s="7"/>
      <c r="I94" s="7"/>
      <c r="J94" s="7"/>
      <c r="K94" s="7"/>
      <c r="L94" s="7"/>
      <c r="M94" s="7"/>
      <c r="N94" s="7"/>
      <c r="O94" s="7"/>
      <c r="P94" s="7"/>
      <c r="Q94" s="7"/>
      <c r="R94" s="7"/>
      <c r="S94" s="7"/>
      <c r="T94" s="7"/>
      <c r="U94" s="7"/>
      <c r="V94" s="32"/>
    </row>
    <row r="95" spans="1:22" ht="20.25">
      <c r="A95" s="4" t="s">
        <v>652</v>
      </c>
      <c r="B95" s="3" t="s">
        <v>473</v>
      </c>
      <c r="C95" s="3"/>
      <c r="D95" s="3"/>
      <c r="E95" s="3"/>
      <c r="F95" s="3"/>
      <c r="G95" s="3"/>
      <c r="H95" s="3"/>
      <c r="I95" s="3"/>
      <c r="J95" s="3"/>
      <c r="K95" s="3"/>
      <c r="L95" s="3"/>
      <c r="M95" s="3"/>
      <c r="N95" s="3"/>
      <c r="O95" s="3"/>
      <c r="P95" s="3"/>
      <c r="Q95" s="3"/>
      <c r="R95" s="3" t="s">
        <v>479</v>
      </c>
      <c r="S95" s="3"/>
      <c r="T95" s="3"/>
      <c r="U95" s="3"/>
      <c r="V95" s="33"/>
    </row>
    <row r="96" spans="1:22" ht="30">
      <c r="A96" s="6" t="s">
        <v>653</v>
      </c>
      <c r="B96" s="7" t="s">
        <v>461</v>
      </c>
      <c r="C96" s="7"/>
      <c r="D96" s="7" t="s">
        <v>465</v>
      </c>
      <c r="E96" s="7"/>
      <c r="F96" s="7" t="s">
        <v>471</v>
      </c>
      <c r="G96" s="7" t="s">
        <v>920</v>
      </c>
      <c r="H96" s="7" t="s">
        <v>167</v>
      </c>
      <c r="I96" s="7"/>
      <c r="J96" s="7" t="s">
        <v>464</v>
      </c>
      <c r="K96" s="7"/>
      <c r="L96" s="7" t="s">
        <v>462</v>
      </c>
      <c r="M96" s="7" t="s">
        <v>470</v>
      </c>
      <c r="N96" s="7"/>
      <c r="O96" s="7">
        <v>0.41</v>
      </c>
      <c r="P96" s="7" t="s">
        <v>469</v>
      </c>
      <c r="Q96" s="7"/>
      <c r="R96" s="7" t="s">
        <v>459</v>
      </c>
      <c r="S96" s="7"/>
      <c r="T96" s="7"/>
      <c r="U96" s="7" t="s">
        <v>463</v>
      </c>
      <c r="V96" s="32"/>
    </row>
    <row r="97" spans="1:22" ht="51">
      <c r="A97" s="6" t="s">
        <v>653</v>
      </c>
      <c r="B97" s="7" t="s">
        <v>921</v>
      </c>
      <c r="C97" s="7"/>
      <c r="D97" s="7"/>
      <c r="E97" s="7"/>
      <c r="F97" s="7"/>
      <c r="G97" s="7" t="s">
        <v>922</v>
      </c>
      <c r="H97" s="7"/>
      <c r="I97" s="7"/>
      <c r="J97" s="7"/>
      <c r="K97" s="7"/>
      <c r="L97" s="7"/>
      <c r="M97" s="7"/>
      <c r="N97" s="7"/>
      <c r="O97" s="7"/>
      <c r="P97" s="7"/>
      <c r="Q97" s="7"/>
      <c r="R97" s="7"/>
      <c r="S97" s="7">
        <v>359</v>
      </c>
      <c r="T97" s="7"/>
      <c r="U97" s="7"/>
      <c r="V97" s="32"/>
    </row>
    <row r="98" spans="1:22" ht="51">
      <c r="A98" s="6" t="s">
        <v>653</v>
      </c>
      <c r="B98" s="7" t="s">
        <v>404</v>
      </c>
      <c r="C98" s="7"/>
      <c r="D98" s="7"/>
      <c r="E98" s="7"/>
      <c r="F98" s="7"/>
      <c r="G98" s="7"/>
      <c r="H98" s="7" t="s">
        <v>405</v>
      </c>
      <c r="I98" s="7"/>
      <c r="J98" s="7"/>
      <c r="K98" s="7" t="s">
        <v>912</v>
      </c>
      <c r="L98" s="7"/>
      <c r="M98" s="7" t="s">
        <v>916</v>
      </c>
      <c r="N98" s="7"/>
      <c r="O98" s="7"/>
      <c r="P98" s="7"/>
      <c r="Q98" s="7"/>
      <c r="R98" s="7" t="s">
        <v>407</v>
      </c>
      <c r="S98" s="7"/>
      <c r="T98" s="7"/>
      <c r="U98" s="7"/>
      <c r="V98" s="32"/>
    </row>
    <row r="99" spans="1:22" ht="12.75">
      <c r="A99" s="6" t="s">
        <v>653</v>
      </c>
      <c r="B99" s="7" t="s">
        <v>562</v>
      </c>
      <c r="C99" s="7"/>
      <c r="D99" s="7" t="s">
        <v>408</v>
      </c>
      <c r="E99" s="7"/>
      <c r="F99" s="7"/>
      <c r="G99" s="7"/>
      <c r="H99" s="7"/>
      <c r="I99" s="7"/>
      <c r="J99" s="7"/>
      <c r="K99" s="7"/>
      <c r="L99" s="7"/>
      <c r="M99" s="7"/>
      <c r="N99" s="7"/>
      <c r="O99" s="7"/>
      <c r="P99" s="7"/>
      <c r="Q99" s="7"/>
      <c r="R99" s="7"/>
      <c r="S99" s="7"/>
      <c r="T99" s="7"/>
      <c r="U99" s="7"/>
      <c r="V99" s="32"/>
    </row>
    <row r="100" spans="1:22" ht="51">
      <c r="A100" s="6" t="s">
        <v>653</v>
      </c>
      <c r="B100" s="7" t="s">
        <v>406</v>
      </c>
      <c r="C100" s="7"/>
      <c r="D100" s="7"/>
      <c r="E100" s="7"/>
      <c r="F100" s="7"/>
      <c r="G100" s="7"/>
      <c r="H100" s="7" t="s">
        <v>405</v>
      </c>
      <c r="I100" s="7"/>
      <c r="J100" s="7"/>
      <c r="K100" s="7"/>
      <c r="L100" s="7"/>
      <c r="M100" s="7"/>
      <c r="N100" s="7"/>
      <c r="O100" s="7"/>
      <c r="P100" s="7"/>
      <c r="Q100" s="7"/>
      <c r="R100" s="7"/>
      <c r="S100" s="7"/>
      <c r="T100" s="7"/>
      <c r="U100" s="7"/>
      <c r="V100" s="32"/>
    </row>
    <row r="101" spans="1:22" ht="12.75">
      <c r="A101" s="6" t="s">
        <v>653</v>
      </c>
      <c r="B101" s="7" t="s">
        <v>505</v>
      </c>
      <c r="C101" s="7"/>
      <c r="D101" s="7"/>
      <c r="E101" s="7"/>
      <c r="F101" s="7"/>
      <c r="G101" s="7"/>
      <c r="H101" s="7"/>
      <c r="I101" s="7"/>
      <c r="J101" s="7"/>
      <c r="K101" s="7"/>
      <c r="L101" s="7" t="s">
        <v>508</v>
      </c>
      <c r="M101" s="7"/>
      <c r="N101" s="7"/>
      <c r="O101" s="7"/>
      <c r="P101" s="7"/>
      <c r="Q101" s="7"/>
      <c r="R101" s="7"/>
      <c r="S101" s="7"/>
      <c r="T101" s="7"/>
      <c r="U101" s="7"/>
      <c r="V101" s="32"/>
    </row>
    <row r="102" spans="1:22" ht="30">
      <c r="A102" s="6" t="s">
        <v>653</v>
      </c>
      <c r="B102" s="7" t="s">
        <v>74</v>
      </c>
      <c r="C102" s="7"/>
      <c r="D102" s="7"/>
      <c r="E102" s="7"/>
      <c r="F102" s="7"/>
      <c r="G102" s="7"/>
      <c r="H102" s="7" t="s">
        <v>76</v>
      </c>
      <c r="I102" s="7"/>
      <c r="J102" s="7" t="s">
        <v>75</v>
      </c>
      <c r="K102" s="7"/>
      <c r="L102" s="7" t="s">
        <v>78</v>
      </c>
      <c r="M102" s="7"/>
      <c r="N102" s="7"/>
      <c r="O102" s="7"/>
      <c r="P102" s="7"/>
      <c r="Q102" s="7"/>
      <c r="R102" s="7"/>
      <c r="S102" s="7" t="s">
        <v>77</v>
      </c>
      <c r="T102" s="7"/>
      <c r="U102" s="7"/>
      <c r="V102" s="32"/>
    </row>
    <row r="103" spans="1:22" ht="12.75">
      <c r="A103" s="6" t="s">
        <v>653</v>
      </c>
      <c r="B103" s="7" t="s">
        <v>507</v>
      </c>
      <c r="C103" s="7"/>
      <c r="D103" s="7"/>
      <c r="E103" s="7"/>
      <c r="F103" s="7"/>
      <c r="G103" s="7"/>
      <c r="H103" s="7"/>
      <c r="I103" s="7"/>
      <c r="J103" s="7"/>
      <c r="K103" s="7"/>
      <c r="L103" s="7" t="s">
        <v>885</v>
      </c>
      <c r="M103" s="7"/>
      <c r="N103" s="7"/>
      <c r="O103" s="7"/>
      <c r="P103" s="7"/>
      <c r="Q103" s="7"/>
      <c r="R103" s="7"/>
      <c r="S103" s="7"/>
      <c r="T103" s="7"/>
      <c r="U103" s="7"/>
      <c r="V103" s="32"/>
    </row>
    <row r="104" spans="1:22" ht="30">
      <c r="A104" s="4" t="s">
        <v>654</v>
      </c>
      <c r="B104" s="17" t="s">
        <v>461</v>
      </c>
      <c r="C104" s="17"/>
      <c r="D104" s="17" t="s">
        <v>889</v>
      </c>
      <c r="E104" s="17"/>
      <c r="F104" s="17" t="s">
        <v>472</v>
      </c>
      <c r="G104" s="17"/>
      <c r="H104" s="17" t="s">
        <v>840</v>
      </c>
      <c r="I104" s="17"/>
      <c r="J104" s="17" t="s">
        <v>467</v>
      </c>
      <c r="K104" s="17"/>
      <c r="L104" s="17" t="s">
        <v>466</v>
      </c>
      <c r="M104" s="17"/>
      <c r="N104" s="17"/>
      <c r="O104" s="17">
        <v>0.39</v>
      </c>
      <c r="P104" s="17"/>
      <c r="Q104" s="17"/>
      <c r="R104" s="17" t="s">
        <v>468</v>
      </c>
      <c r="S104" s="17"/>
      <c r="T104" s="17"/>
      <c r="U104" s="17"/>
      <c r="V104" s="34"/>
    </row>
    <row r="105" spans="1:22" ht="40.5">
      <c r="A105" s="4" t="s">
        <v>654</v>
      </c>
      <c r="B105" s="17" t="s">
        <v>909</v>
      </c>
      <c r="C105" s="17"/>
      <c r="D105" s="17"/>
      <c r="E105" s="17"/>
      <c r="F105" s="17"/>
      <c r="G105" s="17" t="s">
        <v>911</v>
      </c>
      <c r="H105" s="17" t="s">
        <v>912</v>
      </c>
      <c r="I105" s="17"/>
      <c r="J105" s="17" t="s">
        <v>913</v>
      </c>
      <c r="K105" s="17" t="s">
        <v>914</v>
      </c>
      <c r="L105" s="17" t="s">
        <v>915</v>
      </c>
      <c r="M105" s="17" t="s">
        <v>917</v>
      </c>
      <c r="N105" s="17"/>
      <c r="O105" s="17" t="s">
        <v>918</v>
      </c>
      <c r="P105" s="17"/>
      <c r="Q105" s="17"/>
      <c r="R105" s="17" t="s">
        <v>910</v>
      </c>
      <c r="S105" s="17"/>
      <c r="T105" s="17"/>
      <c r="U105" s="17"/>
      <c r="V105" s="34"/>
    </row>
    <row r="106" spans="1:22" ht="12.75">
      <c r="A106" s="6" t="s">
        <v>655</v>
      </c>
      <c r="B106" s="7"/>
      <c r="C106" s="7"/>
      <c r="D106" s="7"/>
      <c r="E106" s="7"/>
      <c r="F106" s="7"/>
      <c r="G106" s="7"/>
      <c r="H106" s="7"/>
      <c r="I106" s="7"/>
      <c r="J106" s="7"/>
      <c r="K106" s="7"/>
      <c r="L106" s="7"/>
      <c r="M106" s="7"/>
      <c r="N106" s="7"/>
      <c r="O106" s="7"/>
      <c r="P106" s="7"/>
      <c r="Q106" s="7"/>
      <c r="R106" s="7"/>
      <c r="S106" s="7"/>
      <c r="T106" s="7"/>
      <c r="U106" s="7"/>
      <c r="V106" s="32"/>
    </row>
    <row r="107" spans="1:22" ht="12.75">
      <c r="A107" s="4" t="s">
        <v>656</v>
      </c>
      <c r="B107" s="17"/>
      <c r="C107" s="17"/>
      <c r="D107" s="17"/>
      <c r="E107" s="17"/>
      <c r="F107" s="17"/>
      <c r="G107" s="17"/>
      <c r="H107" s="17"/>
      <c r="I107" s="17"/>
      <c r="J107" s="17"/>
      <c r="K107" s="17"/>
      <c r="L107" s="17"/>
      <c r="M107" s="17"/>
      <c r="N107" s="17"/>
      <c r="O107" s="17"/>
      <c r="P107" s="17"/>
      <c r="Q107" s="17"/>
      <c r="R107" s="17"/>
      <c r="S107" s="17"/>
      <c r="T107" s="17"/>
      <c r="U107" s="17"/>
      <c r="V107" s="34"/>
    </row>
    <row r="108" spans="1:22" ht="12.75">
      <c r="A108" s="8" t="s">
        <v>658</v>
      </c>
      <c r="B108" s="7" t="s">
        <v>657</v>
      </c>
      <c r="C108" s="7"/>
      <c r="D108" s="7"/>
      <c r="E108" s="7"/>
      <c r="F108" s="15">
        <v>0.91</v>
      </c>
      <c r="G108" s="7"/>
      <c r="H108" s="7"/>
      <c r="I108" s="7"/>
      <c r="J108" s="25">
        <v>9</v>
      </c>
      <c r="K108" s="7"/>
      <c r="L108" s="7"/>
      <c r="M108" s="7"/>
      <c r="N108" s="7"/>
      <c r="O108" s="7"/>
      <c r="P108" s="15">
        <v>0.096</v>
      </c>
      <c r="Q108" s="7"/>
      <c r="R108" s="7"/>
      <c r="S108" s="7"/>
      <c r="T108" s="7"/>
      <c r="U108" s="7"/>
      <c r="V108" s="32"/>
    </row>
    <row r="109" spans="1:22" ht="30">
      <c r="A109" s="8" t="s">
        <v>658</v>
      </c>
      <c r="B109" s="7" t="s">
        <v>33</v>
      </c>
      <c r="C109" s="7"/>
      <c r="D109" s="7"/>
      <c r="E109" s="7"/>
      <c r="F109" s="7" t="s">
        <v>32</v>
      </c>
      <c r="G109" s="7"/>
      <c r="H109" s="7"/>
      <c r="I109" s="7"/>
      <c r="J109" s="7"/>
      <c r="K109" s="7"/>
      <c r="L109" s="7"/>
      <c r="M109" s="7"/>
      <c r="N109" s="7"/>
      <c r="O109" s="7"/>
      <c r="P109" s="7"/>
      <c r="Q109" s="7"/>
      <c r="R109" s="7"/>
      <c r="S109" s="7"/>
      <c r="T109" s="7"/>
      <c r="U109" s="7"/>
      <c r="V109" s="32"/>
    </row>
    <row r="110" spans="1:22" ht="30">
      <c r="A110" s="8" t="s">
        <v>658</v>
      </c>
      <c r="B110" s="7" t="s">
        <v>458</v>
      </c>
      <c r="C110" s="7"/>
      <c r="D110" s="7"/>
      <c r="E110" s="7"/>
      <c r="F110" s="7"/>
      <c r="G110" s="7"/>
      <c r="H110" s="7" t="s">
        <v>25</v>
      </c>
      <c r="I110" s="7"/>
      <c r="J110" s="7"/>
      <c r="K110" s="7"/>
      <c r="L110" s="7" t="s">
        <v>27</v>
      </c>
      <c r="M110" s="7" t="s">
        <v>28</v>
      </c>
      <c r="N110" s="7"/>
      <c r="O110" s="7"/>
      <c r="P110" s="7"/>
      <c r="Q110" s="7"/>
      <c r="R110" s="7"/>
      <c r="S110" s="7"/>
      <c r="T110" s="7"/>
      <c r="U110" s="7"/>
      <c r="V110" s="32"/>
    </row>
    <row r="111" spans="1:22" ht="40.5">
      <c r="A111" s="8" t="s">
        <v>658</v>
      </c>
      <c r="B111" s="7" t="s">
        <v>563</v>
      </c>
      <c r="C111" s="7"/>
      <c r="D111" s="7"/>
      <c r="E111" s="7"/>
      <c r="F111" s="7" t="s">
        <v>35</v>
      </c>
      <c r="G111" s="7"/>
      <c r="H111" s="7"/>
      <c r="I111" s="7"/>
      <c r="J111" s="7"/>
      <c r="K111" s="7"/>
      <c r="L111" s="7"/>
      <c r="M111" s="7"/>
      <c r="N111" s="7"/>
      <c r="O111" s="7"/>
      <c r="P111" s="7"/>
      <c r="Q111" s="7"/>
      <c r="R111" s="7"/>
      <c r="S111" s="7"/>
      <c r="T111" s="7"/>
      <c r="U111" s="7"/>
      <c r="V111" s="32"/>
    </row>
    <row r="112" spans="1:22" ht="51">
      <c r="A112" s="8" t="s">
        <v>658</v>
      </c>
      <c r="B112" s="7" t="s">
        <v>23</v>
      </c>
      <c r="C112" s="7" t="s">
        <v>31</v>
      </c>
      <c r="D112" s="7"/>
      <c r="E112" s="7"/>
      <c r="F112" s="7" t="s">
        <v>34</v>
      </c>
      <c r="G112" s="7"/>
      <c r="H112" s="7"/>
      <c r="I112" s="7"/>
      <c r="J112" s="7"/>
      <c r="K112" s="7"/>
      <c r="L112" s="7"/>
      <c r="M112" s="7"/>
      <c r="N112" s="7"/>
      <c r="O112" s="7"/>
      <c r="P112" s="7"/>
      <c r="Q112" s="7"/>
      <c r="R112" s="7" t="s">
        <v>24</v>
      </c>
      <c r="S112" s="7" t="s">
        <v>30</v>
      </c>
      <c r="T112" s="7"/>
      <c r="U112" s="7"/>
      <c r="V112" s="32"/>
    </row>
    <row r="113" spans="1:22" ht="12.75">
      <c r="A113" s="8" t="s">
        <v>658</v>
      </c>
      <c r="B113" s="7" t="s">
        <v>502</v>
      </c>
      <c r="C113" s="7"/>
      <c r="D113" s="7"/>
      <c r="E113" s="7"/>
      <c r="F113" s="7"/>
      <c r="G113" s="7"/>
      <c r="H113" s="7"/>
      <c r="I113" s="7"/>
      <c r="J113" s="7"/>
      <c r="K113" s="7"/>
      <c r="L113" s="7" t="s">
        <v>510</v>
      </c>
      <c r="M113" s="7"/>
      <c r="N113" s="7"/>
      <c r="O113" s="7"/>
      <c r="P113" s="7"/>
      <c r="Q113" s="7"/>
      <c r="R113" s="7"/>
      <c r="S113" s="7"/>
      <c r="T113" s="7"/>
      <c r="U113" s="7"/>
      <c r="V113" s="32"/>
    </row>
    <row r="114" spans="1:22" ht="12.75">
      <c r="A114" s="8" t="s">
        <v>658</v>
      </c>
      <c r="B114" s="7" t="s">
        <v>505</v>
      </c>
      <c r="C114" s="7"/>
      <c r="D114" s="7"/>
      <c r="E114" s="7"/>
      <c r="F114" s="7"/>
      <c r="G114" s="7"/>
      <c r="H114" s="7"/>
      <c r="I114" s="7"/>
      <c r="J114" s="7"/>
      <c r="K114" s="7"/>
      <c r="L114" s="7" t="s">
        <v>509</v>
      </c>
      <c r="M114" s="7"/>
      <c r="N114" s="7"/>
      <c r="O114" s="7"/>
      <c r="P114" s="7"/>
      <c r="Q114" s="7"/>
      <c r="R114" s="7"/>
      <c r="S114" s="7"/>
      <c r="T114" s="7"/>
      <c r="U114" s="7"/>
      <c r="V114" s="32"/>
    </row>
    <row r="115" spans="1:22" ht="12.75">
      <c r="A115" s="8" t="s">
        <v>658</v>
      </c>
      <c r="B115" s="7" t="s">
        <v>26</v>
      </c>
      <c r="C115" s="7"/>
      <c r="D115" s="7"/>
      <c r="E115" s="7"/>
      <c r="F115" s="7"/>
      <c r="G115" s="7"/>
      <c r="H115" s="7"/>
      <c r="I115" s="7"/>
      <c r="J115" s="7"/>
      <c r="K115" s="7"/>
      <c r="L115" s="7"/>
      <c r="M115" s="7"/>
      <c r="N115" s="7"/>
      <c r="O115" s="7"/>
      <c r="P115" s="7"/>
      <c r="Q115" s="7"/>
      <c r="R115" s="7" t="s">
        <v>29</v>
      </c>
      <c r="S115" s="7"/>
      <c r="T115" s="7"/>
      <c r="U115" s="7"/>
      <c r="V115" s="32"/>
    </row>
    <row r="116" spans="1:22" ht="40.5">
      <c r="A116" s="8" t="s">
        <v>658</v>
      </c>
      <c r="B116" s="7" t="s">
        <v>390</v>
      </c>
      <c r="C116" s="7"/>
      <c r="D116" s="7"/>
      <c r="E116" s="7"/>
      <c r="F116" s="7"/>
      <c r="G116" s="7"/>
      <c r="H116" s="7"/>
      <c r="I116" s="7"/>
      <c r="J116" s="7"/>
      <c r="K116" s="7"/>
      <c r="L116" s="7"/>
      <c r="M116" s="7"/>
      <c r="N116" s="7"/>
      <c r="O116" s="7" t="s">
        <v>391</v>
      </c>
      <c r="P116" s="7"/>
      <c r="Q116" s="7"/>
      <c r="R116" s="7"/>
      <c r="S116" s="7"/>
      <c r="T116" s="7"/>
      <c r="U116" s="7"/>
      <c r="V116" s="32"/>
    </row>
    <row r="117" spans="1:22" ht="40.5">
      <c r="A117" s="4" t="s">
        <v>659</v>
      </c>
      <c r="B117" s="17" t="s">
        <v>398</v>
      </c>
      <c r="C117" s="17"/>
      <c r="D117" s="17"/>
      <c r="E117" s="17"/>
      <c r="F117" s="17"/>
      <c r="G117" s="17"/>
      <c r="H117" s="17" t="s">
        <v>399</v>
      </c>
      <c r="I117" s="17"/>
      <c r="J117" s="17"/>
      <c r="K117" s="17"/>
      <c r="L117" s="17"/>
      <c r="M117" s="17"/>
      <c r="N117" s="17"/>
      <c r="O117" s="17"/>
      <c r="P117" s="17"/>
      <c r="Q117" s="17"/>
      <c r="R117" s="17"/>
      <c r="S117" s="17"/>
      <c r="T117" s="17"/>
      <c r="U117" s="17"/>
      <c r="V117" s="34"/>
    </row>
    <row r="118" spans="1:22" ht="30">
      <c r="A118" s="4" t="s">
        <v>659</v>
      </c>
      <c r="B118" s="17" t="s">
        <v>400</v>
      </c>
      <c r="C118" s="17"/>
      <c r="D118" s="17"/>
      <c r="E118" s="17"/>
      <c r="F118" s="17"/>
      <c r="G118" s="17"/>
      <c r="H118" s="17"/>
      <c r="I118" s="17"/>
      <c r="J118" s="17"/>
      <c r="K118" s="17"/>
      <c r="L118" s="17" t="s">
        <v>393</v>
      </c>
      <c r="M118" s="17"/>
      <c r="N118" s="17"/>
      <c r="O118" s="17"/>
      <c r="P118" s="17"/>
      <c r="Q118" s="17"/>
      <c r="R118" s="17"/>
      <c r="S118" s="17"/>
      <c r="T118" s="17"/>
      <c r="U118" s="17"/>
      <c r="V118" s="34"/>
    </row>
    <row r="119" spans="1:22" ht="30">
      <c r="A119" s="4" t="s">
        <v>659</v>
      </c>
      <c r="B119" s="17" t="s">
        <v>392</v>
      </c>
      <c r="C119" s="17"/>
      <c r="D119" s="17"/>
      <c r="E119" s="17"/>
      <c r="F119" s="17"/>
      <c r="G119" s="17"/>
      <c r="H119" s="17" t="s">
        <v>245</v>
      </c>
      <c r="I119" s="17"/>
      <c r="J119" s="17"/>
      <c r="K119" s="17"/>
      <c r="L119" s="17" t="s">
        <v>393</v>
      </c>
      <c r="M119" s="17"/>
      <c r="N119" s="17"/>
      <c r="O119" s="17"/>
      <c r="P119" s="17"/>
      <c r="Q119" s="17"/>
      <c r="R119" s="17"/>
      <c r="S119" s="17"/>
      <c r="T119" s="17"/>
      <c r="U119" s="17"/>
      <c r="V119" s="34"/>
    </row>
    <row r="120" spans="1:22" ht="26.25">
      <c r="A120" s="4" t="s">
        <v>659</v>
      </c>
      <c r="B120" s="17" t="s">
        <v>218</v>
      </c>
      <c r="C120" s="17"/>
      <c r="D120" s="17"/>
      <c r="E120" s="17"/>
      <c r="F120" s="17"/>
      <c r="G120" s="17"/>
      <c r="H120" s="17"/>
      <c r="I120" s="17"/>
      <c r="J120" s="17"/>
      <c r="K120" s="17"/>
      <c r="L120" s="17"/>
      <c r="M120" s="17"/>
      <c r="N120" s="17"/>
      <c r="O120" s="17"/>
      <c r="P120" s="17"/>
      <c r="Q120" s="17"/>
      <c r="R120" s="17"/>
      <c r="S120" s="17"/>
      <c r="T120" s="17"/>
      <c r="U120" s="17"/>
      <c r="V120" s="34"/>
    </row>
    <row r="121" spans="1:22" ht="122.25">
      <c r="A121" s="4" t="s">
        <v>659</v>
      </c>
      <c r="B121" s="17" t="s">
        <v>394</v>
      </c>
      <c r="C121" s="17"/>
      <c r="D121" s="17"/>
      <c r="E121" s="17"/>
      <c r="F121" s="17" t="s">
        <v>397</v>
      </c>
      <c r="G121" s="17"/>
      <c r="H121" s="17" t="s">
        <v>245</v>
      </c>
      <c r="I121" s="17"/>
      <c r="J121" s="17"/>
      <c r="K121" s="17"/>
      <c r="L121" s="17"/>
      <c r="M121" s="17"/>
      <c r="N121" s="17"/>
      <c r="O121" s="17"/>
      <c r="P121" s="17"/>
      <c r="Q121" s="17"/>
      <c r="R121" s="17" t="s">
        <v>396</v>
      </c>
      <c r="S121" s="17" t="s">
        <v>395</v>
      </c>
      <c r="T121" s="17"/>
      <c r="U121" s="17"/>
      <c r="V121" s="34"/>
    </row>
    <row r="122" spans="1:22" ht="26.25">
      <c r="A122" s="8" t="s">
        <v>660</v>
      </c>
      <c r="B122" s="7"/>
      <c r="C122" s="7"/>
      <c r="D122" s="7"/>
      <c r="E122" s="7"/>
      <c r="F122" s="7"/>
      <c r="G122" s="7"/>
      <c r="H122" s="7"/>
      <c r="I122" s="7"/>
      <c r="J122" s="7"/>
      <c r="K122" s="7"/>
      <c r="L122" s="7"/>
      <c r="M122" s="7"/>
      <c r="N122" s="7"/>
      <c r="O122" s="7"/>
      <c r="P122" s="7"/>
      <c r="Q122" s="7"/>
      <c r="R122" s="7"/>
      <c r="S122" s="7"/>
      <c r="T122" s="7"/>
      <c r="U122" s="7"/>
      <c r="V122" s="32"/>
    </row>
    <row r="123" spans="1:22" ht="26.25">
      <c r="A123" s="4" t="s">
        <v>661</v>
      </c>
      <c r="B123" s="17"/>
      <c r="C123" s="17"/>
      <c r="D123" s="17"/>
      <c r="E123" s="17"/>
      <c r="F123" s="17"/>
      <c r="G123" s="17"/>
      <c r="H123" s="17"/>
      <c r="I123" s="17"/>
      <c r="J123" s="17"/>
      <c r="K123" s="17"/>
      <c r="L123" s="17"/>
      <c r="M123" s="17"/>
      <c r="N123" s="17"/>
      <c r="O123" s="17"/>
      <c r="P123" s="17"/>
      <c r="Q123" s="17"/>
      <c r="R123" s="17"/>
      <c r="S123" s="17"/>
      <c r="T123" s="17"/>
      <c r="U123" s="17"/>
      <c r="V123" s="34"/>
    </row>
    <row r="124" spans="1:22" ht="30">
      <c r="A124" s="8" t="s">
        <v>662</v>
      </c>
      <c r="B124" s="7" t="s">
        <v>401</v>
      </c>
      <c r="C124" s="7"/>
      <c r="D124" s="7"/>
      <c r="E124" s="7"/>
      <c r="F124" s="7"/>
      <c r="G124" s="7"/>
      <c r="H124" s="7"/>
      <c r="I124" s="7"/>
      <c r="J124" s="7"/>
      <c r="K124" s="7"/>
      <c r="L124" s="7"/>
      <c r="M124" s="7" t="s">
        <v>402</v>
      </c>
      <c r="N124" s="7"/>
      <c r="O124" s="7"/>
      <c r="P124" s="7"/>
      <c r="Q124" s="7"/>
      <c r="R124" s="7"/>
      <c r="S124" s="7"/>
      <c r="T124" s="7"/>
      <c r="U124" s="7"/>
      <c r="V124" s="32"/>
    </row>
    <row r="125" spans="1:22" ht="30">
      <c r="A125" s="8" t="s">
        <v>662</v>
      </c>
      <c r="B125" s="7" t="s">
        <v>215</v>
      </c>
      <c r="C125" s="7"/>
      <c r="D125" s="7"/>
      <c r="E125" s="7"/>
      <c r="F125" s="7"/>
      <c r="G125" s="7"/>
      <c r="H125" s="7"/>
      <c r="I125" s="7"/>
      <c r="J125" s="7"/>
      <c r="K125" s="7" t="s">
        <v>217</v>
      </c>
      <c r="L125" s="7"/>
      <c r="M125" s="7" t="s">
        <v>934</v>
      </c>
      <c r="N125" s="7"/>
      <c r="O125" s="7"/>
      <c r="P125" s="7"/>
      <c r="Q125" s="7"/>
      <c r="R125" s="7" t="s">
        <v>216</v>
      </c>
      <c r="S125" s="7"/>
      <c r="T125" s="7"/>
      <c r="U125" s="7"/>
      <c r="V125" s="32"/>
    </row>
    <row r="126" spans="1:22" ht="40.5">
      <c r="A126" s="8" t="s">
        <v>662</v>
      </c>
      <c r="B126" s="7" t="s">
        <v>219</v>
      </c>
      <c r="C126" s="7" t="s">
        <v>220</v>
      </c>
      <c r="D126" s="7"/>
      <c r="E126" s="7" t="s">
        <v>126</v>
      </c>
      <c r="F126" s="7" t="s">
        <v>126</v>
      </c>
      <c r="G126" s="7" t="s">
        <v>126</v>
      </c>
      <c r="H126" s="7"/>
      <c r="I126" s="7"/>
      <c r="J126" s="7"/>
      <c r="K126" s="7"/>
      <c r="L126" s="7"/>
      <c r="M126" s="7"/>
      <c r="N126" s="7"/>
      <c r="O126" s="7"/>
      <c r="P126" s="7"/>
      <c r="Q126" s="7"/>
      <c r="R126" s="7"/>
      <c r="S126" s="7"/>
      <c r="T126" s="7"/>
      <c r="U126" s="7"/>
      <c r="V126" s="32"/>
    </row>
    <row r="127" spans="1:22" ht="12.75">
      <c r="A127" s="4" t="s">
        <v>663</v>
      </c>
      <c r="B127" s="17"/>
      <c r="C127" s="17"/>
      <c r="D127" s="17"/>
      <c r="E127" s="17"/>
      <c r="F127" s="17"/>
      <c r="G127" s="17"/>
      <c r="H127" s="17"/>
      <c r="I127" s="17"/>
      <c r="J127" s="17"/>
      <c r="K127" s="17"/>
      <c r="L127" s="17"/>
      <c r="M127" s="17"/>
      <c r="N127" s="17"/>
      <c r="O127" s="17"/>
      <c r="P127" s="17"/>
      <c r="Q127" s="17"/>
      <c r="R127" s="17"/>
      <c r="S127" s="17"/>
      <c r="T127" s="17"/>
      <c r="U127" s="17"/>
      <c r="V127" s="34"/>
    </row>
    <row r="128" spans="1:22" ht="40.5">
      <c r="A128" s="8" t="s">
        <v>664</v>
      </c>
      <c r="B128" s="7" t="s">
        <v>183</v>
      </c>
      <c r="C128" s="7"/>
      <c r="D128" s="7"/>
      <c r="E128" s="7"/>
      <c r="F128" s="7"/>
      <c r="G128" s="7"/>
      <c r="H128" s="7" t="s">
        <v>187</v>
      </c>
      <c r="I128" s="7"/>
      <c r="J128" s="7"/>
      <c r="K128" s="7"/>
      <c r="L128" s="7" t="s">
        <v>185</v>
      </c>
      <c r="M128" s="7"/>
      <c r="N128" s="7"/>
      <c r="O128" s="7"/>
      <c r="P128" s="7"/>
      <c r="Q128" s="7"/>
      <c r="R128" s="7" t="s">
        <v>184</v>
      </c>
      <c r="S128" s="7" t="s">
        <v>186</v>
      </c>
      <c r="T128" s="7"/>
      <c r="U128" s="7"/>
      <c r="V128" s="32"/>
    </row>
    <row r="129" spans="1:22" ht="40.5">
      <c r="A129" s="8" t="s">
        <v>664</v>
      </c>
      <c r="B129" s="7" t="s">
        <v>497</v>
      </c>
      <c r="C129" s="7"/>
      <c r="D129" s="7"/>
      <c r="E129" s="7"/>
      <c r="F129" s="7"/>
      <c r="G129" s="7"/>
      <c r="H129" s="7" t="s">
        <v>516</v>
      </c>
      <c r="I129" s="7"/>
      <c r="J129" s="7"/>
      <c r="K129" s="7"/>
      <c r="L129" s="7" t="s">
        <v>178</v>
      </c>
      <c r="M129" s="7" t="s">
        <v>535</v>
      </c>
      <c r="N129" s="7"/>
      <c r="O129" s="7" t="s">
        <v>536</v>
      </c>
      <c r="P129" s="7"/>
      <c r="Q129" s="7"/>
      <c r="R129" s="7"/>
      <c r="S129" s="7"/>
      <c r="T129" s="7"/>
      <c r="U129" s="7"/>
      <c r="V129" s="32"/>
    </row>
    <row r="130" spans="1:22" ht="40.5">
      <c r="A130" s="4" t="s">
        <v>665</v>
      </c>
      <c r="B130" s="17" t="s">
        <v>836</v>
      </c>
      <c r="C130" s="17"/>
      <c r="D130" s="17"/>
      <c r="E130" s="17"/>
      <c r="F130" s="17"/>
      <c r="G130" s="17"/>
      <c r="H130" s="17" t="s">
        <v>840</v>
      </c>
      <c r="I130" s="17"/>
      <c r="J130" s="17"/>
      <c r="K130" s="17"/>
      <c r="L130" s="17" t="s">
        <v>841</v>
      </c>
      <c r="M130" s="17" t="s">
        <v>842</v>
      </c>
      <c r="N130" s="17"/>
      <c r="O130" s="17" t="s">
        <v>838</v>
      </c>
      <c r="P130" s="17"/>
      <c r="Q130" s="17"/>
      <c r="R130" s="17" t="s">
        <v>839</v>
      </c>
      <c r="S130" s="17" t="s">
        <v>837</v>
      </c>
      <c r="T130" s="17"/>
      <c r="U130" s="17"/>
      <c r="V130" s="34"/>
    </row>
    <row r="131" spans="1:22" ht="30">
      <c r="A131" s="4" t="s">
        <v>665</v>
      </c>
      <c r="B131" s="17" t="s">
        <v>497</v>
      </c>
      <c r="C131" s="17"/>
      <c r="D131" s="17"/>
      <c r="E131" s="17"/>
      <c r="F131" s="17"/>
      <c r="G131" s="17"/>
      <c r="H131" s="17"/>
      <c r="I131" s="17"/>
      <c r="J131" s="17"/>
      <c r="K131" s="17"/>
      <c r="L131" s="17"/>
      <c r="M131" s="17"/>
      <c r="N131" s="17"/>
      <c r="O131" s="17"/>
      <c r="P131" s="17"/>
      <c r="Q131" s="17"/>
      <c r="R131" s="17"/>
      <c r="S131" s="17" t="s">
        <v>541</v>
      </c>
      <c r="T131" s="17"/>
      <c r="U131" s="17"/>
      <c r="V131" s="34"/>
    </row>
    <row r="132" spans="1:22" ht="40.5">
      <c r="A132" s="8" t="s">
        <v>666</v>
      </c>
      <c r="B132" s="7" t="s">
        <v>232</v>
      </c>
      <c r="C132" s="7"/>
      <c r="D132" s="7"/>
      <c r="E132" s="7"/>
      <c r="F132" s="7"/>
      <c r="G132" s="7"/>
      <c r="H132" s="7"/>
      <c r="I132" s="7"/>
      <c r="J132" s="7"/>
      <c r="K132" s="7"/>
      <c r="L132" s="7"/>
      <c r="M132" s="7"/>
      <c r="N132" s="7"/>
      <c r="O132" s="7"/>
      <c r="P132" s="7"/>
      <c r="Q132" s="7"/>
      <c r="R132" s="7" t="s">
        <v>233</v>
      </c>
      <c r="S132" s="7"/>
      <c r="T132" s="7"/>
      <c r="U132" s="7"/>
      <c r="V132" s="32"/>
    </row>
    <row r="133" spans="1:22" ht="12.75">
      <c r="A133" s="8" t="s">
        <v>666</v>
      </c>
      <c r="B133" s="7" t="s">
        <v>504</v>
      </c>
      <c r="C133" s="7"/>
      <c r="D133" s="7"/>
      <c r="E133" s="7"/>
      <c r="F133" s="7"/>
      <c r="G133" s="7"/>
      <c r="H133" s="7"/>
      <c r="I133" s="7"/>
      <c r="J133" s="7"/>
      <c r="K133" s="7"/>
      <c r="L133" s="39" t="s">
        <v>393</v>
      </c>
      <c r="M133" s="7"/>
      <c r="N133" s="7"/>
      <c r="O133" s="7"/>
      <c r="P133" s="7"/>
      <c r="Q133" s="7"/>
      <c r="R133" s="7"/>
      <c r="S133" s="7"/>
      <c r="T133" s="7"/>
      <c r="U133" s="7"/>
      <c r="V133" s="32"/>
    </row>
    <row r="134" spans="1:22" ht="12.75">
      <c r="A134" s="8" t="s">
        <v>666</v>
      </c>
      <c r="B134" s="7" t="s">
        <v>955</v>
      </c>
      <c r="C134" s="7"/>
      <c r="D134" s="7"/>
      <c r="E134" s="7"/>
      <c r="F134" s="7"/>
      <c r="G134" s="7"/>
      <c r="H134" s="7" t="s">
        <v>557</v>
      </c>
      <c r="I134" s="7"/>
      <c r="J134" s="7"/>
      <c r="K134" s="7"/>
      <c r="L134" s="7" t="s">
        <v>956</v>
      </c>
      <c r="M134" s="7"/>
      <c r="N134" s="7"/>
      <c r="O134" s="7"/>
      <c r="P134" s="7"/>
      <c r="Q134" s="7"/>
      <c r="R134" s="7" t="s">
        <v>312</v>
      </c>
      <c r="S134" s="7"/>
      <c r="T134" s="7"/>
      <c r="U134" s="7"/>
      <c r="V134" s="32"/>
    </row>
    <row r="135" spans="1:22" ht="26.25">
      <c r="A135" s="4" t="s">
        <v>667</v>
      </c>
      <c r="B135" s="17"/>
      <c r="C135" s="17"/>
      <c r="D135" s="17"/>
      <c r="E135" s="17"/>
      <c r="F135" s="17"/>
      <c r="G135" s="17"/>
      <c r="H135" s="17"/>
      <c r="I135" s="17"/>
      <c r="J135" s="17"/>
      <c r="K135" s="17"/>
      <c r="L135" s="17"/>
      <c r="M135" s="17"/>
      <c r="N135" s="17"/>
      <c r="O135" s="17"/>
      <c r="P135" s="17"/>
      <c r="Q135" s="17"/>
      <c r="R135" s="17"/>
      <c r="S135" s="17"/>
      <c r="T135" s="17"/>
      <c r="U135" s="17"/>
      <c r="V135" s="34"/>
    </row>
    <row r="136" spans="1:22" ht="26.25">
      <c r="A136" s="8" t="s">
        <v>668</v>
      </c>
      <c r="B136" s="7"/>
      <c r="C136" s="7"/>
      <c r="D136" s="7"/>
      <c r="E136" s="7"/>
      <c r="F136" s="7"/>
      <c r="G136" s="7"/>
      <c r="H136" s="7"/>
      <c r="I136" s="7"/>
      <c r="J136" s="7"/>
      <c r="K136" s="7"/>
      <c r="L136" s="7"/>
      <c r="M136" s="7"/>
      <c r="N136" s="7"/>
      <c r="O136" s="7"/>
      <c r="P136" s="7"/>
      <c r="Q136" s="7"/>
      <c r="R136" s="7"/>
      <c r="S136" s="7"/>
      <c r="T136" s="7"/>
      <c r="U136" s="7"/>
      <c r="V136" s="32"/>
    </row>
    <row r="137" spans="1:22" ht="26.25">
      <c r="A137" s="4" t="s">
        <v>669</v>
      </c>
      <c r="B137" s="17"/>
      <c r="C137" s="17"/>
      <c r="D137" s="17"/>
      <c r="E137" s="17"/>
      <c r="F137" s="17"/>
      <c r="G137" s="17"/>
      <c r="H137" s="17"/>
      <c r="I137" s="17"/>
      <c r="J137" s="17"/>
      <c r="K137" s="17"/>
      <c r="L137" s="17"/>
      <c r="M137" s="17"/>
      <c r="N137" s="17"/>
      <c r="O137" s="17"/>
      <c r="P137" s="17"/>
      <c r="Q137" s="17"/>
      <c r="R137" s="17"/>
      <c r="S137" s="17"/>
      <c r="T137" s="17"/>
      <c r="U137" s="17"/>
      <c r="V137" s="34"/>
    </row>
    <row r="138" spans="1:22" ht="60.75">
      <c r="A138" s="8" t="s">
        <v>670</v>
      </c>
      <c r="B138" s="7" t="s">
        <v>179</v>
      </c>
      <c r="C138" s="7"/>
      <c r="D138" s="7"/>
      <c r="E138" s="7"/>
      <c r="F138" s="7"/>
      <c r="G138" s="7"/>
      <c r="H138" s="7" t="s">
        <v>182</v>
      </c>
      <c r="I138" s="7"/>
      <c r="J138" s="7"/>
      <c r="K138" s="7"/>
      <c r="L138" s="7" t="s">
        <v>16</v>
      </c>
      <c r="M138" s="7"/>
      <c r="N138" s="7"/>
      <c r="O138" s="7" t="s">
        <v>243</v>
      </c>
      <c r="P138" s="7"/>
      <c r="Q138" s="7"/>
      <c r="R138" s="7" t="s">
        <v>180</v>
      </c>
      <c r="S138" s="7" t="s">
        <v>181</v>
      </c>
      <c r="T138" s="7"/>
      <c r="U138" s="7"/>
      <c r="V138" s="32"/>
    </row>
    <row r="139" spans="1:22" ht="26.25">
      <c r="A139" s="8" t="s">
        <v>670</v>
      </c>
      <c r="B139" s="7" t="s">
        <v>502</v>
      </c>
      <c r="C139" s="7"/>
      <c r="D139" s="7"/>
      <c r="E139" s="7"/>
      <c r="F139" s="7"/>
      <c r="G139" s="7"/>
      <c r="H139" s="7"/>
      <c r="I139" s="7"/>
      <c r="J139" s="7"/>
      <c r="K139" s="7"/>
      <c r="L139" s="7" t="s">
        <v>21</v>
      </c>
      <c r="M139" s="7"/>
      <c r="N139" s="7"/>
      <c r="O139" s="7"/>
      <c r="P139" s="7"/>
      <c r="Q139" s="7"/>
      <c r="R139" s="7"/>
      <c r="S139" s="7"/>
      <c r="T139" s="7"/>
      <c r="U139" s="7"/>
      <c r="V139" s="7"/>
    </row>
    <row r="140" spans="1:22" ht="51">
      <c r="A140" s="8" t="s">
        <v>670</v>
      </c>
      <c r="B140" s="7" t="s">
        <v>313</v>
      </c>
      <c r="C140" s="7" t="s">
        <v>235</v>
      </c>
      <c r="D140" s="7"/>
      <c r="E140" s="7"/>
      <c r="F140" s="7" t="s">
        <v>240</v>
      </c>
      <c r="G140" s="7"/>
      <c r="H140" s="7" t="s">
        <v>234</v>
      </c>
      <c r="I140" s="7"/>
      <c r="J140" s="7"/>
      <c r="K140" s="7"/>
      <c r="L140" s="7" t="s">
        <v>241</v>
      </c>
      <c r="M140" s="7" t="s">
        <v>239</v>
      </c>
      <c r="N140" s="7"/>
      <c r="O140" s="7" t="s">
        <v>242</v>
      </c>
      <c r="P140" s="7"/>
      <c r="Q140" s="7"/>
      <c r="R140" s="7" t="s">
        <v>236</v>
      </c>
      <c r="S140" s="7" t="s">
        <v>237</v>
      </c>
      <c r="T140" s="7" t="s">
        <v>238</v>
      </c>
      <c r="U140" s="7"/>
      <c r="V140" s="32"/>
    </row>
    <row r="141" spans="1:22" ht="51">
      <c r="A141" s="8" t="s">
        <v>670</v>
      </c>
      <c r="B141" s="7" t="s">
        <v>306</v>
      </c>
      <c r="C141" s="7"/>
      <c r="D141" s="7"/>
      <c r="E141" s="7"/>
      <c r="F141" s="7"/>
      <c r="G141" s="7"/>
      <c r="H141" s="7"/>
      <c r="I141" s="7"/>
      <c r="J141" s="7"/>
      <c r="K141" s="7"/>
      <c r="L141" s="7"/>
      <c r="M141" s="7"/>
      <c r="N141" s="7"/>
      <c r="O141" s="7"/>
      <c r="P141" s="7"/>
      <c r="Q141" s="7"/>
      <c r="R141" s="7"/>
      <c r="S141" s="7" t="s">
        <v>307</v>
      </c>
      <c r="T141" s="7"/>
      <c r="U141" s="7"/>
      <c r="V141" s="7"/>
    </row>
    <row r="142" spans="1:22" ht="26.25">
      <c r="A142" s="4" t="s">
        <v>671</v>
      </c>
      <c r="B142" s="17" t="s">
        <v>45</v>
      </c>
      <c r="C142" s="17"/>
      <c r="D142" s="17"/>
      <c r="E142" s="17"/>
      <c r="F142" s="17"/>
      <c r="G142" s="17"/>
      <c r="H142" s="17"/>
      <c r="I142" s="17"/>
      <c r="J142" s="17"/>
      <c r="K142" s="17"/>
      <c r="L142" s="17"/>
      <c r="M142" s="17" t="s">
        <v>46</v>
      </c>
      <c r="N142" s="17"/>
      <c r="O142" s="17"/>
      <c r="P142" s="17"/>
      <c r="Q142" s="17"/>
      <c r="R142" s="17"/>
      <c r="S142" s="17"/>
      <c r="T142" s="17"/>
      <c r="U142" s="17"/>
      <c r="V142" s="34"/>
    </row>
    <row r="143" spans="1:22" ht="30">
      <c r="A143" s="4" t="s">
        <v>671</v>
      </c>
      <c r="B143" s="17" t="s">
        <v>43</v>
      </c>
      <c r="C143" s="17" t="s">
        <v>48</v>
      </c>
      <c r="D143" s="17"/>
      <c r="E143" s="17"/>
      <c r="F143" s="17" t="s">
        <v>49</v>
      </c>
      <c r="G143" s="17"/>
      <c r="H143" s="17"/>
      <c r="I143" s="17"/>
      <c r="J143" s="17" t="s">
        <v>44</v>
      </c>
      <c r="K143" s="17"/>
      <c r="L143" s="17"/>
      <c r="M143" s="17"/>
      <c r="N143" s="17"/>
      <c r="O143" s="17"/>
      <c r="P143" s="17"/>
      <c r="Q143" s="17"/>
      <c r="R143" s="17"/>
      <c r="S143" s="17"/>
      <c r="T143" s="17"/>
      <c r="U143" s="17"/>
      <c r="V143" s="17"/>
    </row>
    <row r="144" spans="1:22" ht="26.25">
      <c r="A144" s="4" t="s">
        <v>671</v>
      </c>
      <c r="B144" s="17" t="s">
        <v>47</v>
      </c>
      <c r="C144" s="17"/>
      <c r="D144" s="17"/>
      <c r="E144" s="17"/>
      <c r="F144" s="17"/>
      <c r="G144" s="17"/>
      <c r="H144" s="17"/>
      <c r="I144" s="17"/>
      <c r="J144" s="17"/>
      <c r="K144" s="17"/>
      <c r="L144" s="17"/>
      <c r="M144" s="17" t="s">
        <v>916</v>
      </c>
      <c r="N144" s="17"/>
      <c r="O144" s="17">
        <v>0.55</v>
      </c>
      <c r="P144" s="17"/>
      <c r="Q144" s="17"/>
      <c r="R144" s="17"/>
      <c r="S144" s="17"/>
      <c r="T144" s="17"/>
      <c r="U144" s="17"/>
      <c r="V144" s="34"/>
    </row>
    <row r="145" spans="1:22" ht="26.25">
      <c r="A145" s="4" t="s">
        <v>671</v>
      </c>
      <c r="B145" s="17" t="s">
        <v>880</v>
      </c>
      <c r="C145" s="17"/>
      <c r="D145" s="17"/>
      <c r="E145" s="17"/>
      <c r="F145" s="17"/>
      <c r="G145" s="17"/>
      <c r="H145" s="17"/>
      <c r="I145" s="17"/>
      <c r="J145" s="17"/>
      <c r="K145" s="17"/>
      <c r="L145" s="17" t="s">
        <v>882</v>
      </c>
      <c r="M145" s="17" t="s">
        <v>881</v>
      </c>
      <c r="N145" s="17"/>
      <c r="O145" s="17">
        <v>0.533</v>
      </c>
      <c r="P145" s="17"/>
      <c r="Q145" s="17"/>
      <c r="R145" s="17"/>
      <c r="S145" s="17"/>
      <c r="T145" s="17"/>
      <c r="U145" s="17"/>
      <c r="V145" s="34"/>
    </row>
    <row r="146" spans="1:22" ht="30">
      <c r="A146" s="4" t="s">
        <v>671</v>
      </c>
      <c r="B146" s="17" t="s">
        <v>308</v>
      </c>
      <c r="C146" s="17"/>
      <c r="D146" s="17"/>
      <c r="E146" s="17"/>
      <c r="F146" s="17"/>
      <c r="G146" s="17"/>
      <c r="H146" s="17"/>
      <c r="I146" s="17"/>
      <c r="J146" s="17"/>
      <c r="K146" s="17" t="s">
        <v>310</v>
      </c>
      <c r="L146" s="17" t="s">
        <v>311</v>
      </c>
      <c r="M146" s="17"/>
      <c r="N146" s="17"/>
      <c r="O146" s="17"/>
      <c r="P146" s="17"/>
      <c r="Q146" s="17"/>
      <c r="R146" s="17" t="s">
        <v>227</v>
      </c>
      <c r="S146" s="17" t="s">
        <v>309</v>
      </c>
      <c r="T146" s="17"/>
      <c r="U146" s="17"/>
      <c r="V146" s="34"/>
    </row>
    <row r="147" spans="1:22" ht="51">
      <c r="A147" s="8" t="s">
        <v>672</v>
      </c>
      <c r="B147" s="7" t="s">
        <v>170</v>
      </c>
      <c r="C147" s="7"/>
      <c r="D147" s="7"/>
      <c r="E147" s="7"/>
      <c r="F147" s="7"/>
      <c r="G147" s="7"/>
      <c r="H147" s="7" t="s">
        <v>174</v>
      </c>
      <c r="I147" s="7"/>
      <c r="J147" s="7"/>
      <c r="K147" s="7"/>
      <c r="L147" s="7" t="s">
        <v>171</v>
      </c>
      <c r="M147" s="7" t="s">
        <v>46</v>
      </c>
      <c r="N147" s="7"/>
      <c r="O147" s="7"/>
      <c r="P147" s="7"/>
      <c r="Q147" s="7"/>
      <c r="R147" s="7" t="s">
        <v>173</v>
      </c>
      <c r="S147" s="7" t="s">
        <v>172</v>
      </c>
      <c r="T147" s="7"/>
      <c r="U147" s="7"/>
      <c r="V147" s="32"/>
    </row>
    <row r="148" spans="1:22" ht="51">
      <c r="A148" s="8" t="s">
        <v>672</v>
      </c>
      <c r="B148" s="7" t="s">
        <v>306</v>
      </c>
      <c r="C148" s="7"/>
      <c r="D148" s="7"/>
      <c r="E148" s="7"/>
      <c r="F148" s="7"/>
      <c r="G148" s="7"/>
      <c r="H148" s="7"/>
      <c r="I148" s="7"/>
      <c r="J148" s="7"/>
      <c r="K148" s="7"/>
      <c r="L148" s="7"/>
      <c r="M148" s="7"/>
      <c r="N148" s="7"/>
      <c r="O148" s="7"/>
      <c r="P148" s="7"/>
      <c r="Q148" s="7"/>
      <c r="R148" s="7"/>
      <c r="S148" s="7"/>
      <c r="T148" s="7"/>
      <c r="U148" s="7"/>
      <c r="V148" s="7"/>
    </row>
    <row r="149" spans="1:22" ht="12.75">
      <c r="A149" s="4" t="s">
        <v>673</v>
      </c>
      <c r="B149" s="17"/>
      <c r="C149" s="17"/>
      <c r="D149" s="17"/>
      <c r="E149" s="17"/>
      <c r="F149" s="17"/>
      <c r="G149" s="17"/>
      <c r="H149" s="17"/>
      <c r="I149" s="17"/>
      <c r="J149" s="17"/>
      <c r="K149" s="17"/>
      <c r="L149" s="17"/>
      <c r="M149" s="17"/>
      <c r="N149" s="17"/>
      <c r="O149" s="17"/>
      <c r="P149" s="17"/>
      <c r="Q149" s="17"/>
      <c r="R149" s="17"/>
      <c r="S149" s="17"/>
      <c r="T149" s="17"/>
      <c r="U149" s="17"/>
      <c r="V149" s="34"/>
    </row>
    <row r="150" spans="1:22" ht="40.5">
      <c r="A150" s="8" t="s">
        <v>674</v>
      </c>
      <c r="B150" s="7" t="s">
        <v>491</v>
      </c>
      <c r="C150" s="7"/>
      <c r="D150" s="7"/>
      <c r="E150" s="7"/>
      <c r="F150" s="7"/>
      <c r="G150" s="7"/>
      <c r="H150" s="7"/>
      <c r="I150" s="7"/>
      <c r="J150" s="7"/>
      <c r="K150" s="7"/>
      <c r="L150" s="7" t="s">
        <v>950</v>
      </c>
      <c r="M150" s="7"/>
      <c r="N150" s="7"/>
      <c r="O150" s="7"/>
      <c r="P150" s="7"/>
      <c r="Q150" s="7"/>
      <c r="R150" s="7"/>
      <c r="S150" s="7"/>
      <c r="T150" s="7"/>
      <c r="U150" s="7"/>
      <c r="V150" s="32"/>
    </row>
    <row r="151" spans="1:22" ht="12.75">
      <c r="A151" s="8" t="s">
        <v>674</v>
      </c>
      <c r="B151" s="7" t="s">
        <v>9</v>
      </c>
      <c r="C151" s="7"/>
      <c r="D151" s="7"/>
      <c r="E151" s="7"/>
      <c r="F151" s="7"/>
      <c r="G151" s="7"/>
      <c r="H151" s="7"/>
      <c r="I151" s="7"/>
      <c r="J151" s="7"/>
      <c r="K151" s="7"/>
      <c r="L151" s="7"/>
      <c r="M151" s="7"/>
      <c r="N151" s="7"/>
      <c r="O151" s="7"/>
      <c r="P151" s="7"/>
      <c r="Q151" s="7"/>
      <c r="R151" s="7"/>
      <c r="S151" s="7" t="s">
        <v>10</v>
      </c>
      <c r="T151" s="7"/>
      <c r="U151" s="7"/>
      <c r="V151" s="32"/>
    </row>
    <row r="152" spans="1:22" ht="12.75">
      <c r="A152" s="8" t="s">
        <v>674</v>
      </c>
      <c r="B152" s="7" t="s">
        <v>20</v>
      </c>
      <c r="C152" s="7"/>
      <c r="D152" s="7"/>
      <c r="E152" s="7"/>
      <c r="F152" s="7"/>
      <c r="G152" s="7"/>
      <c r="H152" s="7"/>
      <c r="I152" s="7"/>
      <c r="J152" s="7"/>
      <c r="K152" s="7"/>
      <c r="L152" s="7" t="s">
        <v>21</v>
      </c>
      <c r="M152" s="7"/>
      <c r="N152" s="7"/>
      <c r="O152" s="7"/>
      <c r="P152" s="7"/>
      <c r="Q152" s="7"/>
      <c r="R152" s="7"/>
      <c r="S152" s="7"/>
      <c r="T152" s="7"/>
      <c r="U152" s="7"/>
      <c r="V152" s="32"/>
    </row>
    <row r="153" spans="1:22" ht="30">
      <c r="A153" s="8" t="s">
        <v>674</v>
      </c>
      <c r="B153" s="7" t="s">
        <v>15</v>
      </c>
      <c r="C153" s="7"/>
      <c r="D153" s="7"/>
      <c r="E153" s="7"/>
      <c r="F153" s="7"/>
      <c r="G153" s="7"/>
      <c r="H153" s="7"/>
      <c r="I153" s="7"/>
      <c r="J153" s="7"/>
      <c r="K153" s="7"/>
      <c r="L153" s="7"/>
      <c r="M153" s="7"/>
      <c r="N153" s="7"/>
      <c r="O153" s="7"/>
      <c r="P153" s="7"/>
      <c r="Q153" s="7"/>
      <c r="R153" s="7" t="s">
        <v>18</v>
      </c>
      <c r="S153" s="7" t="s">
        <v>17</v>
      </c>
      <c r="T153" s="7"/>
      <c r="U153" s="7"/>
      <c r="V153" s="32"/>
    </row>
    <row r="154" spans="1:22" ht="12.75">
      <c r="A154" s="8" t="s">
        <v>674</v>
      </c>
      <c r="B154" s="7" t="s">
        <v>13</v>
      </c>
      <c r="C154" s="7"/>
      <c r="D154" s="7"/>
      <c r="E154" s="7"/>
      <c r="F154" s="7"/>
      <c r="G154" s="7"/>
      <c r="H154" s="7"/>
      <c r="I154" s="7"/>
      <c r="J154" s="7"/>
      <c r="K154" s="7"/>
      <c r="L154" s="7" t="s">
        <v>16</v>
      </c>
      <c r="M154" s="7"/>
      <c r="N154" s="7"/>
      <c r="O154" s="7"/>
      <c r="P154" s="7"/>
      <c r="Q154" s="7"/>
      <c r="R154" s="7"/>
      <c r="S154" s="7" t="s">
        <v>14</v>
      </c>
      <c r="T154" s="7"/>
      <c r="U154" s="7"/>
      <c r="V154" s="32"/>
    </row>
    <row r="155" spans="1:22" ht="30">
      <c r="A155" s="8" t="s">
        <v>674</v>
      </c>
      <c r="B155" s="7" t="s">
        <v>19</v>
      </c>
      <c r="C155" s="7"/>
      <c r="D155" s="7"/>
      <c r="E155" s="7"/>
      <c r="F155" s="7"/>
      <c r="G155" s="7"/>
      <c r="H155" s="7"/>
      <c r="I155" s="7"/>
      <c r="J155" s="7"/>
      <c r="K155" s="7"/>
      <c r="L155" s="7"/>
      <c r="M155" s="7" t="s">
        <v>22</v>
      </c>
      <c r="N155" s="7"/>
      <c r="O155" s="7"/>
      <c r="P155" s="7"/>
      <c r="Q155" s="7"/>
      <c r="R155" s="7"/>
      <c r="S155" s="7"/>
      <c r="T155" s="7"/>
      <c r="U155" s="7"/>
      <c r="V155" s="32"/>
    </row>
    <row r="156" spans="1:22" ht="30">
      <c r="A156" s="8" t="s">
        <v>674</v>
      </c>
      <c r="B156" s="7" t="s">
        <v>6</v>
      </c>
      <c r="C156" s="7"/>
      <c r="D156" s="7"/>
      <c r="E156" s="7"/>
      <c r="F156" s="7"/>
      <c r="G156" s="7"/>
      <c r="H156" s="7"/>
      <c r="I156" s="7"/>
      <c r="J156" s="7"/>
      <c r="K156" s="7"/>
      <c r="L156" s="7"/>
      <c r="M156" s="7"/>
      <c r="N156" s="7"/>
      <c r="O156" s="7"/>
      <c r="P156" s="7"/>
      <c r="Q156" s="7"/>
      <c r="R156" s="7" t="s">
        <v>7</v>
      </c>
      <c r="S156" s="7" t="s">
        <v>8</v>
      </c>
      <c r="T156" s="7"/>
      <c r="U156" s="7"/>
      <c r="V156" s="32"/>
    </row>
    <row r="157" spans="1:22" ht="51">
      <c r="A157" s="8" t="s">
        <v>674</v>
      </c>
      <c r="B157" s="7" t="s">
        <v>127</v>
      </c>
      <c r="C157" s="7"/>
      <c r="D157" s="7"/>
      <c r="E157" s="7"/>
      <c r="F157" s="7"/>
      <c r="G157" s="7"/>
      <c r="H157" s="7"/>
      <c r="I157" s="7"/>
      <c r="J157" s="7"/>
      <c r="K157" s="7"/>
      <c r="L157" s="7"/>
      <c r="M157" s="7"/>
      <c r="N157" s="7"/>
      <c r="O157" s="7"/>
      <c r="P157" s="7"/>
      <c r="Q157" s="7"/>
      <c r="R157" s="7" t="s">
        <v>7</v>
      </c>
      <c r="S157" s="7" t="s">
        <v>128</v>
      </c>
      <c r="T157" s="7"/>
      <c r="U157" s="7"/>
      <c r="V157" s="32"/>
    </row>
    <row r="158" spans="1:22" ht="12.75">
      <c r="A158" s="8" t="s">
        <v>674</v>
      </c>
      <c r="B158" s="7" t="s">
        <v>11</v>
      </c>
      <c r="C158" s="7"/>
      <c r="D158" s="7"/>
      <c r="E158" s="7"/>
      <c r="F158" s="7"/>
      <c r="G158" s="7"/>
      <c r="H158" s="7"/>
      <c r="I158" s="7"/>
      <c r="J158" s="7"/>
      <c r="K158" s="7"/>
      <c r="L158" s="7"/>
      <c r="M158" s="7"/>
      <c r="N158" s="7"/>
      <c r="O158" s="7"/>
      <c r="P158" s="7"/>
      <c r="Q158" s="7"/>
      <c r="R158" s="7"/>
      <c r="S158" s="7" t="s">
        <v>12</v>
      </c>
      <c r="T158" s="7"/>
      <c r="U158" s="7"/>
      <c r="V158" s="32"/>
    </row>
    <row r="159" spans="1:22" ht="40.5">
      <c r="A159" s="4" t="s">
        <v>675</v>
      </c>
      <c r="B159" s="17" t="s">
        <v>205</v>
      </c>
      <c r="C159" s="17"/>
      <c r="D159" s="17"/>
      <c r="E159" s="17"/>
      <c r="F159" s="17"/>
      <c r="G159" s="17"/>
      <c r="H159" s="17" t="s">
        <v>898</v>
      </c>
      <c r="I159" s="17"/>
      <c r="J159" s="17"/>
      <c r="K159" s="17"/>
      <c r="L159" s="17" t="s">
        <v>899</v>
      </c>
      <c r="M159" s="17" t="s">
        <v>900</v>
      </c>
      <c r="N159" s="17"/>
      <c r="O159" s="17"/>
      <c r="P159" s="17"/>
      <c r="Q159" s="17"/>
      <c r="R159" s="17"/>
      <c r="S159" s="17"/>
      <c r="T159" s="17"/>
      <c r="U159" s="17"/>
      <c r="V159" s="34"/>
    </row>
    <row r="160" spans="1:22" ht="40.5">
      <c r="A160" s="4" t="s">
        <v>675</v>
      </c>
      <c r="B160" s="17" t="s">
        <v>197</v>
      </c>
      <c r="C160" s="17"/>
      <c r="D160" s="17"/>
      <c r="E160" s="17"/>
      <c r="F160" s="17"/>
      <c r="G160" s="17"/>
      <c r="H160" s="17"/>
      <c r="I160" s="17"/>
      <c r="J160" s="17"/>
      <c r="K160" s="17"/>
      <c r="L160" s="17"/>
      <c r="M160" s="17"/>
      <c r="N160" s="17"/>
      <c r="O160" s="17"/>
      <c r="P160" s="17"/>
      <c r="Q160" s="17"/>
      <c r="R160" s="17" t="s">
        <v>901</v>
      </c>
      <c r="S160" s="17" t="s">
        <v>902</v>
      </c>
      <c r="T160" s="17"/>
      <c r="U160" s="17"/>
      <c r="V160" s="34"/>
    </row>
    <row r="161" spans="1:22" ht="12.75">
      <c r="A161" s="8" t="s">
        <v>676</v>
      </c>
      <c r="B161" s="7" t="s">
        <v>71</v>
      </c>
      <c r="C161" s="7"/>
      <c r="D161" s="7"/>
      <c r="E161" s="7"/>
      <c r="F161" s="7"/>
      <c r="G161" s="7"/>
      <c r="H161" s="7" t="s">
        <v>73</v>
      </c>
      <c r="I161" s="7"/>
      <c r="J161" s="7"/>
      <c r="K161" s="7"/>
      <c r="L161" s="7" t="s">
        <v>851</v>
      </c>
      <c r="M161" s="7" t="s">
        <v>916</v>
      </c>
      <c r="N161" s="7"/>
      <c r="O161" s="7"/>
      <c r="P161" s="7"/>
      <c r="Q161" s="7"/>
      <c r="R161" s="7" t="s">
        <v>72</v>
      </c>
      <c r="S161" s="7" t="s">
        <v>305</v>
      </c>
      <c r="T161" s="7"/>
      <c r="U161" s="7"/>
      <c r="V161" s="32"/>
    </row>
    <row r="162" spans="1:22" ht="30">
      <c r="A162" s="8" t="s">
        <v>676</v>
      </c>
      <c r="B162" s="7" t="s">
        <v>64</v>
      </c>
      <c r="C162" s="7"/>
      <c r="D162" s="7"/>
      <c r="E162" s="7"/>
      <c r="F162" s="7"/>
      <c r="G162" s="7"/>
      <c r="H162" s="7" t="s">
        <v>66</v>
      </c>
      <c r="I162" s="7"/>
      <c r="J162" s="7"/>
      <c r="K162" s="7"/>
      <c r="L162" s="7" t="s">
        <v>69</v>
      </c>
      <c r="M162" s="7"/>
      <c r="N162" s="7"/>
      <c r="O162" s="7"/>
      <c r="P162" s="7"/>
      <c r="Q162" s="7"/>
      <c r="R162" s="7" t="s">
        <v>70</v>
      </c>
      <c r="S162" s="7" t="s">
        <v>65</v>
      </c>
      <c r="T162" s="7"/>
      <c r="U162" s="7"/>
      <c r="V162" s="32"/>
    </row>
    <row r="163" spans="1:22" ht="20.25">
      <c r="A163" s="8" t="s">
        <v>676</v>
      </c>
      <c r="B163" s="7" t="s">
        <v>67</v>
      </c>
      <c r="C163" s="7"/>
      <c r="D163" s="7"/>
      <c r="E163" s="7"/>
      <c r="F163" s="7"/>
      <c r="G163" s="7"/>
      <c r="H163" s="7"/>
      <c r="I163" s="7"/>
      <c r="J163" s="7"/>
      <c r="K163" s="7"/>
      <c r="L163" s="7" t="s">
        <v>68</v>
      </c>
      <c r="M163" s="7"/>
      <c r="N163" s="7"/>
      <c r="O163" s="7"/>
      <c r="P163" s="7"/>
      <c r="Q163" s="7"/>
      <c r="R163" s="7"/>
      <c r="S163" s="7"/>
      <c r="T163" s="7"/>
      <c r="U163" s="7"/>
      <c r="V163" s="32"/>
    </row>
    <row r="164" spans="1:22" ht="12.75">
      <c r="A164" s="4" t="s">
        <v>677</v>
      </c>
      <c r="B164" s="17"/>
      <c r="C164" s="17"/>
      <c r="D164" s="17"/>
      <c r="E164" s="17"/>
      <c r="F164" s="17"/>
      <c r="G164" s="17"/>
      <c r="H164" s="17"/>
      <c r="I164" s="17"/>
      <c r="J164" s="17"/>
      <c r="K164" s="17"/>
      <c r="L164" s="17"/>
      <c r="M164" s="17"/>
      <c r="N164" s="17"/>
      <c r="O164" s="17"/>
      <c r="P164" s="17"/>
      <c r="Q164" s="17"/>
      <c r="R164" s="17"/>
      <c r="S164" s="17"/>
      <c r="T164" s="17"/>
      <c r="U164" s="17"/>
      <c r="V164" s="34"/>
    </row>
    <row r="165" spans="1:22" ht="12.75">
      <c r="A165" s="8" t="s">
        <v>678</v>
      </c>
      <c r="B165" s="7" t="s">
        <v>679</v>
      </c>
      <c r="C165" s="9">
        <v>0.042</v>
      </c>
      <c r="D165" s="7"/>
      <c r="E165" s="7"/>
      <c r="F165" s="7"/>
      <c r="G165" s="7"/>
      <c r="H165" s="7"/>
      <c r="I165" s="7"/>
      <c r="J165" s="15">
        <v>13</v>
      </c>
      <c r="K165" s="7"/>
      <c r="L165" s="7"/>
      <c r="M165" s="7"/>
      <c r="N165" s="7"/>
      <c r="O165" s="7"/>
      <c r="P165" s="7"/>
      <c r="Q165" s="7"/>
      <c r="R165" s="7"/>
      <c r="S165" s="7"/>
      <c r="T165" s="7"/>
      <c r="U165" s="7"/>
      <c r="V165" s="32"/>
    </row>
    <row r="166" spans="1:22" ht="30">
      <c r="A166" s="8" t="s">
        <v>678</v>
      </c>
      <c r="B166" s="7" t="s">
        <v>188</v>
      </c>
      <c r="C166" s="9"/>
      <c r="D166" s="7"/>
      <c r="E166" s="7"/>
      <c r="F166" s="7"/>
      <c r="G166" s="7" t="s">
        <v>126</v>
      </c>
      <c r="H166" s="7"/>
      <c r="I166" s="7"/>
      <c r="J166" s="15"/>
      <c r="K166" s="7"/>
      <c r="L166" s="7"/>
      <c r="M166" s="7"/>
      <c r="N166" s="7"/>
      <c r="O166" s="7"/>
      <c r="P166" s="7"/>
      <c r="Q166" s="7"/>
      <c r="R166" s="7"/>
      <c r="S166" s="7"/>
      <c r="T166" s="7"/>
      <c r="U166" s="7"/>
      <c r="V166" s="32"/>
    </row>
    <row r="167" spans="1:22" ht="60.75">
      <c r="A167" s="8" t="s">
        <v>678</v>
      </c>
      <c r="B167" s="7" t="s">
        <v>168</v>
      </c>
      <c r="C167" s="9"/>
      <c r="D167" s="7"/>
      <c r="E167" s="7"/>
      <c r="F167" s="7"/>
      <c r="G167" s="7"/>
      <c r="H167" s="7" t="s">
        <v>169</v>
      </c>
      <c r="I167" s="7"/>
      <c r="J167" s="15"/>
      <c r="K167" s="7"/>
      <c r="L167" s="7"/>
      <c r="M167" s="7"/>
      <c r="N167" s="7"/>
      <c r="O167" s="7"/>
      <c r="P167" s="7"/>
      <c r="Q167" s="7"/>
      <c r="R167" s="7"/>
      <c r="S167" s="7"/>
      <c r="T167" s="7"/>
      <c r="U167" s="7"/>
      <c r="V167" s="32"/>
    </row>
    <row r="168" spans="1:22" ht="40.5">
      <c r="A168" s="8" t="s">
        <v>678</v>
      </c>
      <c r="B168" s="7" t="s">
        <v>403</v>
      </c>
      <c r="C168" s="9"/>
      <c r="D168" s="7"/>
      <c r="E168" s="7"/>
      <c r="F168" s="7"/>
      <c r="G168" s="7"/>
      <c r="H168" s="7" t="s">
        <v>959</v>
      </c>
      <c r="I168" s="7"/>
      <c r="J168" s="15"/>
      <c r="K168" s="7"/>
      <c r="L168" s="7"/>
      <c r="M168" s="7"/>
      <c r="N168" s="7"/>
      <c r="O168" s="7"/>
      <c r="P168" s="7"/>
      <c r="Q168" s="7"/>
      <c r="R168" s="7"/>
      <c r="S168" s="7"/>
      <c r="T168" s="7"/>
      <c r="U168" s="7"/>
      <c r="V168" s="32"/>
    </row>
    <row r="169" spans="1:22" ht="30">
      <c r="A169" s="8" t="s">
        <v>678</v>
      </c>
      <c r="B169" s="7" t="s">
        <v>248</v>
      </c>
      <c r="C169" s="9"/>
      <c r="D169" s="7"/>
      <c r="E169" s="7"/>
      <c r="F169" s="7"/>
      <c r="G169" s="7" t="s">
        <v>126</v>
      </c>
      <c r="H169" s="7" t="s">
        <v>249</v>
      </c>
      <c r="I169" s="7"/>
      <c r="J169" s="15"/>
      <c r="K169" s="7"/>
      <c r="L169" s="7" t="s">
        <v>250</v>
      </c>
      <c r="M169" s="7" t="s">
        <v>254</v>
      </c>
      <c r="N169" s="7"/>
      <c r="O169" s="40">
        <v>0.287</v>
      </c>
      <c r="P169" s="7"/>
      <c r="Q169" s="7"/>
      <c r="R169" s="7" t="s">
        <v>72</v>
      </c>
      <c r="S169" s="7"/>
      <c r="T169" s="7" t="s">
        <v>255</v>
      </c>
      <c r="U169" s="7"/>
      <c r="V169" s="32" t="s">
        <v>532</v>
      </c>
    </row>
    <row r="170" spans="1:22" ht="12.75">
      <c r="A170" s="8" t="s">
        <v>678</v>
      </c>
      <c r="B170" s="7" t="s">
        <v>133</v>
      </c>
      <c r="C170" s="9"/>
      <c r="D170" s="7"/>
      <c r="E170" s="7"/>
      <c r="F170" s="7"/>
      <c r="G170" s="7"/>
      <c r="H170" s="7" t="s">
        <v>959</v>
      </c>
      <c r="I170" s="7"/>
      <c r="J170" s="15"/>
      <c r="K170" s="7"/>
      <c r="L170" s="7"/>
      <c r="M170" s="7" t="s">
        <v>531</v>
      </c>
      <c r="N170" s="7"/>
      <c r="O170" s="40">
        <v>0.254</v>
      </c>
      <c r="P170" s="7"/>
      <c r="Q170" s="7"/>
      <c r="R170" s="7"/>
      <c r="S170" s="7" t="s">
        <v>214</v>
      </c>
      <c r="T170" s="7"/>
      <c r="U170" s="7"/>
      <c r="V170" s="32" t="s">
        <v>532</v>
      </c>
    </row>
    <row r="171" spans="1:22" ht="40.5">
      <c r="A171" s="8" t="s">
        <v>678</v>
      </c>
      <c r="B171" s="7" t="s">
        <v>129</v>
      </c>
      <c r="C171" s="9"/>
      <c r="D171" s="7"/>
      <c r="E171" s="7"/>
      <c r="F171" s="7"/>
      <c r="G171" s="7"/>
      <c r="H171" s="7" t="s">
        <v>130</v>
      </c>
      <c r="I171" s="7"/>
      <c r="J171" s="15"/>
      <c r="K171" s="7"/>
      <c r="L171" s="7"/>
      <c r="M171" s="7" t="s">
        <v>131</v>
      </c>
      <c r="N171" s="7"/>
      <c r="O171" s="7">
        <v>0.33</v>
      </c>
      <c r="P171" s="7"/>
      <c r="Q171" s="7" t="s">
        <v>132</v>
      </c>
      <c r="R171" s="7"/>
      <c r="S171" s="7"/>
      <c r="T171" s="7"/>
      <c r="U171" s="7"/>
      <c r="V171" s="32"/>
    </row>
    <row r="172" spans="1:22" ht="30">
      <c r="A172" s="8" t="s">
        <v>678</v>
      </c>
      <c r="B172" s="7" t="s">
        <v>497</v>
      </c>
      <c r="C172" s="9"/>
      <c r="D172" s="7"/>
      <c r="E172" s="7"/>
      <c r="F172" s="7"/>
      <c r="G172" s="7"/>
      <c r="H172" s="7"/>
      <c r="I172" s="7"/>
      <c r="J172" s="15"/>
      <c r="K172" s="7"/>
      <c r="L172" s="7"/>
      <c r="M172" s="7" t="s">
        <v>533</v>
      </c>
      <c r="N172" s="7"/>
      <c r="O172" s="7" t="s">
        <v>534</v>
      </c>
      <c r="P172" s="7"/>
      <c r="Q172" s="7"/>
      <c r="R172" s="7"/>
      <c r="S172" s="7" t="s">
        <v>549</v>
      </c>
      <c r="T172" s="7"/>
      <c r="U172" s="7"/>
      <c r="V172" s="32"/>
    </row>
    <row r="173" spans="1:22" ht="30">
      <c r="A173" s="8" t="s">
        <v>678</v>
      </c>
      <c r="B173" s="7" t="s">
        <v>192</v>
      </c>
      <c r="C173" s="9"/>
      <c r="D173" s="7"/>
      <c r="E173" s="7"/>
      <c r="F173" s="7"/>
      <c r="G173" s="7"/>
      <c r="H173" s="7" t="s">
        <v>194</v>
      </c>
      <c r="I173" s="7"/>
      <c r="J173" s="15"/>
      <c r="K173" s="7"/>
      <c r="L173" s="7" t="s">
        <v>195</v>
      </c>
      <c r="M173" s="7" t="s">
        <v>916</v>
      </c>
      <c r="N173" s="7"/>
      <c r="O173" s="7">
        <v>0.3</v>
      </c>
      <c r="P173" s="7"/>
      <c r="Q173" s="7"/>
      <c r="R173" s="7"/>
      <c r="S173" s="7" t="s">
        <v>193</v>
      </c>
      <c r="T173" s="7"/>
      <c r="U173" s="7" t="s">
        <v>196</v>
      </c>
      <c r="V173" s="32"/>
    </row>
    <row r="174" spans="1:22" ht="40.5">
      <c r="A174" s="8" t="s">
        <v>678</v>
      </c>
      <c r="B174" s="7" t="s">
        <v>110</v>
      </c>
      <c r="C174" s="9"/>
      <c r="D174" s="7"/>
      <c r="E174" s="7"/>
      <c r="F174" s="7"/>
      <c r="G174" s="7"/>
      <c r="H174" s="7" t="s">
        <v>111</v>
      </c>
      <c r="I174" s="7"/>
      <c r="J174" s="15" t="s">
        <v>115</v>
      </c>
      <c r="K174" s="7"/>
      <c r="L174" s="7" t="s">
        <v>114</v>
      </c>
      <c r="M174" s="7" t="s">
        <v>112</v>
      </c>
      <c r="N174" s="7"/>
      <c r="O174" s="7" t="s">
        <v>113</v>
      </c>
      <c r="P174" s="7"/>
      <c r="Q174" s="7"/>
      <c r="R174" s="7"/>
      <c r="S174" s="7"/>
      <c r="T174" s="7"/>
      <c r="U174" s="7"/>
      <c r="V174" s="32"/>
    </row>
    <row r="175" spans="1:22" ht="51">
      <c r="A175" s="8" t="s">
        <v>678</v>
      </c>
      <c r="B175" s="7" t="s">
        <v>206</v>
      </c>
      <c r="C175" s="9"/>
      <c r="D175" s="7"/>
      <c r="E175" s="7"/>
      <c r="F175" s="7"/>
      <c r="G175" s="7"/>
      <c r="H175" s="7"/>
      <c r="I175" s="7"/>
      <c r="J175" s="15"/>
      <c r="K175" s="7"/>
      <c r="L175" s="7" t="s">
        <v>207</v>
      </c>
      <c r="M175" s="7" t="s">
        <v>209</v>
      </c>
      <c r="N175" s="7"/>
      <c r="O175" s="7" t="s">
        <v>208</v>
      </c>
      <c r="P175" s="7"/>
      <c r="Q175" s="7"/>
      <c r="R175" s="7"/>
      <c r="S175" s="7"/>
      <c r="T175" s="7"/>
      <c r="U175" s="7" t="s">
        <v>210</v>
      </c>
      <c r="V175" s="32"/>
    </row>
    <row r="176" spans="1:22" ht="71.25">
      <c r="A176" s="8" t="s">
        <v>678</v>
      </c>
      <c r="B176" s="7" t="s">
        <v>125</v>
      </c>
      <c r="C176" s="9"/>
      <c r="D176" s="7"/>
      <c r="E176" s="7"/>
      <c r="F176" s="7" t="s">
        <v>126</v>
      </c>
      <c r="G176" s="7"/>
      <c r="H176" s="7"/>
      <c r="I176" s="7"/>
      <c r="J176" s="15"/>
      <c r="K176" s="7"/>
      <c r="L176" s="7"/>
      <c r="M176" s="7"/>
      <c r="N176" s="7"/>
      <c r="O176" s="7"/>
      <c r="P176" s="7"/>
      <c r="Q176" s="7"/>
      <c r="R176" s="7"/>
      <c r="S176" s="7"/>
      <c r="T176" s="7"/>
      <c r="U176" s="7"/>
      <c r="V176" s="32"/>
    </row>
    <row r="177" spans="1:22" ht="40.5">
      <c r="A177" s="8" t="s">
        <v>678</v>
      </c>
      <c r="B177" s="7" t="s">
        <v>163</v>
      </c>
      <c r="C177" s="9"/>
      <c r="D177" s="7"/>
      <c r="E177" s="7"/>
      <c r="F177" s="7" t="s">
        <v>126</v>
      </c>
      <c r="G177" s="7"/>
      <c r="H177" s="7"/>
      <c r="I177" s="7"/>
      <c r="J177" s="15"/>
      <c r="K177" s="7"/>
      <c r="L177" s="7"/>
      <c r="M177" s="7"/>
      <c r="N177" s="7"/>
      <c r="O177" s="7"/>
      <c r="P177" s="7"/>
      <c r="Q177" s="7"/>
      <c r="R177" s="7"/>
      <c r="S177" s="7"/>
      <c r="T177" s="7"/>
      <c r="U177" s="7"/>
      <c r="V177" s="32"/>
    </row>
    <row r="178" spans="1:22" ht="40.5">
      <c r="A178" s="4" t="s">
        <v>680</v>
      </c>
      <c r="B178" s="17" t="s">
        <v>211</v>
      </c>
      <c r="C178" s="17"/>
      <c r="D178" s="17"/>
      <c r="E178" s="17"/>
      <c r="F178" s="17"/>
      <c r="G178" s="17"/>
      <c r="H178" s="17"/>
      <c r="I178" s="17"/>
      <c r="J178" s="17"/>
      <c r="K178" s="17"/>
      <c r="L178" s="17" t="s">
        <v>212</v>
      </c>
      <c r="M178" s="17"/>
      <c r="N178" s="17"/>
      <c r="O178" s="20"/>
      <c r="P178" s="17"/>
      <c r="Q178" s="17"/>
      <c r="R178" s="17"/>
      <c r="S178" s="17"/>
      <c r="T178" s="17"/>
      <c r="U178" s="17"/>
      <c r="V178" s="34"/>
    </row>
    <row r="179" spans="1:22" ht="30">
      <c r="A179" s="4" t="s">
        <v>680</v>
      </c>
      <c r="B179" s="17" t="s">
        <v>165</v>
      </c>
      <c r="C179" s="17"/>
      <c r="D179" s="17"/>
      <c r="E179" s="17"/>
      <c r="F179" s="17"/>
      <c r="G179" s="17"/>
      <c r="H179" s="17" t="s">
        <v>907</v>
      </c>
      <c r="I179" s="17"/>
      <c r="J179" s="17"/>
      <c r="K179" s="17"/>
      <c r="L179" s="17"/>
      <c r="M179" s="17" t="s">
        <v>908</v>
      </c>
      <c r="N179" s="17"/>
      <c r="O179" s="20">
        <v>0.25</v>
      </c>
      <c r="P179" s="17"/>
      <c r="Q179" s="17"/>
      <c r="R179" s="17"/>
      <c r="S179" s="17"/>
      <c r="T179" s="17"/>
      <c r="U179" s="17"/>
      <c r="V179" s="34"/>
    </row>
    <row r="180" spans="1:22" ht="51">
      <c r="A180" s="4" t="s">
        <v>680</v>
      </c>
      <c r="B180" s="17" t="s">
        <v>213</v>
      </c>
      <c r="C180" s="17"/>
      <c r="D180" s="17"/>
      <c r="E180" s="17"/>
      <c r="F180" s="17"/>
      <c r="G180" s="17"/>
      <c r="H180" s="17"/>
      <c r="I180" s="17"/>
      <c r="J180" s="17"/>
      <c r="K180" s="17"/>
      <c r="L180" s="17"/>
      <c r="M180" s="17"/>
      <c r="N180" s="17"/>
      <c r="O180" s="20"/>
      <c r="P180" s="17"/>
      <c r="Q180" s="17"/>
      <c r="R180" s="17"/>
      <c r="S180" s="17" t="s">
        <v>214</v>
      </c>
      <c r="T180" s="17"/>
      <c r="U180" s="17"/>
      <c r="V180" s="34"/>
    </row>
    <row r="181" spans="1:22" ht="12.75">
      <c r="A181" s="4" t="s">
        <v>680</v>
      </c>
      <c r="B181" s="17" t="s">
        <v>545</v>
      </c>
      <c r="C181" s="17"/>
      <c r="D181" s="17"/>
      <c r="E181" s="17"/>
      <c r="F181" s="17"/>
      <c r="G181" s="17"/>
      <c r="H181" s="17"/>
      <c r="I181" s="17"/>
      <c r="J181" s="17"/>
      <c r="K181" s="17"/>
      <c r="L181" s="17"/>
      <c r="M181" s="17"/>
      <c r="N181" s="17"/>
      <c r="O181" s="20"/>
      <c r="P181" s="17"/>
      <c r="Q181" s="17"/>
      <c r="R181" s="17"/>
      <c r="S181" s="17" t="s">
        <v>546</v>
      </c>
      <c r="T181" s="17"/>
      <c r="U181" s="17"/>
      <c r="V181" s="34"/>
    </row>
    <row r="182" spans="1:22" ht="20.25">
      <c r="A182" s="4" t="s">
        <v>680</v>
      </c>
      <c r="B182" s="17" t="s">
        <v>528</v>
      </c>
      <c r="C182" s="17"/>
      <c r="D182" s="17"/>
      <c r="E182" s="17"/>
      <c r="F182" s="17"/>
      <c r="G182" s="17"/>
      <c r="H182" s="17"/>
      <c r="I182" s="17"/>
      <c r="J182" s="17"/>
      <c r="K182" s="17"/>
      <c r="L182" s="17"/>
      <c r="M182" s="17" t="s">
        <v>529</v>
      </c>
      <c r="N182" s="17"/>
      <c r="O182" s="20" t="s">
        <v>530</v>
      </c>
      <c r="P182" s="17"/>
      <c r="Q182" s="17"/>
      <c r="R182" s="17"/>
      <c r="S182" s="17"/>
      <c r="T182" s="17"/>
      <c r="U182" s="24"/>
      <c r="V182" s="34"/>
    </row>
    <row r="183" spans="1:22" ht="12.75">
      <c r="A183" s="4" t="s">
        <v>680</v>
      </c>
      <c r="B183" s="17" t="s">
        <v>166</v>
      </c>
      <c r="C183" s="17"/>
      <c r="D183" s="17"/>
      <c r="E183" s="17"/>
      <c r="F183" s="17"/>
      <c r="G183" s="17"/>
      <c r="H183" s="17"/>
      <c r="I183" s="17"/>
      <c r="J183" s="17"/>
      <c r="K183" s="17"/>
      <c r="L183" s="17" t="s">
        <v>885</v>
      </c>
      <c r="M183" s="17" t="s">
        <v>526</v>
      </c>
      <c r="N183" s="17"/>
      <c r="O183" s="19" t="s">
        <v>527</v>
      </c>
      <c r="P183" s="17"/>
      <c r="Q183" s="17"/>
      <c r="R183" s="17"/>
      <c r="S183" s="17"/>
      <c r="T183" s="17"/>
      <c r="U183" s="17">
        <v>0.11</v>
      </c>
      <c r="V183" s="34"/>
    </row>
    <row r="184" spans="1:22" ht="40.5">
      <c r="A184" s="4" t="s">
        <v>680</v>
      </c>
      <c r="B184" s="17" t="s">
        <v>403</v>
      </c>
      <c r="C184" s="17"/>
      <c r="D184" s="17"/>
      <c r="E184" s="17"/>
      <c r="F184" s="17"/>
      <c r="G184" s="17"/>
      <c r="H184" s="17" t="s">
        <v>217</v>
      </c>
      <c r="I184" s="17"/>
      <c r="J184" s="17"/>
      <c r="K184" s="17"/>
      <c r="L184" s="17"/>
      <c r="M184" s="17"/>
      <c r="N184" s="17"/>
      <c r="O184" s="20"/>
      <c r="P184" s="17"/>
      <c r="Q184" s="17"/>
      <c r="R184" s="17"/>
      <c r="S184" s="17"/>
      <c r="T184" s="17"/>
      <c r="U184" s="17"/>
      <c r="V184" s="34"/>
    </row>
    <row r="185" spans="1:22" ht="12.75">
      <c r="A185" s="4" t="s">
        <v>680</v>
      </c>
      <c r="B185" s="17" t="s">
        <v>958</v>
      </c>
      <c r="C185" s="17"/>
      <c r="D185" s="17"/>
      <c r="E185" s="17"/>
      <c r="F185" s="17"/>
      <c r="G185" s="17"/>
      <c r="H185" s="17" t="s">
        <v>959</v>
      </c>
      <c r="I185" s="17"/>
      <c r="J185" s="17"/>
      <c r="K185" s="17"/>
      <c r="L185" s="17"/>
      <c r="M185" s="17"/>
      <c r="N185" s="17"/>
      <c r="O185" s="20"/>
      <c r="P185" s="17"/>
      <c r="Q185" s="17"/>
      <c r="R185" s="17"/>
      <c r="S185" s="17" t="s">
        <v>544</v>
      </c>
      <c r="T185" s="17"/>
      <c r="U185" s="17"/>
      <c r="V185" s="34"/>
    </row>
    <row r="186" spans="1:22" ht="30">
      <c r="A186" s="4" t="s">
        <v>680</v>
      </c>
      <c r="B186" s="17" t="s">
        <v>486</v>
      </c>
      <c r="C186" s="17"/>
      <c r="D186" s="17"/>
      <c r="E186" s="17"/>
      <c r="F186" s="17"/>
      <c r="G186" s="17" t="s">
        <v>490</v>
      </c>
      <c r="H186" s="17" t="s">
        <v>488</v>
      </c>
      <c r="I186" s="17"/>
      <c r="J186" s="17" t="s">
        <v>489</v>
      </c>
      <c r="K186" s="17"/>
      <c r="L186" s="17"/>
      <c r="M186" s="17" t="s">
        <v>487</v>
      </c>
      <c r="N186" s="17"/>
      <c r="O186" s="20"/>
      <c r="P186" s="17"/>
      <c r="Q186" s="17"/>
      <c r="R186" s="17"/>
      <c r="S186" s="17"/>
      <c r="T186" s="17"/>
      <c r="U186" s="24">
        <v>0.092</v>
      </c>
      <c r="V186" s="34"/>
    </row>
    <row r="187" spans="1:22" ht="12.75">
      <c r="A187" s="4" t="s">
        <v>680</v>
      </c>
      <c r="B187" s="17" t="s">
        <v>523</v>
      </c>
      <c r="C187" s="17"/>
      <c r="D187" s="17"/>
      <c r="E187" s="17"/>
      <c r="F187" s="17"/>
      <c r="G187" s="17"/>
      <c r="H187" s="17"/>
      <c r="I187" s="17"/>
      <c r="J187" s="17"/>
      <c r="K187" s="17"/>
      <c r="L187" s="17"/>
      <c r="M187" s="17" t="s">
        <v>524</v>
      </c>
      <c r="N187" s="17"/>
      <c r="O187" s="20" t="s">
        <v>525</v>
      </c>
      <c r="P187" s="17"/>
      <c r="Q187" s="17"/>
      <c r="R187" s="17"/>
      <c r="S187" s="17"/>
      <c r="T187" s="17"/>
      <c r="U187" s="24"/>
      <c r="V187" s="34"/>
    </row>
    <row r="188" spans="1:22" ht="12.75">
      <c r="A188" s="4" t="s">
        <v>680</v>
      </c>
      <c r="B188" s="17" t="s">
        <v>547</v>
      </c>
      <c r="C188" s="17"/>
      <c r="D188" s="17"/>
      <c r="E188" s="17"/>
      <c r="F188" s="17"/>
      <c r="G188" s="17"/>
      <c r="H188" s="17"/>
      <c r="I188" s="17"/>
      <c r="J188" s="17"/>
      <c r="K188" s="17"/>
      <c r="L188" s="17"/>
      <c r="M188" s="17"/>
      <c r="N188" s="17"/>
      <c r="O188" s="20"/>
      <c r="P188" s="17"/>
      <c r="Q188" s="17"/>
      <c r="R188" s="17"/>
      <c r="S188" s="17" t="s">
        <v>548</v>
      </c>
      <c r="T188" s="17"/>
      <c r="U188" s="17"/>
      <c r="V188" s="34"/>
    </row>
    <row r="189" spans="1:22" ht="12.75">
      <c r="A189" s="8" t="s">
        <v>681</v>
      </c>
      <c r="B189" s="7"/>
      <c r="C189" s="7"/>
      <c r="D189" s="7"/>
      <c r="E189" s="7"/>
      <c r="F189" s="7"/>
      <c r="G189" s="7"/>
      <c r="H189" s="7"/>
      <c r="I189" s="7"/>
      <c r="J189" s="7"/>
      <c r="K189" s="7"/>
      <c r="L189" s="7"/>
      <c r="M189" s="7"/>
      <c r="N189" s="7"/>
      <c r="O189" s="7"/>
      <c r="P189" s="7"/>
      <c r="Q189" s="7"/>
      <c r="R189" s="7"/>
      <c r="S189" s="7"/>
      <c r="T189" s="7"/>
      <c r="U189" s="7"/>
      <c r="V189" s="32"/>
    </row>
    <row r="190" spans="1:22" ht="40.5">
      <c r="A190" s="4" t="s">
        <v>682</v>
      </c>
      <c r="B190" s="17" t="s">
        <v>769</v>
      </c>
      <c r="C190" s="17"/>
      <c r="D190" s="17"/>
      <c r="E190" s="20">
        <v>0.76</v>
      </c>
      <c r="F190" s="17"/>
      <c r="G190" s="17"/>
      <c r="H190" s="17" t="s">
        <v>774</v>
      </c>
      <c r="I190" s="17"/>
      <c r="J190" s="17"/>
      <c r="K190" s="17" t="s">
        <v>773</v>
      </c>
      <c r="L190" s="17"/>
      <c r="M190" s="17" t="s">
        <v>770</v>
      </c>
      <c r="N190" s="17"/>
      <c r="O190" s="17" t="s">
        <v>776</v>
      </c>
      <c r="P190" s="17"/>
      <c r="Q190" s="17"/>
      <c r="R190" s="17"/>
      <c r="S190" s="17"/>
      <c r="T190" s="17"/>
      <c r="U190" s="17"/>
      <c r="V190" s="34"/>
    </row>
    <row r="191" spans="1:22" ht="12.75">
      <c r="A191" s="8" t="s">
        <v>683</v>
      </c>
      <c r="B191" s="7" t="s">
        <v>513</v>
      </c>
      <c r="C191" s="7"/>
      <c r="D191" s="7"/>
      <c r="E191" s="7"/>
      <c r="F191" s="7"/>
      <c r="G191" s="7"/>
      <c r="H191" s="7" t="s">
        <v>514</v>
      </c>
      <c r="I191" s="7"/>
      <c r="J191" s="7"/>
      <c r="K191" s="7"/>
      <c r="L191" s="7"/>
      <c r="M191" s="7"/>
      <c r="N191" s="7"/>
      <c r="O191" s="7"/>
      <c r="P191" s="7"/>
      <c r="Q191" s="7"/>
      <c r="R191" s="7"/>
      <c r="S191" s="7"/>
      <c r="T191" s="7"/>
      <c r="U191" s="7"/>
      <c r="V191" s="32" t="s">
        <v>515</v>
      </c>
    </row>
    <row r="192" spans="1:22" ht="40.5">
      <c r="A192" s="8" t="s">
        <v>683</v>
      </c>
      <c r="B192" s="7" t="s">
        <v>497</v>
      </c>
      <c r="C192" s="7"/>
      <c r="D192" s="7"/>
      <c r="E192" s="7"/>
      <c r="F192" s="7"/>
      <c r="G192" s="7"/>
      <c r="H192" s="7"/>
      <c r="I192" s="7"/>
      <c r="J192" s="7"/>
      <c r="K192" s="7"/>
      <c r="L192" s="7"/>
      <c r="M192" s="7" t="s">
        <v>521</v>
      </c>
      <c r="N192" s="7"/>
      <c r="O192" s="7" t="s">
        <v>522</v>
      </c>
      <c r="P192" s="7"/>
      <c r="Q192" s="7"/>
      <c r="R192" s="7"/>
      <c r="S192" s="7"/>
      <c r="T192" s="7"/>
      <c r="U192" s="7"/>
      <c r="V192" s="32"/>
    </row>
    <row r="193" spans="1:22" ht="20.25">
      <c r="A193" s="8" t="s">
        <v>683</v>
      </c>
      <c r="B193" s="7" t="s">
        <v>164</v>
      </c>
      <c r="C193" s="7"/>
      <c r="D193" s="7"/>
      <c r="E193" s="7"/>
      <c r="F193" s="7"/>
      <c r="G193" s="7"/>
      <c r="H193" s="7" t="s">
        <v>167</v>
      </c>
      <c r="I193" s="7"/>
      <c r="J193" s="7"/>
      <c r="K193" s="7"/>
      <c r="L193" s="7" t="s">
        <v>21</v>
      </c>
      <c r="M193" s="7" t="s">
        <v>916</v>
      </c>
      <c r="N193" s="7"/>
      <c r="O193" s="7"/>
      <c r="P193" s="7"/>
      <c r="Q193" s="7"/>
      <c r="R193" s="7"/>
      <c r="S193" s="7"/>
      <c r="T193" s="7"/>
      <c r="U193" s="7"/>
      <c r="V193" s="32"/>
    </row>
    <row r="194" spans="1:22" ht="51">
      <c r="A194" s="8" t="s">
        <v>683</v>
      </c>
      <c r="B194" s="7" t="s">
        <v>119</v>
      </c>
      <c r="C194" s="7"/>
      <c r="D194" s="7"/>
      <c r="E194" s="7"/>
      <c r="F194" s="7"/>
      <c r="G194" s="7"/>
      <c r="H194" s="7" t="s">
        <v>121</v>
      </c>
      <c r="I194" s="7"/>
      <c r="J194" s="7"/>
      <c r="K194" s="7"/>
      <c r="L194" s="7" t="s">
        <v>932</v>
      </c>
      <c r="M194" s="7"/>
      <c r="N194" s="7"/>
      <c r="O194" s="7">
        <v>0.356</v>
      </c>
      <c r="P194" s="7"/>
      <c r="Q194" s="7"/>
      <c r="R194" s="7"/>
      <c r="S194" s="7" t="s">
        <v>120</v>
      </c>
      <c r="T194" s="7"/>
      <c r="U194" s="7">
        <v>0.094</v>
      </c>
      <c r="V194" s="32" t="s">
        <v>123</v>
      </c>
    </row>
    <row r="195" spans="1:22" ht="40.5">
      <c r="A195" s="8" t="s">
        <v>683</v>
      </c>
      <c r="B195" s="7" t="s">
        <v>189</v>
      </c>
      <c r="C195" s="7"/>
      <c r="D195" s="7"/>
      <c r="E195" s="7"/>
      <c r="F195" s="7"/>
      <c r="G195" s="7"/>
      <c r="H195" s="7" t="s">
        <v>167</v>
      </c>
      <c r="I195" s="7"/>
      <c r="J195" s="7"/>
      <c r="K195" s="7"/>
      <c r="L195" s="7" t="s">
        <v>939</v>
      </c>
      <c r="M195" s="7" t="s">
        <v>916</v>
      </c>
      <c r="N195" s="7"/>
      <c r="O195" s="7"/>
      <c r="P195" s="7"/>
      <c r="Q195" s="7"/>
      <c r="R195" s="7" t="s">
        <v>190</v>
      </c>
      <c r="S195" s="7"/>
      <c r="T195" s="7"/>
      <c r="U195" s="7" t="s">
        <v>191</v>
      </c>
      <c r="V195" s="32"/>
    </row>
    <row r="196" spans="1:22" ht="51">
      <c r="A196" s="8" t="s">
        <v>683</v>
      </c>
      <c r="B196" s="7" t="s">
        <v>116</v>
      </c>
      <c r="C196" s="7"/>
      <c r="D196" s="7"/>
      <c r="E196" s="7"/>
      <c r="F196" s="7"/>
      <c r="G196" s="7"/>
      <c r="H196" s="7" t="s">
        <v>122</v>
      </c>
      <c r="I196" s="7"/>
      <c r="J196" s="7"/>
      <c r="K196" s="7"/>
      <c r="L196" s="7" t="s">
        <v>932</v>
      </c>
      <c r="M196" s="7" t="s">
        <v>117</v>
      </c>
      <c r="N196" s="7"/>
      <c r="O196" s="7">
        <v>0.339</v>
      </c>
      <c r="P196" s="7"/>
      <c r="Q196" s="7"/>
      <c r="R196" s="7">
        <v>21</v>
      </c>
      <c r="S196" s="7" t="s">
        <v>118</v>
      </c>
      <c r="T196" s="7"/>
      <c r="U196" s="7">
        <v>0.075</v>
      </c>
      <c r="V196" s="32" t="s">
        <v>124</v>
      </c>
    </row>
    <row r="197" spans="1:22" ht="71.25">
      <c r="A197" s="8" t="s">
        <v>683</v>
      </c>
      <c r="B197" s="7" t="s">
        <v>125</v>
      </c>
      <c r="C197" s="7"/>
      <c r="D197" s="7"/>
      <c r="E197" s="7"/>
      <c r="F197" s="7" t="s">
        <v>126</v>
      </c>
      <c r="G197" s="7"/>
      <c r="H197" s="7"/>
      <c r="I197" s="7"/>
      <c r="J197" s="7"/>
      <c r="K197" s="7"/>
      <c r="L197" s="7"/>
      <c r="M197" s="7"/>
      <c r="N197" s="7"/>
      <c r="O197" s="7"/>
      <c r="P197" s="7"/>
      <c r="Q197" s="7"/>
      <c r="R197" s="7"/>
      <c r="S197" s="7"/>
      <c r="T197" s="7"/>
      <c r="U197" s="7"/>
      <c r="V197" s="32"/>
    </row>
    <row r="198" spans="1:22" ht="40.5">
      <c r="A198" s="8" t="s">
        <v>683</v>
      </c>
      <c r="B198" s="7" t="s">
        <v>163</v>
      </c>
      <c r="C198" s="7"/>
      <c r="D198" s="7"/>
      <c r="E198" s="7"/>
      <c r="F198" s="7" t="s">
        <v>126</v>
      </c>
      <c r="G198" s="7"/>
      <c r="H198" s="7"/>
      <c r="I198" s="7"/>
      <c r="J198" s="7"/>
      <c r="K198" s="7"/>
      <c r="L198" s="7"/>
      <c r="M198" s="7"/>
      <c r="N198" s="7"/>
      <c r="O198" s="7"/>
      <c r="P198" s="7"/>
      <c r="Q198" s="7"/>
      <c r="R198" s="7"/>
      <c r="S198" s="7"/>
      <c r="T198" s="7"/>
      <c r="U198" s="7"/>
      <c r="V198" s="32"/>
    </row>
    <row r="199" spans="1:22" ht="12.75">
      <c r="A199" s="4" t="s">
        <v>684</v>
      </c>
      <c r="B199" s="17" t="s">
        <v>550</v>
      </c>
      <c r="C199" s="17"/>
      <c r="D199" s="17"/>
      <c r="E199" s="17"/>
      <c r="F199" s="17"/>
      <c r="G199" s="17"/>
      <c r="H199" s="17" t="s">
        <v>551</v>
      </c>
      <c r="I199" s="17"/>
      <c r="J199" s="17"/>
      <c r="K199" s="17"/>
      <c r="L199" s="17"/>
      <c r="M199" s="17"/>
      <c r="N199" s="17"/>
      <c r="O199" s="17"/>
      <c r="P199" s="17"/>
      <c r="Q199" s="17"/>
      <c r="R199" s="17"/>
      <c r="S199" s="17"/>
      <c r="T199" s="17"/>
      <c r="U199" s="17"/>
      <c r="V199" s="34"/>
    </row>
    <row r="200" spans="1:22" ht="30">
      <c r="A200" s="8" t="s">
        <v>685</v>
      </c>
      <c r="B200" s="7" t="s">
        <v>497</v>
      </c>
      <c r="C200" s="7"/>
      <c r="D200" s="7"/>
      <c r="E200" s="7"/>
      <c r="F200" s="7"/>
      <c r="G200" s="7"/>
      <c r="H200" s="7" t="s">
        <v>560</v>
      </c>
      <c r="I200" s="7"/>
      <c r="J200" s="7"/>
      <c r="K200" s="7"/>
      <c r="L200" s="7" t="s">
        <v>499</v>
      </c>
      <c r="M200" s="7"/>
      <c r="N200" s="7"/>
      <c r="O200" s="7"/>
      <c r="P200" s="7"/>
      <c r="Q200" s="7"/>
      <c r="R200" s="7"/>
      <c r="S200" s="7"/>
      <c r="T200" s="7"/>
      <c r="U200" s="7"/>
      <c r="V200" s="32"/>
    </row>
    <row r="201" spans="1:22" ht="41.25">
      <c r="A201" s="4" t="s">
        <v>686</v>
      </c>
      <c r="B201" s="22" t="s">
        <v>274</v>
      </c>
      <c r="C201" s="17"/>
      <c r="D201" s="17"/>
      <c r="E201" s="17"/>
      <c r="F201" s="17"/>
      <c r="G201" s="17"/>
      <c r="H201" s="17" t="s">
        <v>277</v>
      </c>
      <c r="I201" s="17"/>
      <c r="J201" s="23"/>
      <c r="K201" s="23"/>
      <c r="L201" s="17" t="s">
        <v>851</v>
      </c>
      <c r="M201" s="17" t="s">
        <v>916</v>
      </c>
      <c r="N201" s="17"/>
      <c r="O201" s="17"/>
      <c r="P201" s="17"/>
      <c r="Q201" s="17"/>
      <c r="R201" s="17" t="s">
        <v>276</v>
      </c>
      <c r="S201" s="17" t="s">
        <v>275</v>
      </c>
      <c r="T201" s="17"/>
      <c r="U201" s="17"/>
      <c r="V201" s="34"/>
    </row>
    <row r="202" spans="1:22" ht="20.25">
      <c r="A202" s="4" t="s">
        <v>686</v>
      </c>
      <c r="B202" s="17" t="s">
        <v>688</v>
      </c>
      <c r="C202" s="17"/>
      <c r="D202" s="17"/>
      <c r="E202" s="18">
        <v>0.8</v>
      </c>
      <c r="F202" s="17"/>
      <c r="G202" s="17"/>
      <c r="H202" s="21"/>
      <c r="I202" s="21"/>
      <c r="J202" s="17"/>
      <c r="K202" s="17"/>
      <c r="L202" s="21"/>
      <c r="M202" s="21"/>
      <c r="N202" s="21"/>
      <c r="O202" s="21"/>
      <c r="P202" s="21" t="s">
        <v>740</v>
      </c>
      <c r="Q202" s="21"/>
      <c r="R202" s="21"/>
      <c r="S202" s="21"/>
      <c r="T202" s="21"/>
      <c r="U202" s="21"/>
      <c r="V202" s="34"/>
    </row>
    <row r="203" spans="1:22" ht="41.25">
      <c r="A203" s="4" t="s">
        <v>686</v>
      </c>
      <c r="B203" s="22" t="s">
        <v>229</v>
      </c>
      <c r="C203" s="17"/>
      <c r="D203" s="17"/>
      <c r="E203" s="17"/>
      <c r="F203" s="17"/>
      <c r="G203" s="17"/>
      <c r="H203" s="17"/>
      <c r="I203" s="17"/>
      <c r="J203" s="23"/>
      <c r="K203" s="23"/>
      <c r="L203" s="17"/>
      <c r="M203" s="17"/>
      <c r="N203" s="17"/>
      <c r="O203" s="17"/>
      <c r="P203" s="17"/>
      <c r="Q203" s="17"/>
      <c r="R203" s="17" t="s">
        <v>230</v>
      </c>
      <c r="S203" s="17" t="s">
        <v>231</v>
      </c>
      <c r="T203" s="17"/>
      <c r="U203" s="17"/>
      <c r="V203" s="34"/>
    </row>
    <row r="204" spans="1:22" ht="40.5">
      <c r="A204" s="4" t="s">
        <v>686</v>
      </c>
      <c r="B204" s="17" t="s">
        <v>735</v>
      </c>
      <c r="C204" s="17" t="s">
        <v>736</v>
      </c>
      <c r="D204" s="17"/>
      <c r="E204" s="18">
        <v>0.82</v>
      </c>
      <c r="F204" s="22" t="s">
        <v>696</v>
      </c>
      <c r="G204" s="22"/>
      <c r="H204" s="17"/>
      <c r="I204" s="17"/>
      <c r="J204" s="17" t="s">
        <v>697</v>
      </c>
      <c r="K204" s="17"/>
      <c r="L204" s="17"/>
      <c r="M204" s="17"/>
      <c r="N204" s="17"/>
      <c r="O204" s="17"/>
      <c r="P204" s="17"/>
      <c r="Q204" s="17"/>
      <c r="R204" s="17"/>
      <c r="S204" s="17"/>
      <c r="T204" s="17"/>
      <c r="U204" s="17"/>
      <c r="V204" s="34"/>
    </row>
    <row r="205" spans="1:22" ht="20.25">
      <c r="A205" s="4" t="s">
        <v>686</v>
      </c>
      <c r="B205" s="17" t="s">
        <v>703</v>
      </c>
      <c r="C205" s="17"/>
      <c r="D205" s="17"/>
      <c r="E205" s="17">
        <v>0.82</v>
      </c>
      <c r="F205" s="17" t="s">
        <v>698</v>
      </c>
      <c r="G205" s="17"/>
      <c r="H205" s="17"/>
      <c r="I205" s="17"/>
      <c r="J205" s="17"/>
      <c r="K205" s="17"/>
      <c r="L205" s="17"/>
      <c r="M205" s="17"/>
      <c r="N205" s="17"/>
      <c r="O205" s="17"/>
      <c r="P205" s="17"/>
      <c r="Q205" s="17"/>
      <c r="R205" s="17"/>
      <c r="S205" s="17"/>
      <c r="T205" s="17"/>
      <c r="U205" s="17"/>
      <c r="V205" s="34"/>
    </row>
    <row r="206" spans="1:22" ht="30">
      <c r="A206" s="4" t="s">
        <v>686</v>
      </c>
      <c r="B206" s="17" t="s">
        <v>739</v>
      </c>
      <c r="C206" s="17"/>
      <c r="D206" s="17"/>
      <c r="E206" s="17"/>
      <c r="F206" s="17" t="s">
        <v>687</v>
      </c>
      <c r="G206" s="17"/>
      <c r="H206" s="21"/>
      <c r="I206" s="21"/>
      <c r="J206" s="17"/>
      <c r="K206" s="17"/>
      <c r="L206" s="21"/>
      <c r="M206" s="21"/>
      <c r="N206" s="21"/>
      <c r="O206" s="21"/>
      <c r="P206" s="21" t="s">
        <v>738</v>
      </c>
      <c r="Q206" s="21"/>
      <c r="R206" s="21"/>
      <c r="S206" s="21"/>
      <c r="T206" s="21"/>
      <c r="U206" s="21"/>
      <c r="V206" s="34"/>
    </row>
    <row r="207" spans="1:22" ht="30">
      <c r="A207" s="4" t="s">
        <v>686</v>
      </c>
      <c r="B207" s="17" t="s">
        <v>497</v>
      </c>
      <c r="C207" s="17"/>
      <c r="D207" s="17"/>
      <c r="E207" s="18"/>
      <c r="F207" s="22"/>
      <c r="G207" s="22"/>
      <c r="H207" s="17" t="s">
        <v>512</v>
      </c>
      <c r="I207" s="17"/>
      <c r="J207" s="17"/>
      <c r="K207" s="17"/>
      <c r="L207" s="17" t="s">
        <v>498</v>
      </c>
      <c r="M207" s="17" t="s">
        <v>519</v>
      </c>
      <c r="N207" s="17"/>
      <c r="O207" s="17" t="s">
        <v>520</v>
      </c>
      <c r="P207" s="17"/>
      <c r="Q207" s="17"/>
      <c r="R207" s="17"/>
      <c r="S207" s="17" t="s">
        <v>542</v>
      </c>
      <c r="T207" s="17"/>
      <c r="U207" s="17"/>
      <c r="V207" s="34"/>
    </row>
    <row r="208" spans="1:22" ht="21">
      <c r="A208" s="4" t="s">
        <v>686</v>
      </c>
      <c r="B208" s="22" t="s">
        <v>704</v>
      </c>
      <c r="C208" s="17"/>
      <c r="D208" s="17"/>
      <c r="E208" s="17"/>
      <c r="F208" s="17"/>
      <c r="G208" s="17"/>
      <c r="H208" s="17"/>
      <c r="I208" s="17"/>
      <c r="J208" s="23"/>
      <c r="K208" s="23"/>
      <c r="L208" s="17"/>
      <c r="M208" s="17"/>
      <c r="N208" s="17"/>
      <c r="O208" s="17"/>
      <c r="P208" s="17"/>
      <c r="Q208" s="17"/>
      <c r="R208" s="17"/>
      <c r="S208" s="17"/>
      <c r="T208" s="17"/>
      <c r="U208" s="17"/>
      <c r="V208" s="34"/>
    </row>
    <row r="209" spans="1:22" ht="81">
      <c r="A209" s="4" t="s">
        <v>686</v>
      </c>
      <c r="B209" s="17" t="s">
        <v>733</v>
      </c>
      <c r="C209" s="17" t="s">
        <v>734</v>
      </c>
      <c r="D209" s="17"/>
      <c r="E209" s="17" t="s">
        <v>689</v>
      </c>
      <c r="F209" s="17" t="s">
        <v>690</v>
      </c>
      <c r="G209" s="17"/>
      <c r="H209" s="17"/>
      <c r="I209" s="17"/>
      <c r="J209" s="17"/>
      <c r="K209" s="17"/>
      <c r="L209" s="17"/>
      <c r="M209" s="17"/>
      <c r="N209" s="17"/>
      <c r="O209" s="17"/>
      <c r="P209" s="17" t="s">
        <v>691</v>
      </c>
      <c r="Q209" s="17"/>
      <c r="R209" s="17"/>
      <c r="S209" s="17"/>
      <c r="T209" s="17"/>
      <c r="U209" s="17"/>
      <c r="V209" s="34"/>
    </row>
    <row r="210" spans="1:22" ht="20.25">
      <c r="A210" s="4" t="s">
        <v>686</v>
      </c>
      <c r="B210" s="17" t="s">
        <v>694</v>
      </c>
      <c r="C210" s="17"/>
      <c r="D210" s="17"/>
      <c r="E210" s="17" t="s">
        <v>692</v>
      </c>
      <c r="F210" s="22" t="s">
        <v>693</v>
      </c>
      <c r="G210" s="22"/>
      <c r="H210" s="17"/>
      <c r="I210" s="17"/>
      <c r="J210" s="17"/>
      <c r="K210" s="17"/>
      <c r="L210" s="17"/>
      <c r="M210" s="17"/>
      <c r="N210" s="17"/>
      <c r="O210" s="17"/>
      <c r="P210" s="17"/>
      <c r="Q210" s="17"/>
      <c r="R210" s="17"/>
      <c r="S210" s="17"/>
      <c r="T210" s="17"/>
      <c r="U210" s="17"/>
      <c r="V210" s="34"/>
    </row>
    <row r="211" spans="1:22" ht="20.25">
      <c r="A211" s="4" t="s">
        <v>686</v>
      </c>
      <c r="B211" s="17" t="s">
        <v>695</v>
      </c>
      <c r="C211" s="17"/>
      <c r="D211" s="17"/>
      <c r="E211" s="18">
        <v>0.81</v>
      </c>
      <c r="F211" s="22"/>
      <c r="G211" s="22"/>
      <c r="H211" s="17"/>
      <c r="I211" s="17"/>
      <c r="J211" s="17"/>
      <c r="K211" s="17"/>
      <c r="L211" s="17"/>
      <c r="M211" s="17"/>
      <c r="N211" s="17"/>
      <c r="O211" s="17"/>
      <c r="P211" s="17" t="s">
        <v>737</v>
      </c>
      <c r="Q211" s="17"/>
      <c r="R211" s="17"/>
      <c r="S211" s="17"/>
      <c r="T211" s="17"/>
      <c r="U211" s="17"/>
      <c r="V211" s="34"/>
    </row>
    <row r="212" spans="1:22" ht="12.75">
      <c r="A212" s="4" t="s">
        <v>686</v>
      </c>
      <c r="B212" s="17" t="s">
        <v>558</v>
      </c>
      <c r="C212" s="17"/>
      <c r="D212" s="17"/>
      <c r="E212" s="17"/>
      <c r="F212" s="22"/>
      <c r="G212" s="22"/>
      <c r="H212" s="17" t="s">
        <v>559</v>
      </c>
      <c r="I212" s="17"/>
      <c r="J212" s="17"/>
      <c r="K212" s="17"/>
      <c r="L212" s="17"/>
      <c r="M212" s="17"/>
      <c r="N212" s="17"/>
      <c r="O212" s="17"/>
      <c r="P212" s="17"/>
      <c r="Q212" s="17"/>
      <c r="R212" s="17"/>
      <c r="S212" s="17"/>
      <c r="T212" s="17"/>
      <c r="U212" s="17"/>
      <c r="V212" s="34"/>
    </row>
    <row r="213" spans="1:22" ht="41.25">
      <c r="A213" s="4" t="s">
        <v>686</v>
      </c>
      <c r="B213" s="22" t="s">
        <v>226</v>
      </c>
      <c r="C213" s="17"/>
      <c r="D213" s="17"/>
      <c r="E213" s="17"/>
      <c r="F213" s="17"/>
      <c r="G213" s="17"/>
      <c r="H213" s="17"/>
      <c r="I213" s="17"/>
      <c r="J213" s="23"/>
      <c r="K213" s="23"/>
      <c r="L213" s="17"/>
      <c r="M213" s="17"/>
      <c r="N213" s="17"/>
      <c r="O213" s="17"/>
      <c r="P213" s="17"/>
      <c r="Q213" s="17"/>
      <c r="R213" s="17" t="s">
        <v>227</v>
      </c>
      <c r="S213" s="17" t="s">
        <v>228</v>
      </c>
      <c r="T213" s="17"/>
      <c r="U213" s="17"/>
      <c r="V213" s="34"/>
    </row>
    <row r="214" spans="1:22" ht="12.75">
      <c r="A214" s="8" t="s">
        <v>705</v>
      </c>
      <c r="B214" s="7"/>
      <c r="C214" s="7"/>
      <c r="D214" s="7"/>
      <c r="E214" s="7"/>
      <c r="F214" s="7"/>
      <c r="G214" s="7"/>
      <c r="H214" s="7"/>
      <c r="I214" s="7"/>
      <c r="J214" s="7"/>
      <c r="K214" s="7"/>
      <c r="L214" s="7"/>
      <c r="M214" s="7"/>
      <c r="N214" s="7"/>
      <c r="O214" s="7"/>
      <c r="P214" s="7"/>
      <c r="Q214" s="7"/>
      <c r="R214" s="7"/>
      <c r="S214" s="7"/>
      <c r="T214" s="7"/>
      <c r="U214" s="7"/>
      <c r="V214" s="32"/>
    </row>
    <row r="215" spans="1:22" ht="40.5">
      <c r="A215" s="4" t="s">
        <v>706</v>
      </c>
      <c r="B215" s="17" t="s">
        <v>262</v>
      </c>
      <c r="C215" s="17"/>
      <c r="D215" s="17"/>
      <c r="E215" s="17"/>
      <c r="F215" s="17"/>
      <c r="G215" s="17"/>
      <c r="H215" s="17" t="s">
        <v>959</v>
      </c>
      <c r="I215" s="17"/>
      <c r="J215" s="17"/>
      <c r="K215" s="17"/>
      <c r="L215" s="17" t="s">
        <v>265</v>
      </c>
      <c r="M215" s="17"/>
      <c r="N215" s="17"/>
      <c r="O215" s="17"/>
      <c r="P215" s="17"/>
      <c r="Q215" s="17"/>
      <c r="R215" s="17" t="s">
        <v>263</v>
      </c>
      <c r="S215" s="17" t="s">
        <v>264</v>
      </c>
      <c r="T215" s="17"/>
      <c r="U215" s="17"/>
      <c r="V215" s="34"/>
    </row>
    <row r="216" spans="1:22" ht="51">
      <c r="A216" s="4" t="s">
        <v>706</v>
      </c>
      <c r="B216" s="17" t="s">
        <v>574</v>
      </c>
      <c r="C216" s="17"/>
      <c r="D216" s="17"/>
      <c r="E216" s="17"/>
      <c r="F216" s="17"/>
      <c r="G216" s="17" t="s">
        <v>579</v>
      </c>
      <c r="H216" s="17" t="s">
        <v>576</v>
      </c>
      <c r="I216" s="17"/>
      <c r="J216" s="17"/>
      <c r="K216" s="17"/>
      <c r="L216" s="17" t="s">
        <v>575</v>
      </c>
      <c r="M216" s="17"/>
      <c r="N216" s="17"/>
      <c r="O216" s="17"/>
      <c r="P216" s="17"/>
      <c r="Q216" s="17"/>
      <c r="R216" s="17" t="s">
        <v>577</v>
      </c>
      <c r="S216" s="17"/>
      <c r="T216" s="17"/>
      <c r="U216" s="17"/>
      <c r="V216" s="34" t="s">
        <v>578</v>
      </c>
    </row>
    <row r="217" spans="1:22" ht="26.25">
      <c r="A217" s="4" t="s">
        <v>706</v>
      </c>
      <c r="B217" s="17" t="s">
        <v>953</v>
      </c>
      <c r="C217" s="17"/>
      <c r="D217" s="17"/>
      <c r="E217" s="17"/>
      <c r="F217" s="17"/>
      <c r="G217" s="17"/>
      <c r="H217" s="17"/>
      <c r="I217" s="17"/>
      <c r="J217" s="17"/>
      <c r="K217" s="17"/>
      <c r="L217" s="17" t="s">
        <v>885</v>
      </c>
      <c r="M217" s="17"/>
      <c r="N217" s="17"/>
      <c r="O217" s="17"/>
      <c r="P217" s="17"/>
      <c r="Q217" s="17"/>
      <c r="R217" s="17"/>
      <c r="S217" s="17"/>
      <c r="T217" s="17"/>
      <c r="U217" s="17"/>
      <c r="V217" s="34"/>
    </row>
    <row r="218" spans="1:22" ht="30">
      <c r="A218" s="4" t="s">
        <v>706</v>
      </c>
      <c r="B218" s="17" t="s">
        <v>497</v>
      </c>
      <c r="C218" s="17"/>
      <c r="D218" s="17"/>
      <c r="E218" s="17"/>
      <c r="F218" s="17"/>
      <c r="G218" s="17"/>
      <c r="H218" s="17" t="s">
        <v>556</v>
      </c>
      <c r="I218" s="17"/>
      <c r="J218" s="17"/>
      <c r="K218" s="17"/>
      <c r="L218" s="17"/>
      <c r="M218" s="17"/>
      <c r="N218" s="17"/>
      <c r="O218" s="17"/>
      <c r="P218" s="17"/>
      <c r="Q218" s="17"/>
      <c r="R218" s="17"/>
      <c r="S218" s="17"/>
      <c r="T218" s="17"/>
      <c r="U218" s="17"/>
      <c r="V218" s="34"/>
    </row>
    <row r="219" spans="1:22" ht="26.25">
      <c r="A219" s="4" t="s">
        <v>706</v>
      </c>
      <c r="B219" s="17" t="s">
        <v>539</v>
      </c>
      <c r="C219" s="17"/>
      <c r="D219" s="17"/>
      <c r="E219" s="17"/>
      <c r="F219" s="17"/>
      <c r="G219" s="17"/>
      <c r="H219" s="17"/>
      <c r="I219" s="17"/>
      <c r="J219" s="17"/>
      <c r="K219" s="17"/>
      <c r="L219" s="17"/>
      <c r="M219" s="17"/>
      <c r="N219" s="17"/>
      <c r="O219" s="17"/>
      <c r="P219" s="17"/>
      <c r="Q219" s="17"/>
      <c r="R219" s="17"/>
      <c r="S219" s="17" t="s">
        <v>540</v>
      </c>
      <c r="T219" s="17"/>
      <c r="U219" s="17"/>
      <c r="V219" s="34"/>
    </row>
    <row r="220" spans="1:22" ht="12.75">
      <c r="A220" s="8" t="s">
        <v>707</v>
      </c>
      <c r="B220" s="7" t="s">
        <v>55</v>
      </c>
      <c r="C220" s="7"/>
      <c r="D220" s="7"/>
      <c r="E220" s="7"/>
      <c r="F220" s="7"/>
      <c r="G220" s="7"/>
      <c r="H220" s="7" t="s">
        <v>56</v>
      </c>
      <c r="I220" s="7"/>
      <c r="J220" s="7"/>
      <c r="K220" s="7"/>
      <c r="L220" s="7" t="s">
        <v>57</v>
      </c>
      <c r="M220" s="7"/>
      <c r="N220" s="7"/>
      <c r="O220" s="7"/>
      <c r="P220" s="7"/>
      <c r="Q220" s="7"/>
      <c r="R220" s="7"/>
      <c r="S220" s="7"/>
      <c r="T220" s="7"/>
      <c r="U220" s="7"/>
      <c r="V220" s="32"/>
    </row>
    <row r="221" spans="1:22" ht="12.75">
      <c r="A221" s="8" t="s">
        <v>707</v>
      </c>
      <c r="B221" s="7" t="s">
        <v>500</v>
      </c>
      <c r="C221" s="7"/>
      <c r="D221" s="7"/>
      <c r="E221" s="7"/>
      <c r="F221" s="7"/>
      <c r="G221" s="7"/>
      <c r="H221" s="7"/>
      <c r="I221" s="7"/>
      <c r="J221" s="7"/>
      <c r="K221" s="7"/>
      <c r="L221" s="7" t="s">
        <v>952</v>
      </c>
      <c r="M221" s="7"/>
      <c r="N221" s="7"/>
      <c r="O221" s="7"/>
      <c r="P221" s="7"/>
      <c r="Q221" s="7"/>
      <c r="R221" s="7"/>
      <c r="S221" s="7"/>
      <c r="T221" s="7"/>
      <c r="U221" s="7"/>
      <c r="V221" s="32"/>
    </row>
    <row r="222" spans="1:22" ht="12.75">
      <c r="A222" s="8" t="s">
        <v>707</v>
      </c>
      <c r="B222" s="7" t="s">
        <v>919</v>
      </c>
      <c r="C222" s="7"/>
      <c r="D222" s="7"/>
      <c r="E222" s="7"/>
      <c r="F222" s="7"/>
      <c r="G222" s="7">
        <v>0.05</v>
      </c>
      <c r="H222" s="7"/>
      <c r="I222" s="7"/>
      <c r="J222" s="7"/>
      <c r="K222" s="7"/>
      <c r="L222" s="7"/>
      <c r="M222" s="7"/>
      <c r="N222" s="7"/>
      <c r="O222" s="7"/>
      <c r="P222" s="7"/>
      <c r="Q222" s="7"/>
      <c r="R222" s="7"/>
      <c r="S222" s="7"/>
      <c r="T222" s="7"/>
      <c r="U222" s="7"/>
      <c r="V222" s="32"/>
    </row>
    <row r="223" spans="1:22" ht="30">
      <c r="A223" s="8" t="s">
        <v>707</v>
      </c>
      <c r="B223" s="7" t="s">
        <v>497</v>
      </c>
      <c r="C223" s="7"/>
      <c r="D223" s="7"/>
      <c r="E223" s="7"/>
      <c r="F223" s="7"/>
      <c r="G223" s="7"/>
      <c r="H223" s="7" t="s">
        <v>555</v>
      </c>
      <c r="I223" s="7"/>
      <c r="J223" s="7"/>
      <c r="K223" s="7"/>
      <c r="L223" s="7"/>
      <c r="M223" s="7"/>
      <c r="N223" s="7"/>
      <c r="O223" s="7"/>
      <c r="P223" s="7"/>
      <c r="Q223" s="7"/>
      <c r="R223" s="7"/>
      <c r="S223" s="7"/>
      <c r="T223" s="7"/>
      <c r="U223" s="7"/>
      <c r="V223" s="32"/>
    </row>
    <row r="224" spans="1:22" ht="40.5">
      <c r="A224" s="8" t="s">
        <v>707</v>
      </c>
      <c r="B224" s="7" t="s">
        <v>923</v>
      </c>
      <c r="C224" s="7"/>
      <c r="D224" s="7"/>
      <c r="E224" s="7"/>
      <c r="F224" s="7"/>
      <c r="G224" s="7" t="s">
        <v>924</v>
      </c>
      <c r="H224" s="7" t="s">
        <v>957</v>
      </c>
      <c r="I224" s="7"/>
      <c r="J224" s="7"/>
      <c r="K224" s="7"/>
      <c r="L224" s="7" t="s">
        <v>951</v>
      </c>
      <c r="M224" s="7" t="s">
        <v>960</v>
      </c>
      <c r="N224" s="7"/>
      <c r="O224" s="10">
        <v>0.3</v>
      </c>
      <c r="P224" s="7"/>
      <c r="Q224" s="7"/>
      <c r="R224" s="7"/>
      <c r="S224" s="7" t="s">
        <v>538</v>
      </c>
      <c r="T224" s="7"/>
      <c r="U224" s="7">
        <v>0.132</v>
      </c>
      <c r="V224" s="32"/>
    </row>
    <row r="225" spans="1:22" ht="30">
      <c r="A225" s="4" t="s">
        <v>708</v>
      </c>
      <c r="B225" s="17" t="s">
        <v>497</v>
      </c>
      <c r="C225" s="17"/>
      <c r="D225" s="17"/>
      <c r="E225" s="17"/>
      <c r="F225" s="17"/>
      <c r="G225" s="17"/>
      <c r="H225" s="17" t="s">
        <v>561</v>
      </c>
      <c r="I225" s="17"/>
      <c r="J225" s="17"/>
      <c r="K225" s="17"/>
      <c r="L225" s="17"/>
      <c r="M225" s="17"/>
      <c r="N225" s="17"/>
      <c r="O225" s="17"/>
      <c r="P225" s="17"/>
      <c r="Q225" s="17"/>
      <c r="R225" s="17"/>
      <c r="S225" s="17" t="s">
        <v>543</v>
      </c>
      <c r="T225" s="17"/>
      <c r="U225" s="17"/>
      <c r="V225" s="34"/>
    </row>
    <row r="226" spans="1:22" ht="12.75">
      <c r="A226" s="8" t="s">
        <v>709</v>
      </c>
      <c r="B226" s="7" t="s">
        <v>802</v>
      </c>
      <c r="C226" s="7">
        <v>0.012</v>
      </c>
      <c r="D226" s="7"/>
      <c r="E226" s="7">
        <v>0.955</v>
      </c>
      <c r="F226" s="7">
        <v>0.071</v>
      </c>
      <c r="G226" s="7"/>
      <c r="H226" s="7" t="s">
        <v>800</v>
      </c>
      <c r="I226" s="7"/>
      <c r="J226" s="7">
        <v>9</v>
      </c>
      <c r="K226" s="7"/>
      <c r="L226" s="7">
        <v>14</v>
      </c>
      <c r="M226" s="7"/>
      <c r="N226" s="7"/>
      <c r="O226" s="7"/>
      <c r="P226" s="7">
        <v>0.042</v>
      </c>
      <c r="Q226" s="7"/>
      <c r="R226" s="7">
        <v>28</v>
      </c>
      <c r="S226" s="7"/>
      <c r="T226" s="7"/>
      <c r="U226" s="7"/>
      <c r="V226" s="32" t="s">
        <v>801</v>
      </c>
    </row>
    <row r="227" spans="1:22" ht="12.75">
      <c r="A227" s="4" t="s">
        <v>710</v>
      </c>
      <c r="B227" s="17"/>
      <c r="C227" s="17"/>
      <c r="D227" s="17"/>
      <c r="E227" s="17"/>
      <c r="F227" s="17"/>
      <c r="G227" s="17"/>
      <c r="H227" s="17"/>
      <c r="I227" s="17"/>
      <c r="J227" s="17"/>
      <c r="K227" s="17"/>
      <c r="L227" s="17"/>
      <c r="M227" s="17"/>
      <c r="N227" s="17"/>
      <c r="O227" s="17"/>
      <c r="P227" s="17"/>
      <c r="Q227" s="17"/>
      <c r="R227" s="17"/>
      <c r="S227" s="17"/>
      <c r="T227" s="17"/>
      <c r="U227" s="17"/>
      <c r="V227" s="34"/>
    </row>
    <row r="228" spans="1:22" ht="12.75">
      <c r="A228" s="8" t="s">
        <v>716</v>
      </c>
      <c r="B228" s="7" t="s">
        <v>717</v>
      </c>
      <c r="C228" s="7"/>
      <c r="D228" s="7"/>
      <c r="E228" s="7"/>
      <c r="F228" s="7">
        <v>0.999</v>
      </c>
      <c r="G228" s="7"/>
      <c r="H228" s="7"/>
      <c r="I228" s="7"/>
      <c r="J228" s="7"/>
      <c r="K228" s="7"/>
      <c r="L228" s="7"/>
      <c r="M228" s="7"/>
      <c r="N228" s="7"/>
      <c r="O228" s="7"/>
      <c r="P228" s="7"/>
      <c r="Q228" s="7"/>
      <c r="R228" s="7"/>
      <c r="S228" s="7"/>
      <c r="T228" s="7"/>
      <c r="U228" s="7"/>
      <c r="V228" s="32"/>
    </row>
    <row r="229" spans="1:22" ht="30">
      <c r="A229" s="8" t="s">
        <v>716</v>
      </c>
      <c r="B229" s="7" t="s">
        <v>573</v>
      </c>
      <c r="C229" s="7"/>
      <c r="D229" s="7"/>
      <c r="E229" s="7"/>
      <c r="F229" s="7"/>
      <c r="G229" s="7"/>
      <c r="H229" s="7" t="s">
        <v>456</v>
      </c>
      <c r="I229" s="7"/>
      <c r="J229" s="7"/>
      <c r="K229" s="7"/>
      <c r="L229" s="7" t="s">
        <v>885</v>
      </c>
      <c r="M229" s="7" t="s">
        <v>916</v>
      </c>
      <c r="N229" s="7"/>
      <c r="O229" s="7"/>
      <c r="P229" s="7"/>
      <c r="Q229" s="7"/>
      <c r="R229" s="7" t="s">
        <v>485</v>
      </c>
      <c r="S229" s="7"/>
      <c r="T229" s="7"/>
      <c r="U229" s="7"/>
      <c r="V229" s="32"/>
    </row>
    <row r="230" spans="1:22" ht="20.25">
      <c r="A230" s="8" t="s">
        <v>716</v>
      </c>
      <c r="B230" s="7" t="s">
        <v>948</v>
      </c>
      <c r="C230" s="7"/>
      <c r="D230" s="7"/>
      <c r="E230" s="7"/>
      <c r="F230" s="7"/>
      <c r="G230" s="7"/>
      <c r="H230" s="7"/>
      <c r="I230" s="7"/>
      <c r="J230" s="7"/>
      <c r="K230" s="7"/>
      <c r="L230" s="7" t="s">
        <v>949</v>
      </c>
      <c r="M230" s="7"/>
      <c r="N230" s="7"/>
      <c r="O230" s="7"/>
      <c r="P230" s="7"/>
      <c r="Q230" s="7"/>
      <c r="R230" s="7"/>
      <c r="S230" s="7"/>
      <c r="T230" s="7"/>
      <c r="U230" s="7"/>
      <c r="V230" s="32"/>
    </row>
    <row r="231" spans="1:22" ht="20.25">
      <c r="A231" s="8" t="s">
        <v>716</v>
      </c>
      <c r="B231" s="7" t="s">
        <v>58</v>
      </c>
      <c r="C231" s="7"/>
      <c r="D231" s="7"/>
      <c r="E231" s="7"/>
      <c r="F231" s="7" t="s">
        <v>52</v>
      </c>
      <c r="G231" s="7"/>
      <c r="H231" s="7"/>
      <c r="I231" s="7"/>
      <c r="J231" s="7" t="s">
        <v>59</v>
      </c>
      <c r="K231" s="7"/>
      <c r="L231" s="7"/>
      <c r="M231" s="7"/>
      <c r="N231" s="7"/>
      <c r="O231" s="7"/>
      <c r="P231" s="7"/>
      <c r="Q231" s="7"/>
      <c r="R231" s="7"/>
      <c r="S231" s="7"/>
      <c r="T231" s="7"/>
      <c r="U231" s="7"/>
      <c r="V231" s="32"/>
    </row>
    <row r="232" spans="1:22" ht="30">
      <c r="A232" s="8" t="s">
        <v>716</v>
      </c>
      <c r="B232" s="7" t="s">
        <v>497</v>
      </c>
      <c r="C232" s="7"/>
      <c r="D232" s="7"/>
      <c r="E232" s="7"/>
      <c r="F232" s="7"/>
      <c r="G232" s="7"/>
      <c r="H232" s="7" t="s">
        <v>511</v>
      </c>
      <c r="I232" s="7"/>
      <c r="J232" s="7"/>
      <c r="K232" s="7"/>
      <c r="L232" s="7" t="s">
        <v>503</v>
      </c>
      <c r="M232" s="7" t="s">
        <v>517</v>
      </c>
      <c r="N232" s="7"/>
      <c r="O232" s="7" t="s">
        <v>518</v>
      </c>
      <c r="P232" s="7"/>
      <c r="Q232" s="7"/>
      <c r="R232" s="7"/>
      <c r="S232" s="7"/>
      <c r="T232" s="7"/>
      <c r="U232" s="7"/>
      <c r="V232" s="32"/>
    </row>
    <row r="233" spans="1:22" ht="12.75">
      <c r="A233" s="4" t="s">
        <v>718</v>
      </c>
      <c r="B233" s="17" t="s">
        <v>552</v>
      </c>
      <c r="C233" s="17"/>
      <c r="D233" s="17"/>
      <c r="E233" s="17"/>
      <c r="F233" s="17"/>
      <c r="G233" s="17"/>
      <c r="H233" s="17" t="s">
        <v>553</v>
      </c>
      <c r="I233" s="17"/>
      <c r="J233" s="17"/>
      <c r="K233" s="17"/>
      <c r="L233" s="17"/>
      <c r="M233" s="17"/>
      <c r="N233" s="17"/>
      <c r="O233" s="17"/>
      <c r="P233" s="17"/>
      <c r="Q233" s="17"/>
      <c r="R233" s="17"/>
      <c r="S233" s="17"/>
      <c r="T233" s="17"/>
      <c r="U233" s="17"/>
      <c r="V233" s="34"/>
    </row>
    <row r="234" spans="1:22" ht="20.25">
      <c r="A234" s="8" t="s">
        <v>719</v>
      </c>
      <c r="B234" s="7" t="s">
        <v>501</v>
      </c>
      <c r="C234" s="7"/>
      <c r="D234" s="7"/>
      <c r="E234" s="7"/>
      <c r="F234" s="7"/>
      <c r="G234" s="7"/>
      <c r="H234" s="7" t="s">
        <v>554</v>
      </c>
      <c r="I234" s="7"/>
      <c r="J234" s="7"/>
      <c r="K234" s="7"/>
      <c r="L234" s="7" t="s">
        <v>954</v>
      </c>
      <c r="M234" s="7"/>
      <c r="N234" s="7"/>
      <c r="O234" s="7"/>
      <c r="P234" s="7"/>
      <c r="Q234" s="7"/>
      <c r="R234" s="7"/>
      <c r="S234" s="7" t="s">
        <v>537</v>
      </c>
      <c r="T234" s="7"/>
      <c r="U234" s="7"/>
      <c r="V234" s="32"/>
    </row>
    <row r="235" spans="1:22" ht="12.75">
      <c r="A235" s="8" t="s">
        <v>719</v>
      </c>
      <c r="B235" s="7" t="s">
        <v>502</v>
      </c>
      <c r="C235" s="7"/>
      <c r="D235" s="7"/>
      <c r="E235" s="7"/>
      <c r="F235" s="7"/>
      <c r="G235" s="7"/>
      <c r="H235" s="7"/>
      <c r="I235" s="7"/>
      <c r="J235" s="7"/>
      <c r="K235" s="7"/>
      <c r="L235" s="7" t="s">
        <v>393</v>
      </c>
      <c r="M235" s="7"/>
      <c r="N235" s="7"/>
      <c r="O235" s="7"/>
      <c r="P235" s="7"/>
      <c r="Q235" s="7"/>
      <c r="R235" s="7"/>
      <c r="S235" s="7"/>
      <c r="T235" s="7"/>
      <c r="U235" s="7"/>
      <c r="V235" s="32"/>
    </row>
    <row r="236" spans="1:22" ht="26.25">
      <c r="A236" s="4" t="s">
        <v>720</v>
      </c>
      <c r="B236" s="17" t="s">
        <v>751</v>
      </c>
      <c r="C236" s="24"/>
      <c r="D236" s="24"/>
      <c r="E236" s="17">
        <v>0.839</v>
      </c>
      <c r="F236" s="17">
        <v>0.3906</v>
      </c>
      <c r="G236" s="17"/>
      <c r="H236" s="17"/>
      <c r="I236" s="17"/>
      <c r="J236" s="17">
        <v>4</v>
      </c>
      <c r="K236" s="17"/>
      <c r="L236" s="17"/>
      <c r="M236" s="17"/>
      <c r="N236" s="17"/>
      <c r="O236" s="17"/>
      <c r="P236" s="17">
        <v>0.175</v>
      </c>
      <c r="Q236" s="17"/>
      <c r="R236" s="17"/>
      <c r="S236" s="17"/>
      <c r="T236" s="17"/>
      <c r="U236" s="17"/>
      <c r="V236" s="34"/>
    </row>
    <row r="237" spans="1:22" ht="30">
      <c r="A237" s="4" t="s">
        <v>720</v>
      </c>
      <c r="B237" s="17" t="s">
        <v>893</v>
      </c>
      <c r="C237" s="24"/>
      <c r="D237" s="24"/>
      <c r="E237" s="17"/>
      <c r="F237" s="17"/>
      <c r="G237" s="17"/>
      <c r="H237" s="17" t="s">
        <v>894</v>
      </c>
      <c r="I237" s="17"/>
      <c r="J237" s="17"/>
      <c r="K237" s="17"/>
      <c r="L237" s="17"/>
      <c r="M237" s="17"/>
      <c r="N237" s="17"/>
      <c r="O237" s="17"/>
      <c r="P237" s="17"/>
      <c r="Q237" s="17"/>
      <c r="R237" s="17"/>
      <c r="S237" s="17"/>
      <c r="T237" s="17"/>
      <c r="U237" s="17"/>
      <c r="V237" s="34"/>
    </row>
    <row r="238" spans="1:22" ht="30">
      <c r="A238" s="4" t="s">
        <v>720</v>
      </c>
      <c r="B238" s="17" t="s">
        <v>480</v>
      </c>
      <c r="C238" s="24"/>
      <c r="D238" s="24"/>
      <c r="E238" s="17"/>
      <c r="F238" s="17"/>
      <c r="G238" s="17"/>
      <c r="H238" s="17"/>
      <c r="I238" s="17"/>
      <c r="J238" s="17"/>
      <c r="K238" s="17"/>
      <c r="L238" s="17" t="s">
        <v>956</v>
      </c>
      <c r="M238" s="17"/>
      <c r="N238" s="17"/>
      <c r="O238" s="17"/>
      <c r="P238" s="17"/>
      <c r="Q238" s="17"/>
      <c r="R238" s="17" t="s">
        <v>584</v>
      </c>
      <c r="S238" s="17"/>
      <c r="T238" s="17"/>
      <c r="U238" s="17"/>
      <c r="V238" s="34"/>
    </row>
    <row r="239" spans="1:22" ht="40.5">
      <c r="A239" s="4" t="s">
        <v>720</v>
      </c>
      <c r="B239" s="17" t="s">
        <v>244</v>
      </c>
      <c r="C239" s="24"/>
      <c r="D239" s="24"/>
      <c r="E239" s="17"/>
      <c r="F239" s="17"/>
      <c r="G239" s="17"/>
      <c r="H239" s="17" t="s">
        <v>245</v>
      </c>
      <c r="I239" s="17"/>
      <c r="J239" s="17"/>
      <c r="K239" s="17"/>
      <c r="L239" s="17"/>
      <c r="M239" s="17"/>
      <c r="N239" s="17"/>
      <c r="O239" s="17"/>
      <c r="P239" s="17"/>
      <c r="Q239" s="17"/>
      <c r="R239" s="17" t="s">
        <v>247</v>
      </c>
      <c r="S239" s="17" t="s">
        <v>246</v>
      </c>
      <c r="T239" s="17"/>
      <c r="U239" s="17"/>
      <c r="V239" s="34"/>
    </row>
    <row r="240" spans="1:22" ht="40.5">
      <c r="A240" s="4" t="s">
        <v>720</v>
      </c>
      <c r="B240" s="17" t="s">
        <v>890</v>
      </c>
      <c r="C240" s="24"/>
      <c r="D240" s="24"/>
      <c r="E240" s="17"/>
      <c r="F240" s="17"/>
      <c r="G240" s="17"/>
      <c r="H240" s="17" t="s">
        <v>891</v>
      </c>
      <c r="I240" s="17"/>
      <c r="J240" s="17"/>
      <c r="K240" s="17"/>
      <c r="L240" s="17"/>
      <c r="M240" s="17"/>
      <c r="N240" s="17"/>
      <c r="O240" s="17"/>
      <c r="P240" s="17"/>
      <c r="Q240" s="17"/>
      <c r="R240" s="17"/>
      <c r="S240" s="17" t="s">
        <v>892</v>
      </c>
      <c r="T240" s="17"/>
      <c r="U240" s="17"/>
      <c r="V240" s="34"/>
    </row>
    <row r="241" spans="1:22" ht="30">
      <c r="A241" s="8" t="s">
        <v>721</v>
      </c>
      <c r="B241" s="7" t="s">
        <v>421</v>
      </c>
      <c r="C241" s="7"/>
      <c r="D241" s="7"/>
      <c r="E241" s="7"/>
      <c r="F241" s="7"/>
      <c r="G241" s="7"/>
      <c r="H241" s="7"/>
      <c r="I241" s="7"/>
      <c r="J241" s="7"/>
      <c r="K241" s="7"/>
      <c r="L241" s="7"/>
      <c r="M241" s="7"/>
      <c r="N241" s="7"/>
      <c r="O241" s="7"/>
      <c r="P241" s="7"/>
      <c r="Q241" s="7"/>
      <c r="R241" s="7" t="s">
        <v>422</v>
      </c>
      <c r="S241" s="7"/>
      <c r="T241" s="7"/>
      <c r="U241" s="7"/>
      <c r="V241" s="32"/>
    </row>
    <row r="242" spans="1:22" ht="12.75">
      <c r="A242" s="4" t="s">
        <v>722</v>
      </c>
      <c r="B242" s="17" t="s">
        <v>723</v>
      </c>
      <c r="C242" s="19">
        <v>0.094</v>
      </c>
      <c r="D242" s="24"/>
      <c r="E242" s="17"/>
      <c r="F242" s="17"/>
      <c r="G242" s="17"/>
      <c r="H242" s="17"/>
      <c r="I242" s="17"/>
      <c r="J242" s="17">
        <v>4</v>
      </c>
      <c r="K242" s="17"/>
      <c r="L242" s="17"/>
      <c r="M242" s="17"/>
      <c r="N242" s="17"/>
      <c r="O242" s="17"/>
      <c r="P242" s="17"/>
      <c r="Q242" s="17"/>
      <c r="R242" s="17"/>
      <c r="S242" s="17"/>
      <c r="T242" s="17"/>
      <c r="U242" s="17"/>
      <c r="V242" s="34"/>
    </row>
    <row r="243" spans="1:22" ht="30">
      <c r="A243" s="4" t="s">
        <v>722</v>
      </c>
      <c r="B243" s="17" t="s">
        <v>188</v>
      </c>
      <c r="C243" s="24"/>
      <c r="D243" s="24"/>
      <c r="E243" s="17"/>
      <c r="F243" s="17"/>
      <c r="G243" s="17" t="s">
        <v>126</v>
      </c>
      <c r="H243" s="17"/>
      <c r="I243" s="17"/>
      <c r="J243" s="17"/>
      <c r="K243" s="17"/>
      <c r="L243" s="17"/>
      <c r="M243" s="17"/>
      <c r="N243" s="17"/>
      <c r="O243" s="17"/>
      <c r="P243" s="17"/>
      <c r="Q243" s="17"/>
      <c r="R243" s="17"/>
      <c r="S243" s="17"/>
      <c r="T243" s="17"/>
      <c r="U243" s="17"/>
      <c r="V243" s="34"/>
    </row>
    <row r="244" spans="1:22" ht="30">
      <c r="A244" s="4" t="s">
        <v>722</v>
      </c>
      <c r="B244" s="17" t="s">
        <v>51</v>
      </c>
      <c r="C244" s="24" t="s">
        <v>323</v>
      </c>
      <c r="D244" s="24"/>
      <c r="E244" s="17"/>
      <c r="F244" s="17" t="s">
        <v>52</v>
      </c>
      <c r="G244" s="17"/>
      <c r="H244" s="17" t="s">
        <v>53</v>
      </c>
      <c r="I244" s="17"/>
      <c r="J244" s="17"/>
      <c r="K244" s="17"/>
      <c r="L244" s="17" t="s">
        <v>851</v>
      </c>
      <c r="M244" s="17"/>
      <c r="N244" s="17"/>
      <c r="O244" s="17"/>
      <c r="P244" s="17"/>
      <c r="Q244" s="17"/>
      <c r="R244" s="17"/>
      <c r="S244" s="17"/>
      <c r="T244" s="17"/>
      <c r="U244" s="17"/>
      <c r="V244" s="34"/>
    </row>
    <row r="245" spans="1:22" ht="60.75">
      <c r="A245" s="4" t="s">
        <v>722</v>
      </c>
      <c r="B245" s="17" t="s">
        <v>480</v>
      </c>
      <c r="C245" s="20"/>
      <c r="D245" s="24"/>
      <c r="E245" s="17"/>
      <c r="F245" s="17"/>
      <c r="G245" s="17"/>
      <c r="H245" s="17" t="s">
        <v>583</v>
      </c>
      <c r="I245" s="17"/>
      <c r="J245" s="17"/>
      <c r="K245" s="17"/>
      <c r="L245" s="17" t="s">
        <v>484</v>
      </c>
      <c r="M245" s="17"/>
      <c r="N245" s="17"/>
      <c r="O245" s="17"/>
      <c r="P245" s="17"/>
      <c r="Q245" s="17"/>
      <c r="R245" s="17" t="s">
        <v>585</v>
      </c>
      <c r="S245" s="17"/>
      <c r="T245" s="17"/>
      <c r="U245" s="17"/>
      <c r="V245" s="34"/>
    </row>
    <row r="246" spans="1:22" ht="51">
      <c r="A246" s="4" t="s">
        <v>722</v>
      </c>
      <c r="B246" s="17" t="s">
        <v>256</v>
      </c>
      <c r="C246" s="24"/>
      <c r="D246" s="24"/>
      <c r="E246" s="17"/>
      <c r="F246" s="17"/>
      <c r="G246" s="17"/>
      <c r="H246" s="17" t="s">
        <v>258</v>
      </c>
      <c r="I246" s="17"/>
      <c r="J246" s="17"/>
      <c r="K246" s="17"/>
      <c r="L246" s="17"/>
      <c r="M246" s="17"/>
      <c r="N246" s="17"/>
      <c r="O246" s="17"/>
      <c r="P246" s="17"/>
      <c r="Q246" s="17"/>
      <c r="R246" s="17" t="s">
        <v>257</v>
      </c>
      <c r="S246" s="17"/>
      <c r="T246" s="17"/>
      <c r="U246" s="17"/>
      <c r="V246" s="34"/>
    </row>
    <row r="247" spans="1:22" ht="12.75">
      <c r="A247" s="4" t="s">
        <v>722</v>
      </c>
      <c r="B247" s="17" t="s">
        <v>502</v>
      </c>
      <c r="C247" s="20"/>
      <c r="D247" s="24"/>
      <c r="E247" s="17"/>
      <c r="F247" s="17"/>
      <c r="G247" s="17"/>
      <c r="H247" s="17"/>
      <c r="I247" s="17"/>
      <c r="J247" s="17"/>
      <c r="K247" s="17"/>
      <c r="L247" s="17" t="s">
        <v>506</v>
      </c>
      <c r="M247" s="17"/>
      <c r="N247" s="17"/>
      <c r="O247" s="17"/>
      <c r="P247" s="17"/>
      <c r="Q247" s="17"/>
      <c r="R247" s="17"/>
      <c r="S247" s="17"/>
      <c r="T247" s="17"/>
      <c r="U247" s="17"/>
      <c r="V247" s="34"/>
    </row>
    <row r="248" spans="1:22" ht="12.75">
      <c r="A248" s="4" t="s">
        <v>722</v>
      </c>
      <c r="B248" s="17" t="s">
        <v>505</v>
      </c>
      <c r="C248" s="20"/>
      <c r="D248" s="24"/>
      <c r="E248" s="17"/>
      <c r="F248" s="17"/>
      <c r="G248" s="17"/>
      <c r="H248" s="17"/>
      <c r="I248" s="17"/>
      <c r="J248" s="17"/>
      <c r="K248" s="17"/>
      <c r="L248" s="17" t="s">
        <v>956</v>
      </c>
      <c r="M248" s="17"/>
      <c r="N248" s="17"/>
      <c r="O248" s="17"/>
      <c r="P248" s="17"/>
      <c r="Q248" s="17"/>
      <c r="R248" s="17"/>
      <c r="S248" s="17"/>
      <c r="T248" s="17"/>
      <c r="U248" s="17"/>
      <c r="V248" s="34"/>
    </row>
    <row r="249" spans="1:22" ht="51">
      <c r="A249" s="4" t="s">
        <v>722</v>
      </c>
      <c r="B249" s="17" t="s">
        <v>270</v>
      </c>
      <c r="C249" s="24"/>
      <c r="D249" s="24"/>
      <c r="E249" s="17"/>
      <c r="F249" s="17"/>
      <c r="G249" s="17"/>
      <c r="H249" s="17" t="s">
        <v>271</v>
      </c>
      <c r="I249" s="17"/>
      <c r="J249" s="17"/>
      <c r="K249" s="17"/>
      <c r="L249" s="17"/>
      <c r="M249" s="17"/>
      <c r="N249" s="17"/>
      <c r="O249" s="17"/>
      <c r="P249" s="17"/>
      <c r="Q249" s="17"/>
      <c r="R249" s="17" t="s">
        <v>273</v>
      </c>
      <c r="S249" s="17" t="s">
        <v>272</v>
      </c>
      <c r="T249" s="17"/>
      <c r="U249" s="17"/>
      <c r="V249" s="34"/>
    </row>
    <row r="250" spans="1:22" ht="30">
      <c r="A250" s="4" t="s">
        <v>722</v>
      </c>
      <c r="B250" s="17" t="s">
        <v>412</v>
      </c>
      <c r="C250" s="20"/>
      <c r="D250" s="24"/>
      <c r="E250" s="17"/>
      <c r="F250" s="17" t="s">
        <v>414</v>
      </c>
      <c r="G250" s="17"/>
      <c r="H250" s="17"/>
      <c r="I250" s="17"/>
      <c r="J250" s="17"/>
      <c r="K250" s="17"/>
      <c r="L250" s="17" t="s">
        <v>851</v>
      </c>
      <c r="M250" s="17"/>
      <c r="N250" s="17"/>
      <c r="O250" s="17"/>
      <c r="P250" s="17"/>
      <c r="Q250" s="17"/>
      <c r="R250" s="17" t="s">
        <v>413</v>
      </c>
      <c r="S250" s="17" t="s">
        <v>415</v>
      </c>
      <c r="T250" s="17"/>
      <c r="U250" s="17"/>
      <c r="V250" s="34"/>
    </row>
    <row r="251" spans="1:22" ht="30">
      <c r="A251" s="4" t="s">
        <v>722</v>
      </c>
      <c r="B251" s="17" t="s">
        <v>319</v>
      </c>
      <c r="C251" s="24"/>
      <c r="D251" s="24"/>
      <c r="E251" s="17"/>
      <c r="F251" s="17"/>
      <c r="G251" s="17"/>
      <c r="H251" s="17" t="s">
        <v>321</v>
      </c>
      <c r="I251" s="17"/>
      <c r="J251" s="17"/>
      <c r="K251" s="17"/>
      <c r="L251" s="17"/>
      <c r="M251" s="17"/>
      <c r="N251" s="17"/>
      <c r="O251" s="17"/>
      <c r="P251" s="17"/>
      <c r="Q251" s="17"/>
      <c r="R251" s="17" t="s">
        <v>320</v>
      </c>
      <c r="S251" s="17" t="s">
        <v>322</v>
      </c>
      <c r="T251" s="17"/>
      <c r="U251" s="17"/>
      <c r="V251" s="34"/>
    </row>
    <row r="252" spans="1:22" ht="30">
      <c r="A252" s="4" t="s">
        <v>722</v>
      </c>
      <c r="B252" s="17" t="s">
        <v>410</v>
      </c>
      <c r="C252" s="20"/>
      <c r="D252" s="24"/>
      <c r="E252" s="17"/>
      <c r="F252" s="17"/>
      <c r="G252" s="17"/>
      <c r="H252" s="17"/>
      <c r="I252" s="17"/>
      <c r="J252" s="17"/>
      <c r="K252" s="17"/>
      <c r="L252" s="17"/>
      <c r="M252" s="17"/>
      <c r="N252" s="17"/>
      <c r="O252" s="17" t="s">
        <v>411</v>
      </c>
      <c r="P252" s="17"/>
      <c r="Q252" s="17"/>
      <c r="R252" s="17"/>
      <c r="S252" s="17"/>
      <c r="T252" s="17"/>
      <c r="U252" s="17"/>
      <c r="V252" s="34"/>
    </row>
    <row r="253" spans="1:22" ht="51">
      <c r="A253" s="4" t="s">
        <v>722</v>
      </c>
      <c r="B253" s="17" t="s">
        <v>887</v>
      </c>
      <c r="C253" s="24"/>
      <c r="D253" s="24"/>
      <c r="E253" s="17"/>
      <c r="F253" s="17"/>
      <c r="G253" s="17"/>
      <c r="H253" s="17" t="s">
        <v>580</v>
      </c>
      <c r="I253" s="17"/>
      <c r="J253" s="17"/>
      <c r="K253" s="17"/>
      <c r="L253" s="17"/>
      <c r="M253" s="17"/>
      <c r="N253" s="17" t="s">
        <v>483</v>
      </c>
      <c r="O253" s="17" t="s">
        <v>581</v>
      </c>
      <c r="P253" s="17"/>
      <c r="Q253" s="17"/>
      <c r="R253" s="17"/>
      <c r="S253" s="17" t="s">
        <v>582</v>
      </c>
      <c r="T253" s="17"/>
      <c r="U253" s="17"/>
      <c r="V253" s="34"/>
    </row>
    <row r="254" spans="1:22" ht="40.5">
      <c r="A254" s="4" t="s">
        <v>722</v>
      </c>
      <c r="B254" s="17" t="s">
        <v>266</v>
      </c>
      <c r="C254" s="24"/>
      <c r="D254" s="24"/>
      <c r="E254" s="17"/>
      <c r="F254" s="17"/>
      <c r="G254" s="17"/>
      <c r="H254" s="17" t="s">
        <v>268</v>
      </c>
      <c r="I254" s="17"/>
      <c r="J254" s="17"/>
      <c r="K254" s="17"/>
      <c r="L254" s="17"/>
      <c r="M254" s="17" t="s">
        <v>851</v>
      </c>
      <c r="N254" s="17"/>
      <c r="O254" s="17" t="s">
        <v>269</v>
      </c>
      <c r="P254" s="17"/>
      <c r="Q254" s="17"/>
      <c r="R254" s="17" t="s">
        <v>267</v>
      </c>
      <c r="S254" s="17"/>
      <c r="T254" s="17"/>
      <c r="U254" s="17"/>
      <c r="V254" s="34"/>
    </row>
    <row r="255" spans="1:22" ht="12.75">
      <c r="A255" s="4" t="s">
        <v>722</v>
      </c>
      <c r="B255" s="17" t="s">
        <v>50</v>
      </c>
      <c r="C255" s="24"/>
      <c r="D255" s="24"/>
      <c r="E255" s="17"/>
      <c r="F255" s="17"/>
      <c r="G255" s="17"/>
      <c r="H255" s="17" t="s">
        <v>54</v>
      </c>
      <c r="I255" s="17"/>
      <c r="J255" s="17"/>
      <c r="K255" s="17"/>
      <c r="L255" s="17" t="s">
        <v>932</v>
      </c>
      <c r="M255" s="17"/>
      <c r="N255" s="17"/>
      <c r="O255" s="17"/>
      <c r="P255" s="17"/>
      <c r="Q255" s="17"/>
      <c r="R255" s="17"/>
      <c r="S255" s="17"/>
      <c r="T255" s="17"/>
      <c r="U255" s="17"/>
      <c r="V255" s="34"/>
    </row>
    <row r="256" spans="1:22" ht="12.75">
      <c r="A256" s="4" t="s">
        <v>722</v>
      </c>
      <c r="B256" s="17" t="s">
        <v>324</v>
      </c>
      <c r="C256" s="20">
        <v>0.04</v>
      </c>
      <c r="D256" s="24"/>
      <c r="E256" s="17"/>
      <c r="F256" s="17"/>
      <c r="G256" s="17"/>
      <c r="H256" s="17"/>
      <c r="I256" s="17"/>
      <c r="J256" s="17"/>
      <c r="K256" s="17"/>
      <c r="L256" s="17"/>
      <c r="M256" s="17"/>
      <c r="N256" s="17"/>
      <c r="O256" s="17"/>
      <c r="P256" s="17"/>
      <c r="Q256" s="17"/>
      <c r="R256" s="17"/>
      <c r="S256" s="17"/>
      <c r="T256" s="17"/>
      <c r="U256" s="17"/>
      <c r="V256" s="34"/>
    </row>
    <row r="257" spans="1:22" ht="30">
      <c r="A257" s="8" t="s">
        <v>724</v>
      </c>
      <c r="B257" s="7" t="s">
        <v>221</v>
      </c>
      <c r="C257" s="7"/>
      <c r="D257" s="7"/>
      <c r="E257" s="7"/>
      <c r="F257" s="7"/>
      <c r="G257" s="7"/>
      <c r="H257" s="7" t="s">
        <v>225</v>
      </c>
      <c r="I257" s="7"/>
      <c r="J257" s="7"/>
      <c r="K257" s="7"/>
      <c r="L257" s="7"/>
      <c r="M257" s="7" t="s">
        <v>224</v>
      </c>
      <c r="N257" s="7"/>
      <c r="O257" s="7"/>
      <c r="P257" s="7"/>
      <c r="Q257" s="7"/>
      <c r="R257" s="7" t="s">
        <v>222</v>
      </c>
      <c r="S257" s="7" t="s">
        <v>223</v>
      </c>
      <c r="T257" s="7"/>
      <c r="U257" s="7"/>
      <c r="V257" s="32"/>
    </row>
    <row r="258" spans="1:22" ht="30">
      <c r="A258" s="8" t="s">
        <v>724</v>
      </c>
      <c r="B258" s="7" t="s">
        <v>425</v>
      </c>
      <c r="C258" s="7"/>
      <c r="D258" s="7" t="s">
        <v>889</v>
      </c>
      <c r="E258" s="7"/>
      <c r="F258" s="7"/>
      <c r="G258" s="7"/>
      <c r="H258" s="7"/>
      <c r="I258" s="7"/>
      <c r="J258" s="7"/>
      <c r="K258" s="7"/>
      <c r="L258" s="7"/>
      <c r="M258" s="7"/>
      <c r="N258" s="7"/>
      <c r="O258" s="7"/>
      <c r="P258" s="7"/>
      <c r="Q258" s="7" t="s">
        <v>889</v>
      </c>
      <c r="R258" s="7"/>
      <c r="S258" s="7"/>
      <c r="T258" s="7"/>
      <c r="U258" s="7"/>
      <c r="V258" s="32"/>
    </row>
    <row r="259" spans="1:22" ht="40.5">
      <c r="A259" s="4" t="s">
        <v>725</v>
      </c>
      <c r="B259" s="17" t="s">
        <v>419</v>
      </c>
      <c r="C259" s="17"/>
      <c r="D259" s="17"/>
      <c r="E259" s="17"/>
      <c r="F259" s="17"/>
      <c r="G259" s="17"/>
      <c r="H259" s="17"/>
      <c r="I259" s="17"/>
      <c r="J259" s="17"/>
      <c r="K259" s="17"/>
      <c r="L259" s="17"/>
      <c r="M259" s="17"/>
      <c r="N259" s="17"/>
      <c r="O259" s="17"/>
      <c r="P259" s="17"/>
      <c r="Q259" s="17"/>
      <c r="R259" s="17"/>
      <c r="S259" s="17" t="s">
        <v>420</v>
      </c>
      <c r="T259" s="17"/>
      <c r="U259" s="17"/>
      <c r="V259" s="34"/>
    </row>
    <row r="260" spans="1:22" ht="30">
      <c r="A260" s="4" t="s">
        <v>725</v>
      </c>
      <c r="B260" s="17" t="s">
        <v>416</v>
      </c>
      <c r="C260" s="17"/>
      <c r="D260" s="17"/>
      <c r="E260" s="17"/>
      <c r="F260" s="17"/>
      <c r="G260" s="17"/>
      <c r="H260" s="17"/>
      <c r="I260" s="17"/>
      <c r="J260" s="17"/>
      <c r="K260" s="17"/>
      <c r="L260" s="17"/>
      <c r="M260" s="17"/>
      <c r="N260" s="17"/>
      <c r="O260" s="17"/>
      <c r="P260" s="17"/>
      <c r="Q260" s="17"/>
      <c r="R260" s="17" t="s">
        <v>417</v>
      </c>
      <c r="S260" s="17"/>
      <c r="T260" s="17"/>
      <c r="U260" s="17"/>
      <c r="V260" s="34"/>
    </row>
    <row r="261" spans="1:22" ht="30">
      <c r="A261" s="4" t="s">
        <v>725</v>
      </c>
      <c r="B261" s="17" t="s">
        <v>418</v>
      </c>
      <c r="C261" s="17"/>
      <c r="D261" s="17"/>
      <c r="E261" s="17"/>
      <c r="F261" s="17"/>
      <c r="G261" s="17"/>
      <c r="H261" s="17"/>
      <c r="I261" s="17"/>
      <c r="J261" s="17"/>
      <c r="K261" s="17"/>
      <c r="L261" s="17" t="s">
        <v>393</v>
      </c>
      <c r="M261" s="17"/>
      <c r="N261" s="17"/>
      <c r="O261" s="17">
        <v>0.6</v>
      </c>
      <c r="P261" s="17"/>
      <c r="Q261" s="17"/>
      <c r="R261" s="17"/>
      <c r="S261" s="17"/>
      <c r="T261" s="17"/>
      <c r="U261" s="17"/>
      <c r="V261" s="34"/>
    </row>
    <row r="262" spans="1:22" ht="60.75">
      <c r="A262" s="8" t="s">
        <v>726</v>
      </c>
      <c r="B262" s="7" t="s">
        <v>175</v>
      </c>
      <c r="C262" s="7"/>
      <c r="D262" s="7"/>
      <c r="E262" s="7"/>
      <c r="F262" s="7"/>
      <c r="G262" s="7"/>
      <c r="H262" s="7" t="s">
        <v>177</v>
      </c>
      <c r="I262" s="7"/>
      <c r="J262" s="7"/>
      <c r="K262" s="7"/>
      <c r="L262" s="7" t="s">
        <v>178</v>
      </c>
      <c r="M262" s="7"/>
      <c r="N262" s="7"/>
      <c r="O262" s="7"/>
      <c r="P262" s="7"/>
      <c r="Q262" s="7"/>
      <c r="R262" s="7"/>
      <c r="S262" s="7"/>
      <c r="T262" s="7" t="s">
        <v>176</v>
      </c>
      <c r="U262" s="7"/>
      <c r="V262" s="32"/>
    </row>
    <row r="263" spans="1:22" ht="30">
      <c r="A263" s="8" t="s">
        <v>726</v>
      </c>
      <c r="B263" s="7" t="s">
        <v>480</v>
      </c>
      <c r="C263" s="7"/>
      <c r="D263" s="7"/>
      <c r="E263" s="7"/>
      <c r="F263" s="7"/>
      <c r="G263" s="7"/>
      <c r="H263" s="7" t="s">
        <v>481</v>
      </c>
      <c r="I263" s="7"/>
      <c r="J263" s="7"/>
      <c r="K263" s="7" t="s">
        <v>482</v>
      </c>
      <c r="L263" s="7" t="s">
        <v>586</v>
      </c>
      <c r="M263" s="7"/>
      <c r="N263" s="7"/>
      <c r="O263" s="7"/>
      <c r="P263" s="7"/>
      <c r="Q263" s="7"/>
      <c r="R263" s="7" t="s">
        <v>227</v>
      </c>
      <c r="S263" s="7"/>
      <c r="T263" s="7"/>
      <c r="U263" s="7"/>
      <c r="V263" s="32"/>
    </row>
    <row r="264" spans="1:22" ht="20.25">
      <c r="A264" s="4" t="s">
        <v>727</v>
      </c>
      <c r="B264" s="17" t="s">
        <v>567</v>
      </c>
      <c r="C264" s="17"/>
      <c r="D264" s="17"/>
      <c r="E264" s="17"/>
      <c r="F264" s="17"/>
      <c r="G264" s="17"/>
      <c r="H264" s="17"/>
      <c r="I264" s="17"/>
      <c r="J264" s="17"/>
      <c r="K264" s="17"/>
      <c r="L264" s="17" t="s">
        <v>571</v>
      </c>
      <c r="M264" s="17"/>
      <c r="N264" s="17"/>
      <c r="O264" s="17"/>
      <c r="P264" s="17"/>
      <c r="Q264" s="17"/>
      <c r="R264" s="17" t="s">
        <v>570</v>
      </c>
      <c r="S264" s="17"/>
      <c r="T264" s="17"/>
      <c r="U264" s="17"/>
      <c r="V264" s="34"/>
    </row>
    <row r="265" spans="1:22" ht="12.75">
      <c r="A265" s="8" t="s">
        <v>728</v>
      </c>
      <c r="B265" s="7" t="s">
        <v>752</v>
      </c>
      <c r="C265" s="11" t="s">
        <v>749</v>
      </c>
      <c r="D265" s="11"/>
      <c r="E265" s="11"/>
      <c r="F265" s="11"/>
      <c r="G265" s="11"/>
      <c r="H265" s="11"/>
      <c r="I265" s="11"/>
      <c r="J265" s="11">
        <v>6</v>
      </c>
      <c r="K265" s="11"/>
      <c r="L265" s="11"/>
      <c r="M265" s="11"/>
      <c r="N265" s="11"/>
      <c r="O265" s="11"/>
      <c r="P265" s="11">
        <v>0.045</v>
      </c>
      <c r="Q265" s="11"/>
      <c r="R265" s="11"/>
      <c r="S265" s="11"/>
      <c r="T265" s="11"/>
      <c r="U265" s="11"/>
      <c r="V265" s="32"/>
    </row>
    <row r="266" spans="1:22" ht="40.5">
      <c r="A266" s="4" t="s">
        <v>729</v>
      </c>
      <c r="B266" s="17" t="s">
        <v>491</v>
      </c>
      <c r="C266" s="17"/>
      <c r="D266" s="17"/>
      <c r="E266" s="17"/>
      <c r="F266" s="17"/>
      <c r="G266" s="17"/>
      <c r="H266" s="17"/>
      <c r="I266" s="17"/>
      <c r="J266" s="17"/>
      <c r="K266" s="17"/>
      <c r="L266" s="17" t="s">
        <v>493</v>
      </c>
      <c r="M266" s="17"/>
      <c r="N266" s="17"/>
      <c r="O266" s="17"/>
      <c r="P266" s="17"/>
      <c r="Q266" s="17"/>
      <c r="R266" s="17"/>
      <c r="S266" s="17"/>
      <c r="T266" s="17"/>
      <c r="U266" s="17"/>
      <c r="V266" s="34"/>
    </row>
    <row r="267" spans="1:22" ht="20.25">
      <c r="A267" s="4" t="s">
        <v>729</v>
      </c>
      <c r="B267" s="17" t="s">
        <v>567</v>
      </c>
      <c r="C267" s="17"/>
      <c r="D267" s="17"/>
      <c r="E267" s="17"/>
      <c r="F267" s="17"/>
      <c r="G267" s="17"/>
      <c r="H267" s="17"/>
      <c r="I267" s="17"/>
      <c r="J267" s="17"/>
      <c r="K267" s="17"/>
      <c r="L267" s="17"/>
      <c r="M267" s="17"/>
      <c r="N267" s="17"/>
      <c r="O267" s="17"/>
      <c r="P267" s="17"/>
      <c r="Q267" s="17"/>
      <c r="R267" s="17" t="s">
        <v>569</v>
      </c>
      <c r="S267" s="17"/>
      <c r="T267" s="17"/>
      <c r="U267" s="17"/>
      <c r="V267" s="34"/>
    </row>
    <row r="268" spans="1:22" ht="12.75">
      <c r="A268" s="4" t="s">
        <v>729</v>
      </c>
      <c r="B268" s="17" t="s">
        <v>494</v>
      </c>
      <c r="C268" s="17"/>
      <c r="D268" s="17"/>
      <c r="E268" s="17"/>
      <c r="F268" s="17"/>
      <c r="G268" s="17"/>
      <c r="H268" s="17"/>
      <c r="I268" s="17"/>
      <c r="J268" s="17"/>
      <c r="K268" s="17"/>
      <c r="L268" s="17" t="s">
        <v>492</v>
      </c>
      <c r="M268" s="17"/>
      <c r="N268" s="17"/>
      <c r="O268" s="17"/>
      <c r="P268" s="17"/>
      <c r="Q268" s="17"/>
      <c r="R268" s="17"/>
      <c r="S268" s="17"/>
      <c r="T268" s="17"/>
      <c r="U268" s="17"/>
      <c r="V268" s="34"/>
    </row>
    <row r="269" spans="1:22" ht="20.25">
      <c r="A269" s="8" t="s">
        <v>730</v>
      </c>
      <c r="B269" s="7" t="s">
        <v>567</v>
      </c>
      <c r="C269" s="7"/>
      <c r="D269" s="7"/>
      <c r="E269" s="7"/>
      <c r="F269" s="7"/>
      <c r="G269" s="7"/>
      <c r="H269" s="7" t="s">
        <v>934</v>
      </c>
      <c r="I269" s="7"/>
      <c r="J269" s="7"/>
      <c r="K269" s="7"/>
      <c r="L269" s="7" t="s">
        <v>939</v>
      </c>
      <c r="M269" s="7" t="s">
        <v>931</v>
      </c>
      <c r="N269" s="7"/>
      <c r="O269" s="7"/>
      <c r="P269" s="7"/>
      <c r="Q269" s="7"/>
      <c r="R269" s="7" t="s">
        <v>568</v>
      </c>
      <c r="S269" s="7"/>
      <c r="T269" s="7"/>
      <c r="U269" s="7"/>
      <c r="V269" s="32"/>
    </row>
    <row r="270" spans="1:22" ht="12.75">
      <c r="A270" s="8" t="s">
        <v>730</v>
      </c>
      <c r="B270" s="7" t="s">
        <v>933</v>
      </c>
      <c r="C270" s="7"/>
      <c r="D270" s="7"/>
      <c r="E270" s="7"/>
      <c r="F270" s="7"/>
      <c r="G270" s="7"/>
      <c r="H270" s="7" t="s">
        <v>935</v>
      </c>
      <c r="I270" s="7"/>
      <c r="J270" s="7"/>
      <c r="K270" s="7"/>
      <c r="L270" s="7"/>
      <c r="M270" s="7"/>
      <c r="N270" s="7"/>
      <c r="O270" s="7"/>
      <c r="P270" s="7"/>
      <c r="Q270" s="7"/>
      <c r="R270" s="7"/>
      <c r="S270" s="7"/>
      <c r="T270" s="7"/>
      <c r="U270" s="7"/>
      <c r="V270" s="32"/>
    </row>
    <row r="271" spans="1:22" ht="30">
      <c r="A271" s="8" t="s">
        <v>730</v>
      </c>
      <c r="B271" s="7" t="s">
        <v>300</v>
      </c>
      <c r="C271" s="7"/>
      <c r="D271" s="7"/>
      <c r="E271" s="7"/>
      <c r="F271" s="7"/>
      <c r="G271" s="7"/>
      <c r="H271" s="7" t="s">
        <v>916</v>
      </c>
      <c r="I271" s="7"/>
      <c r="J271" s="7"/>
      <c r="K271" s="7"/>
      <c r="L271" s="7"/>
      <c r="M271" s="7"/>
      <c r="N271" s="7"/>
      <c r="O271" s="7"/>
      <c r="P271" s="7"/>
      <c r="Q271" s="7"/>
      <c r="R271" s="7" t="s">
        <v>301</v>
      </c>
      <c r="S271" s="7" t="s">
        <v>304</v>
      </c>
      <c r="T271" s="7"/>
      <c r="U271" s="7"/>
      <c r="V271" s="32"/>
    </row>
    <row r="272" spans="1:22" ht="40.5">
      <c r="A272" s="8" t="s">
        <v>730</v>
      </c>
      <c r="B272" s="7" t="s">
        <v>259</v>
      </c>
      <c r="C272" s="7"/>
      <c r="D272" s="7"/>
      <c r="E272" s="7"/>
      <c r="F272" s="7"/>
      <c r="G272" s="7"/>
      <c r="H272" s="7" t="s">
        <v>261</v>
      </c>
      <c r="I272" s="7"/>
      <c r="J272" s="7"/>
      <c r="K272" s="7"/>
      <c r="L272" s="7" t="s">
        <v>938</v>
      </c>
      <c r="M272" s="7" t="s">
        <v>931</v>
      </c>
      <c r="N272" s="7"/>
      <c r="O272" s="7"/>
      <c r="P272" s="7"/>
      <c r="Q272" s="7"/>
      <c r="R272" s="7"/>
      <c r="S272" s="7" t="s">
        <v>260</v>
      </c>
      <c r="T272" s="7"/>
      <c r="U272" s="7"/>
      <c r="V272" s="32"/>
    </row>
    <row r="273" spans="1:22" ht="12.75">
      <c r="A273" s="8" t="s">
        <v>730</v>
      </c>
      <c r="B273" s="7" t="s">
        <v>302</v>
      </c>
      <c r="C273" s="7"/>
      <c r="D273" s="7"/>
      <c r="E273" s="7"/>
      <c r="F273" s="7"/>
      <c r="G273" s="7"/>
      <c r="H273" s="7"/>
      <c r="I273" s="7"/>
      <c r="J273" s="7"/>
      <c r="K273" s="7"/>
      <c r="L273" s="7"/>
      <c r="M273" s="7"/>
      <c r="N273" s="7"/>
      <c r="O273" s="7"/>
      <c r="P273" s="7"/>
      <c r="Q273" s="7"/>
      <c r="R273" s="7" t="s">
        <v>303</v>
      </c>
      <c r="S273" s="7"/>
      <c r="T273" s="7"/>
      <c r="U273" s="7"/>
      <c r="V273" s="32"/>
    </row>
    <row r="274" spans="1:22" ht="12.75">
      <c r="A274" s="8" t="s">
        <v>730</v>
      </c>
      <c r="B274" s="7" t="s">
        <v>936</v>
      </c>
      <c r="C274" s="7"/>
      <c r="D274" s="7"/>
      <c r="E274" s="7"/>
      <c r="F274" s="7"/>
      <c r="G274" s="7"/>
      <c r="H274" s="7" t="s">
        <v>916</v>
      </c>
      <c r="I274" s="7"/>
      <c r="J274" s="7"/>
      <c r="K274" s="7"/>
      <c r="L274" s="7" t="s">
        <v>939</v>
      </c>
      <c r="M274" s="7"/>
      <c r="N274" s="7"/>
      <c r="O274" s="7"/>
      <c r="P274" s="7"/>
      <c r="Q274" s="7"/>
      <c r="R274" s="7"/>
      <c r="S274" s="7"/>
      <c r="T274" s="7"/>
      <c r="U274" s="7"/>
      <c r="V274" s="32"/>
    </row>
    <row r="275" spans="1:22" ht="30">
      <c r="A275" s="8" t="s">
        <v>730</v>
      </c>
      <c r="B275" s="7" t="s">
        <v>930</v>
      </c>
      <c r="C275" s="7"/>
      <c r="D275" s="7"/>
      <c r="E275" s="7"/>
      <c r="F275" s="7"/>
      <c r="G275" s="7"/>
      <c r="H275" s="7" t="s">
        <v>937</v>
      </c>
      <c r="I275" s="7"/>
      <c r="J275" s="7"/>
      <c r="K275" s="7"/>
      <c r="L275" s="7" t="s">
        <v>932</v>
      </c>
      <c r="M275" s="7" t="s">
        <v>931</v>
      </c>
      <c r="N275" s="7"/>
      <c r="O275" s="7"/>
      <c r="P275" s="7"/>
      <c r="Q275" s="7"/>
      <c r="R275" s="7"/>
      <c r="S275" s="7"/>
      <c r="T275" s="7"/>
      <c r="U275" s="7"/>
      <c r="V275" s="32"/>
    </row>
    <row r="276" spans="1:22" ht="12.75">
      <c r="A276" s="2"/>
      <c r="B276" s="1"/>
      <c r="C276" s="1">
        <f>COUNT(C2:C275)</f>
        <v>6</v>
      </c>
      <c r="D276" s="1">
        <f aca="true" t="shared" si="0" ref="D276:V276">COUNT(D2:D275)</f>
        <v>0</v>
      </c>
      <c r="E276" s="1">
        <f t="shared" si="0"/>
        <v>9</v>
      </c>
      <c r="F276" s="1">
        <f t="shared" si="0"/>
        <v>6</v>
      </c>
      <c r="G276" s="1">
        <f t="shared" si="0"/>
        <v>3</v>
      </c>
      <c r="H276" s="1">
        <f t="shared" si="0"/>
        <v>0</v>
      </c>
      <c r="I276" s="1"/>
      <c r="J276" s="1">
        <f t="shared" si="0"/>
        <v>7</v>
      </c>
      <c r="K276" s="1">
        <f t="shared" si="0"/>
        <v>0</v>
      </c>
      <c r="L276" s="1">
        <f t="shared" si="0"/>
        <v>1</v>
      </c>
      <c r="M276" s="1">
        <f t="shared" si="0"/>
        <v>0</v>
      </c>
      <c r="N276" s="1">
        <f t="shared" si="0"/>
        <v>0</v>
      </c>
      <c r="O276" s="1">
        <f t="shared" si="0"/>
        <v>19</v>
      </c>
      <c r="P276" s="1">
        <f t="shared" si="0"/>
        <v>7</v>
      </c>
      <c r="Q276" s="1">
        <f t="shared" si="0"/>
        <v>0</v>
      </c>
      <c r="R276" s="1">
        <f t="shared" si="0"/>
        <v>3</v>
      </c>
      <c r="S276" s="1">
        <f t="shared" si="0"/>
        <v>1</v>
      </c>
      <c r="T276" s="1">
        <f t="shared" si="0"/>
        <v>0</v>
      </c>
      <c r="U276" s="1">
        <f t="shared" si="0"/>
        <v>5</v>
      </c>
      <c r="V276" s="1">
        <f t="shared" si="0"/>
        <v>0</v>
      </c>
    </row>
    <row r="278" ht="12.75">
      <c r="A278" s="37" t="s">
        <v>424</v>
      </c>
    </row>
    <row r="279" ht="12.75">
      <c r="A279" s="14" t="s">
        <v>423</v>
      </c>
    </row>
    <row r="280" ht="12.75">
      <c r="A280" s="14"/>
    </row>
    <row r="281" ht="12.75">
      <c r="A281" s="14"/>
    </row>
    <row r="282" ht="12.75">
      <c r="A282" s="13" t="s">
        <v>2</v>
      </c>
    </row>
    <row r="283" ht="12.75">
      <c r="A283" s="13" t="s">
        <v>3</v>
      </c>
    </row>
    <row r="284" ht="12.75">
      <c r="A284" s="13" t="s">
        <v>777</v>
      </c>
    </row>
    <row r="285" ht="12.75">
      <c r="A285" s="13" t="s">
        <v>778</v>
      </c>
    </row>
    <row r="286" ht="12.75">
      <c r="A286" s="13" t="s">
        <v>294</v>
      </c>
    </row>
    <row r="287" ht="12.75">
      <c r="A287" s="13" t="s">
        <v>4</v>
      </c>
    </row>
    <row r="288" ht="12.75">
      <c r="A288" s="13" t="s">
        <v>779</v>
      </c>
    </row>
    <row r="289" ht="12.75">
      <c r="A289" s="13" t="s">
        <v>772</v>
      </c>
    </row>
    <row r="290" ht="12.75">
      <c r="A290" s="13" t="s">
        <v>780</v>
      </c>
    </row>
    <row r="291" ht="12.75">
      <c r="A291" s="13" t="s">
        <v>5</v>
      </c>
    </row>
    <row r="292" ht="12.75">
      <c r="A292" s="41" t="s">
        <v>566</v>
      </c>
    </row>
    <row r="293" ht="12.75">
      <c r="A293" s="13" t="s">
        <v>565</v>
      </c>
    </row>
    <row r="294" ht="12.75">
      <c r="A294" s="41" t="s">
        <v>961</v>
      </c>
    </row>
  </sheetData>
  <hyperlinks>
    <hyperlink ref="E34" location="_edn1" display="_edn1"/>
    <hyperlink ref="A278" location="_ednref1" display="_ednref1"/>
  </hyperlinks>
  <printOptions/>
  <pageMargins left="0.75" right="0.75" top="1" bottom="1" header="0.5" footer="0.5"/>
  <pageSetup fitToHeight="0" horizontalDpi="600" verticalDpi="600" orientation="landscape" scale="55" r:id="rId1"/>
  <headerFooter alignWithMargins="0">
    <oddFooter>&amp;L&amp;F&amp;CPage &amp;P of &amp;N&amp;R&amp;D</oddFooter>
  </headerFooter>
</worksheet>
</file>

<file path=xl/worksheets/sheet2.xml><?xml version="1.0" encoding="utf-8"?>
<worksheet xmlns="http://schemas.openxmlformats.org/spreadsheetml/2006/main" xmlns:r="http://schemas.openxmlformats.org/officeDocument/2006/relationships">
  <dimension ref="A1:AZ107"/>
  <sheetViews>
    <sheetView tabSelected="1" workbookViewId="0" topLeftCell="A1">
      <pane xSplit="2" ySplit="1" topLeftCell="K63" activePane="bottomRight" state="frozen"/>
      <selection pane="topLeft" activeCell="A1" sqref="A1"/>
      <selection pane="topRight" activeCell="C1" sqref="C1"/>
      <selection pane="bottomLeft" activeCell="A2" sqref="A2"/>
      <selection pane="bottomRight" activeCell="P72" sqref="P72"/>
    </sheetView>
  </sheetViews>
  <sheetFormatPr defaultColWidth="9.140625" defaultRowHeight="12.75"/>
  <cols>
    <col min="1" max="1" width="21.28125" style="12" customWidth="1"/>
    <col min="2" max="2" width="32.8515625" style="12" customWidth="1"/>
    <col min="3" max="3" width="8.28125" style="12" customWidth="1"/>
    <col min="4" max="4" width="4.421875" style="49" customWidth="1"/>
    <col min="5" max="6" width="6.8515625" style="12" customWidth="1"/>
    <col min="7" max="9" width="8.7109375" style="12" customWidth="1"/>
    <col min="10" max="10" width="6.28125" style="12" customWidth="1"/>
    <col min="11" max="11" width="14.7109375" style="12" customWidth="1"/>
    <col min="12" max="12" width="14.7109375" style="49" customWidth="1"/>
    <col min="13" max="13" width="14.7109375" style="113" customWidth="1"/>
    <col min="14" max="14" width="10.00390625" style="12" bestFit="1" customWidth="1"/>
    <col min="15" max="15" width="10.00390625" style="12" customWidth="1"/>
    <col min="16" max="16" width="9.140625" style="12" customWidth="1"/>
    <col min="17" max="17" width="10.00390625" style="12" bestFit="1" customWidth="1"/>
    <col min="18" max="18" width="10.00390625" style="12" customWidth="1"/>
    <col min="19" max="19" width="10.00390625" style="12" bestFit="1" customWidth="1"/>
    <col min="20" max="20" width="10.00390625" style="119" customWidth="1"/>
    <col min="21" max="21" width="10.140625" style="12" customWidth="1"/>
    <col min="22" max="22" width="10.00390625" style="12" bestFit="1" customWidth="1"/>
    <col min="23" max="23" width="8.140625" style="12" customWidth="1"/>
    <col min="24" max="29" width="9.140625" style="12" customWidth="1"/>
    <col min="30" max="30" width="16.00390625" style="49" customWidth="1"/>
    <col min="31" max="31" width="11.57421875" style="45" customWidth="1"/>
    <col min="32" max="32" width="11.57421875" style="113" customWidth="1"/>
    <col min="33" max="34" width="8.28125" style="12" customWidth="1"/>
    <col min="35" max="35" width="10.28125" style="35" customWidth="1"/>
    <col min="36" max="37" width="8.8515625" style="16" customWidth="1"/>
    <col min="38" max="39" width="15.7109375" style="16" customWidth="1"/>
    <col min="40" max="16384" width="8.8515625" style="16" customWidth="1"/>
  </cols>
  <sheetData>
    <row r="1" spans="1:45" ht="77.25" customHeight="1" thickBot="1">
      <c r="A1" s="28" t="s">
        <v>587</v>
      </c>
      <c r="B1" s="28" t="s">
        <v>589</v>
      </c>
      <c r="C1" s="29" t="s">
        <v>753</v>
      </c>
      <c r="D1" s="58" t="s">
        <v>759</v>
      </c>
      <c r="E1" s="29" t="s">
        <v>807</v>
      </c>
      <c r="F1" s="29" t="s">
        <v>333</v>
      </c>
      <c r="G1" s="29" t="s">
        <v>808</v>
      </c>
      <c r="H1" s="29" t="s">
        <v>347</v>
      </c>
      <c r="I1" s="29" t="s">
        <v>253</v>
      </c>
      <c r="J1" s="29" t="s">
        <v>597</v>
      </c>
      <c r="K1" s="30" t="s">
        <v>760</v>
      </c>
      <c r="L1" s="46" t="s">
        <v>460</v>
      </c>
      <c r="M1" s="120" t="s">
        <v>335</v>
      </c>
      <c r="N1" s="30" t="s">
        <v>588</v>
      </c>
      <c r="O1" s="30" t="s">
        <v>378</v>
      </c>
      <c r="P1" s="30" t="s">
        <v>771</v>
      </c>
      <c r="Q1" s="29" t="s">
        <v>758</v>
      </c>
      <c r="R1" s="29" t="s">
        <v>336</v>
      </c>
      <c r="S1" s="29" t="s">
        <v>795</v>
      </c>
      <c r="T1" s="114" t="s">
        <v>337</v>
      </c>
      <c r="U1" s="29" t="s">
        <v>564</v>
      </c>
      <c r="V1" s="29" t="s">
        <v>775</v>
      </c>
      <c r="W1" s="29" t="s">
        <v>756</v>
      </c>
      <c r="X1" s="29" t="s">
        <v>757</v>
      </c>
      <c r="Y1" s="29" t="s">
        <v>341</v>
      </c>
      <c r="Z1" s="29" t="s">
        <v>572</v>
      </c>
      <c r="AA1" s="29" t="s">
        <v>340</v>
      </c>
      <c r="AB1" s="29" t="s">
        <v>763</v>
      </c>
      <c r="AC1" s="29" t="s">
        <v>339</v>
      </c>
      <c r="AD1" s="58" t="s">
        <v>796</v>
      </c>
      <c r="AE1" s="42" t="s">
        <v>904</v>
      </c>
      <c r="AF1" s="104" t="s">
        <v>338</v>
      </c>
      <c r="AG1" s="29" t="s">
        <v>762</v>
      </c>
      <c r="AH1" s="29" t="s">
        <v>813</v>
      </c>
      <c r="AI1" s="29" t="s">
        <v>942</v>
      </c>
      <c r="AJ1" s="51" t="s">
        <v>251</v>
      </c>
      <c r="AK1" s="51" t="s">
        <v>252</v>
      </c>
      <c r="AL1" s="51" t="s">
        <v>803</v>
      </c>
      <c r="AM1" s="51" t="s">
        <v>806</v>
      </c>
      <c r="AN1" s="51" t="s">
        <v>805</v>
      </c>
      <c r="AO1" s="51" t="s">
        <v>804</v>
      </c>
      <c r="AP1" s="53" t="s">
        <v>198</v>
      </c>
      <c r="AS1" s="16" t="s">
        <v>768</v>
      </c>
    </row>
    <row r="2" spans="1:44" ht="26.25" thickTop="1">
      <c r="A2" s="73" t="s">
        <v>590</v>
      </c>
      <c r="B2" s="62" t="s">
        <v>331</v>
      </c>
      <c r="C2" s="62"/>
      <c r="D2" s="65"/>
      <c r="G2" s="62"/>
      <c r="H2" s="62"/>
      <c r="I2" s="62"/>
      <c r="J2" s="62"/>
      <c r="K2" s="62" t="s">
        <v>217</v>
      </c>
      <c r="L2" s="84">
        <f>L3</f>
        <v>7.3</v>
      </c>
      <c r="M2" s="105"/>
      <c r="N2" s="64">
        <f>ROUND(L2+(Q2/12),0)</f>
        <v>8</v>
      </c>
      <c r="O2" s="64"/>
      <c r="P2" s="62"/>
      <c r="Q2" s="102">
        <v>10</v>
      </c>
      <c r="R2" s="102">
        <v>13</v>
      </c>
      <c r="S2" s="62">
        <v>1</v>
      </c>
      <c r="T2" s="115">
        <v>97</v>
      </c>
      <c r="U2" s="62"/>
      <c r="V2" s="62">
        <v>0.78</v>
      </c>
      <c r="W2" s="62"/>
      <c r="X2" s="62"/>
      <c r="Y2" s="62"/>
      <c r="Z2" s="62"/>
      <c r="AA2" s="62"/>
      <c r="AB2" s="62"/>
      <c r="AC2" s="62">
        <v>133</v>
      </c>
      <c r="AD2" s="75">
        <f>ROUND(RegrOldLen!$G$18+singleSpecies!AK2*RegrOldLen!$G$19,0)</f>
        <v>51</v>
      </c>
      <c r="AE2" s="67">
        <v>10.7</v>
      </c>
      <c r="AF2" s="105">
        <v>97</v>
      </c>
      <c r="AG2" s="62"/>
      <c r="AH2" s="62"/>
      <c r="AI2" s="74" t="s">
        <v>332</v>
      </c>
      <c r="AJ2" s="16" t="e">
        <f>LOG(Z2)</f>
        <v>#NUM!</v>
      </c>
      <c r="AK2" s="16">
        <f>LOG(AE2)</f>
        <v>1.0293837776852097</v>
      </c>
      <c r="AL2" s="16" t="s">
        <v>42</v>
      </c>
      <c r="AM2" s="16">
        <v>75</v>
      </c>
      <c r="AN2" s="16">
        <v>0.985</v>
      </c>
      <c r="AO2" s="16">
        <v>0.9</v>
      </c>
      <c r="AP2" s="16">
        <v>1</v>
      </c>
      <c r="AQ2" s="57" t="s">
        <v>199</v>
      </c>
      <c r="AR2" s="57" t="s">
        <v>201</v>
      </c>
    </row>
    <row r="3" spans="1:44" ht="25.5">
      <c r="A3" s="4" t="s">
        <v>591</v>
      </c>
      <c r="B3" s="17" t="s">
        <v>750</v>
      </c>
      <c r="C3" s="17"/>
      <c r="D3" s="47"/>
      <c r="G3" s="17"/>
      <c r="H3" s="17"/>
      <c r="I3" s="17"/>
      <c r="J3" s="17"/>
      <c r="K3" s="17"/>
      <c r="L3" s="17">
        <v>7.3</v>
      </c>
      <c r="M3" s="106" t="s">
        <v>334</v>
      </c>
      <c r="N3" s="64">
        <f>ROUND(L3+(Q3/12),0)</f>
        <v>8</v>
      </c>
      <c r="O3" s="64"/>
      <c r="P3" s="17"/>
      <c r="Q3" s="102">
        <v>10</v>
      </c>
      <c r="R3" s="102">
        <v>13</v>
      </c>
      <c r="S3" s="17">
        <v>1.2</v>
      </c>
      <c r="T3" s="107">
        <v>107</v>
      </c>
      <c r="U3" s="17"/>
      <c r="V3" s="17"/>
      <c r="W3" s="17">
        <v>0.392</v>
      </c>
      <c r="X3" s="17"/>
      <c r="Y3" s="17"/>
      <c r="Z3" s="17"/>
      <c r="AA3" s="62"/>
      <c r="AB3" s="62"/>
      <c r="AC3" s="62"/>
      <c r="AD3" s="75">
        <f>ROUND(RegrOldLen!$G$18+singleSpecies!AK3*RegrOldLen!$G$19,0)</f>
        <v>51</v>
      </c>
      <c r="AE3" s="43">
        <v>10.7</v>
      </c>
      <c r="AF3" s="106">
        <v>107</v>
      </c>
      <c r="AG3" s="17"/>
      <c r="AH3" s="17"/>
      <c r="AI3" s="34"/>
      <c r="AJ3" s="16" t="e">
        <f aca="true" t="shared" si="0" ref="AJ3:AJ65">LOG(Z3)</f>
        <v>#NUM!</v>
      </c>
      <c r="AK3" s="16">
        <f aca="true" t="shared" si="1" ref="AK3:AK65">LOG(AE3)</f>
        <v>1.0293837776852097</v>
      </c>
      <c r="AL3" s="16" t="s">
        <v>38</v>
      </c>
      <c r="AM3" s="16">
        <v>50</v>
      </c>
      <c r="AN3" s="16">
        <v>0.96</v>
      </c>
      <c r="AO3" s="16">
        <v>0.85</v>
      </c>
      <c r="AP3" s="16">
        <f>AP2+1</f>
        <v>2</v>
      </c>
      <c r="AQ3" s="54">
        <v>1</v>
      </c>
      <c r="AR3" s="55">
        <v>0</v>
      </c>
    </row>
    <row r="4" spans="1:44" ht="45">
      <c r="A4" s="141" t="s">
        <v>601</v>
      </c>
      <c r="B4" s="17" t="s">
        <v>1</v>
      </c>
      <c r="C4" s="17"/>
      <c r="D4" s="47"/>
      <c r="E4" s="17"/>
      <c r="F4" s="17"/>
      <c r="G4" s="17"/>
      <c r="H4" s="17"/>
      <c r="I4" s="17"/>
      <c r="J4" s="17"/>
      <c r="K4" s="17" t="s">
        <v>788</v>
      </c>
      <c r="L4" s="47">
        <v>8.2</v>
      </c>
      <c r="M4" s="106">
        <v>11</v>
      </c>
      <c r="N4" s="64">
        <f>ROUND(L4+(Q4/12),0)</f>
        <v>9</v>
      </c>
      <c r="O4" s="64"/>
      <c r="P4" s="17"/>
      <c r="Q4" s="102">
        <v>12</v>
      </c>
      <c r="R4" s="102">
        <v>108</v>
      </c>
      <c r="S4" s="102">
        <f>(2+3)/2</f>
        <v>2.5</v>
      </c>
      <c r="T4" s="107" t="s">
        <v>345</v>
      </c>
      <c r="U4" s="17"/>
      <c r="V4" s="19" t="s">
        <v>785</v>
      </c>
      <c r="W4" s="17" t="s">
        <v>790</v>
      </c>
      <c r="X4" s="17"/>
      <c r="Y4" s="17"/>
      <c r="Z4" s="17">
        <v>53</v>
      </c>
      <c r="AA4" s="62">
        <v>11</v>
      </c>
      <c r="AB4" s="62"/>
      <c r="AC4" s="62"/>
      <c r="AD4" s="75">
        <f>ROUND(RegrOldLen!$G$18+singleSpecies!AK4*RegrOldLen!$G$19,0)</f>
        <v>54</v>
      </c>
      <c r="AE4" s="43">
        <v>13.6</v>
      </c>
      <c r="AF4" s="106">
        <v>106</v>
      </c>
      <c r="AG4" s="17"/>
      <c r="AH4" s="17"/>
      <c r="AI4" s="34"/>
      <c r="AJ4" s="16">
        <f t="shared" si="0"/>
        <v>1.724275869600789</v>
      </c>
      <c r="AK4" s="16">
        <f t="shared" si="1"/>
        <v>1.1335389083702174</v>
      </c>
      <c r="AL4" s="16" t="s">
        <v>39</v>
      </c>
      <c r="AM4" s="16">
        <v>35</v>
      </c>
      <c r="AN4" s="16">
        <v>0.94</v>
      </c>
      <c r="AO4" s="16">
        <v>0.85</v>
      </c>
      <c r="AP4" s="16">
        <f aca="true" t="shared" si="2" ref="AP4:AP34">AP3+1</f>
        <v>3</v>
      </c>
      <c r="AQ4" s="54">
        <v>2</v>
      </c>
      <c r="AR4" s="55">
        <v>13</v>
      </c>
    </row>
    <row r="5" spans="1:44" ht="45">
      <c r="A5" s="141" t="s">
        <v>602</v>
      </c>
      <c r="B5" s="17" t="s">
        <v>442</v>
      </c>
      <c r="C5" s="17"/>
      <c r="D5" s="47"/>
      <c r="E5" s="17">
        <v>0.84</v>
      </c>
      <c r="F5" s="17" t="s">
        <v>342</v>
      </c>
      <c r="G5" s="17">
        <v>0.925</v>
      </c>
      <c r="H5" s="17" t="s">
        <v>342</v>
      </c>
      <c r="I5" s="17">
        <f>E5/G5</f>
        <v>0.908108108108108</v>
      </c>
      <c r="J5" s="17">
        <f>G5^2</f>
        <v>0.8556250000000001</v>
      </c>
      <c r="K5" s="17" t="s">
        <v>457</v>
      </c>
      <c r="L5" s="47">
        <v>8</v>
      </c>
      <c r="M5" s="105" t="s">
        <v>342</v>
      </c>
      <c r="N5" s="64">
        <f>ROUND(L5+(Q5/12),0)</f>
        <v>9</v>
      </c>
      <c r="O5" s="64"/>
      <c r="P5" s="17"/>
      <c r="Q5" s="17">
        <v>12</v>
      </c>
      <c r="R5" s="17">
        <v>108</v>
      </c>
      <c r="S5" s="102">
        <v>2.5</v>
      </c>
      <c r="T5" s="107">
        <v>108</v>
      </c>
      <c r="U5" s="17"/>
      <c r="V5" s="17" t="s">
        <v>446</v>
      </c>
      <c r="W5" s="17"/>
      <c r="X5" s="17"/>
      <c r="Y5" s="17"/>
      <c r="Z5" s="17"/>
      <c r="AA5" s="62"/>
      <c r="AB5" s="62"/>
      <c r="AC5" s="62"/>
      <c r="AD5" s="75">
        <f>ROUND(RegrOldLen!$G$18+singleSpecies!AK5*RegrOldLen!$G$19,0)</f>
        <v>53</v>
      </c>
      <c r="AE5" s="103">
        <f>(12.5+13.1)/2</f>
        <v>12.8</v>
      </c>
      <c r="AF5" s="107" t="s">
        <v>343</v>
      </c>
      <c r="AG5" s="17"/>
      <c r="AH5" s="17"/>
      <c r="AI5" s="34"/>
      <c r="AJ5" s="16" t="e">
        <f t="shared" si="0"/>
        <v>#NUM!</v>
      </c>
      <c r="AK5" s="16">
        <f t="shared" si="1"/>
        <v>1.1072099696478683</v>
      </c>
      <c r="AL5" s="16" t="s">
        <v>40</v>
      </c>
      <c r="AM5" s="16">
        <v>0</v>
      </c>
      <c r="AN5" s="16">
        <v>0.92</v>
      </c>
      <c r="AO5" s="16">
        <v>0.8</v>
      </c>
      <c r="AP5" s="16">
        <f t="shared" si="2"/>
        <v>4</v>
      </c>
      <c r="AQ5" s="54">
        <v>3</v>
      </c>
      <c r="AR5" s="55">
        <v>26</v>
      </c>
    </row>
    <row r="6" spans="1:44" ht="13.5" thickBot="1">
      <c r="A6" s="141" t="s">
        <v>603</v>
      </c>
      <c r="B6" s="17"/>
      <c r="C6" s="17"/>
      <c r="D6" s="47"/>
      <c r="E6" s="17"/>
      <c r="F6" s="17"/>
      <c r="G6" s="17"/>
      <c r="H6" s="17"/>
      <c r="I6" s="17"/>
      <c r="J6" s="17"/>
      <c r="K6" s="17"/>
      <c r="L6" s="47"/>
      <c r="M6" s="106"/>
      <c r="N6" s="79">
        <f>N$4</f>
        <v>9</v>
      </c>
      <c r="O6" s="79"/>
      <c r="P6" s="17"/>
      <c r="Q6" s="17"/>
      <c r="R6" s="17"/>
      <c r="S6" s="79">
        <f>S$4</f>
        <v>2.5</v>
      </c>
      <c r="T6" s="107"/>
      <c r="U6" s="17"/>
      <c r="V6" s="17"/>
      <c r="W6" s="17"/>
      <c r="X6" s="17"/>
      <c r="Y6" s="17"/>
      <c r="Z6" s="17"/>
      <c r="AA6" s="62"/>
      <c r="AB6" s="62"/>
      <c r="AC6" s="62"/>
      <c r="AD6" s="75">
        <f>ROUND(RegrOldLen!$G$18+singleSpecies!AK6*RegrOldLen!$G$19,0)</f>
        <v>54</v>
      </c>
      <c r="AE6" s="43">
        <f>AE4</f>
        <v>13.6</v>
      </c>
      <c r="AF6" s="106"/>
      <c r="AG6" s="17"/>
      <c r="AH6" s="17"/>
      <c r="AI6" s="34"/>
      <c r="AK6" s="16">
        <f t="shared" si="1"/>
        <v>1.1335389083702174</v>
      </c>
      <c r="AL6" s="16" t="s">
        <v>41</v>
      </c>
      <c r="AM6" s="16">
        <v>0</v>
      </c>
      <c r="AN6" s="16">
        <v>0.89</v>
      </c>
      <c r="AO6" s="16">
        <v>0.8</v>
      </c>
      <c r="AP6" s="16">
        <f>AP5+1</f>
        <v>5</v>
      </c>
      <c r="AQ6" s="54">
        <v>4</v>
      </c>
      <c r="AR6" s="55">
        <v>4</v>
      </c>
    </row>
    <row r="7" spans="1:47" ht="45">
      <c r="A7" s="141" t="s">
        <v>604</v>
      </c>
      <c r="B7" s="17" t="s">
        <v>442</v>
      </c>
      <c r="C7" s="17"/>
      <c r="D7" s="47"/>
      <c r="E7" s="17"/>
      <c r="F7" s="17"/>
      <c r="G7" s="17">
        <v>0.96</v>
      </c>
      <c r="H7" s="17" t="s">
        <v>346</v>
      </c>
      <c r="J7" s="17"/>
      <c r="K7" s="17" t="s">
        <v>451</v>
      </c>
      <c r="L7" s="123">
        <v>9.5</v>
      </c>
      <c r="M7" s="115">
        <v>108</v>
      </c>
      <c r="N7" s="64">
        <f>ROUND(L7+(Q7/12),0)</f>
        <v>10</v>
      </c>
      <c r="O7" s="64"/>
      <c r="P7" s="17"/>
      <c r="Q7" s="17">
        <v>11</v>
      </c>
      <c r="R7" s="17">
        <v>108</v>
      </c>
      <c r="S7" s="102">
        <v>2.24</v>
      </c>
      <c r="T7" s="107">
        <v>2</v>
      </c>
      <c r="U7" s="17"/>
      <c r="V7" s="24" t="s">
        <v>449</v>
      </c>
      <c r="W7" s="17"/>
      <c r="X7" s="17"/>
      <c r="Y7" s="17"/>
      <c r="Z7" s="17"/>
      <c r="AA7" s="62"/>
      <c r="AB7" s="62"/>
      <c r="AC7" s="62"/>
      <c r="AD7" s="75">
        <f>ROUND(RegrOldLen!$G$18+singleSpecies!AK7*RegrOldLen!$G$19,0)</f>
        <v>62</v>
      </c>
      <c r="AE7" s="43">
        <f>(24+27.1)/2</f>
        <v>25.55</v>
      </c>
      <c r="AF7" s="108" t="s">
        <v>344</v>
      </c>
      <c r="AG7" s="16"/>
      <c r="AH7" s="17"/>
      <c r="AI7" s="34"/>
      <c r="AJ7" s="16" t="e">
        <f t="shared" si="0"/>
        <v>#NUM!</v>
      </c>
      <c r="AK7" s="16">
        <f t="shared" si="1"/>
        <v>1.4073909044707316</v>
      </c>
      <c r="AM7" s="16" t="s">
        <v>595</v>
      </c>
      <c r="AP7" s="16">
        <f t="shared" si="2"/>
        <v>6</v>
      </c>
      <c r="AQ7" s="54">
        <v>5</v>
      </c>
      <c r="AR7" s="55">
        <v>9</v>
      </c>
      <c r="AT7" s="57" t="s">
        <v>199</v>
      </c>
      <c r="AU7" s="57" t="s">
        <v>201</v>
      </c>
    </row>
    <row r="8" spans="1:47" ht="45">
      <c r="A8" s="141" t="s">
        <v>607</v>
      </c>
      <c r="B8" s="17" t="s">
        <v>442</v>
      </c>
      <c r="C8" s="17"/>
      <c r="D8" s="47"/>
      <c r="E8" s="17"/>
      <c r="F8" s="17"/>
      <c r="G8" s="17">
        <v>0.975</v>
      </c>
      <c r="H8" s="17">
        <v>153</v>
      </c>
      <c r="I8" s="17"/>
      <c r="J8" s="17"/>
      <c r="K8" s="17" t="s">
        <v>450</v>
      </c>
      <c r="L8" s="123">
        <v>10</v>
      </c>
      <c r="M8" s="115">
        <v>123</v>
      </c>
      <c r="N8" s="64">
        <f>ROUND(L8+(Q8/12),0)</f>
        <v>11</v>
      </c>
      <c r="O8" s="64"/>
      <c r="P8" s="17"/>
      <c r="Q8" s="17">
        <v>11</v>
      </c>
      <c r="R8" s="17">
        <v>108</v>
      </c>
      <c r="S8" s="79">
        <f>S5</f>
        <v>2.5</v>
      </c>
      <c r="T8" s="107"/>
      <c r="U8" s="17"/>
      <c r="V8" s="17" t="s">
        <v>448</v>
      </c>
      <c r="W8" s="17"/>
      <c r="X8" s="17"/>
      <c r="Y8" s="17"/>
      <c r="Z8" s="17"/>
      <c r="AA8" s="62"/>
      <c r="AB8" s="62"/>
      <c r="AC8" s="62"/>
      <c r="AD8" s="75">
        <f>ROUND(RegrOldLen!$G$18+singleSpecies!AK8*RegrOldLen!$G$19,0)</f>
        <v>65</v>
      </c>
      <c r="AE8" s="43">
        <f>(33.3+29.8)/2</f>
        <v>31.549999999999997</v>
      </c>
      <c r="AF8" s="108" t="s">
        <v>348</v>
      </c>
      <c r="AG8" s="16"/>
      <c r="AH8" s="17"/>
      <c r="AI8" s="34"/>
      <c r="AJ8" s="16" t="e">
        <f t="shared" si="0"/>
        <v>#NUM!</v>
      </c>
      <c r="AK8" s="16">
        <f t="shared" si="1"/>
        <v>1.498999363580153</v>
      </c>
      <c r="AL8" s="140" t="s">
        <v>594</v>
      </c>
      <c r="AM8" s="16">
        <f>AVERAGE(I5,I9,I13,I14)</f>
        <v>0.8778961390396481</v>
      </c>
      <c r="AP8" s="16">
        <f t="shared" si="2"/>
        <v>7</v>
      </c>
      <c r="AQ8" s="54">
        <v>6</v>
      </c>
      <c r="AR8" s="55">
        <v>6</v>
      </c>
      <c r="AS8" s="16">
        <v>1</v>
      </c>
      <c r="AT8" s="54">
        <v>1</v>
      </c>
      <c r="AU8" s="55">
        <v>1</v>
      </c>
    </row>
    <row r="9" spans="1:47" ht="33.75">
      <c r="A9" s="141" t="s">
        <v>609</v>
      </c>
      <c r="B9" s="17" t="s">
        <v>883</v>
      </c>
      <c r="C9" s="17"/>
      <c r="D9" s="47">
        <v>28.7</v>
      </c>
      <c r="E9" s="17">
        <v>0.76</v>
      </c>
      <c r="F9" s="17" t="s">
        <v>349</v>
      </c>
      <c r="G9" s="17">
        <v>0.96</v>
      </c>
      <c r="H9" s="17">
        <v>8</v>
      </c>
      <c r="I9" s="17">
        <f>E9/G9</f>
        <v>0.7916666666666667</v>
      </c>
      <c r="J9" s="17">
        <f>G9^2</f>
        <v>0.9216</v>
      </c>
      <c r="K9" s="17" t="s">
        <v>884</v>
      </c>
      <c r="L9" s="47">
        <v>5</v>
      </c>
      <c r="M9" s="105">
        <v>40</v>
      </c>
      <c r="N9" s="64">
        <f>ROUND(L9+(Q9/12),0)</f>
        <v>6</v>
      </c>
      <c r="O9" s="64"/>
      <c r="P9" s="17"/>
      <c r="Q9" s="17">
        <v>11.5</v>
      </c>
      <c r="R9" s="17">
        <v>108</v>
      </c>
      <c r="S9" s="17">
        <v>2.36</v>
      </c>
      <c r="T9" s="107">
        <v>8</v>
      </c>
      <c r="U9" s="17"/>
      <c r="V9" s="17"/>
      <c r="W9" s="17"/>
      <c r="X9" s="17"/>
      <c r="Y9" s="17"/>
      <c r="Z9" s="17"/>
      <c r="AA9" s="62"/>
      <c r="AB9" s="62"/>
      <c r="AC9" s="62"/>
      <c r="AD9" s="75">
        <f>ROUND(RegrOldLen!$G$18+singleSpecies!AK9*RegrOldLen!$G$19,0)</f>
        <v>55</v>
      </c>
      <c r="AE9" s="103">
        <v>14.9</v>
      </c>
      <c r="AF9" s="124" t="s">
        <v>350</v>
      </c>
      <c r="AG9" s="16"/>
      <c r="AH9" s="17"/>
      <c r="AI9" s="34"/>
      <c r="AJ9" s="16" t="e">
        <f t="shared" si="0"/>
        <v>#NUM!</v>
      </c>
      <c r="AK9" s="16">
        <f t="shared" si="1"/>
        <v>1.173186268412274</v>
      </c>
      <c r="AL9" s="16" t="s">
        <v>596</v>
      </c>
      <c r="AM9" s="16">
        <f>AVERAGE(I11,I46,I76,I69)</f>
        <v>0.8186780081516923</v>
      </c>
      <c r="AP9" s="16">
        <f t="shared" si="2"/>
        <v>8</v>
      </c>
      <c r="AQ9" s="54">
        <v>7</v>
      </c>
      <c r="AR9" s="55">
        <v>4</v>
      </c>
      <c r="AS9" s="16">
        <v>2</v>
      </c>
      <c r="AT9" s="54">
        <v>2</v>
      </c>
      <c r="AU9" s="55">
        <v>9</v>
      </c>
    </row>
    <row r="10" spans="1:47" s="89" customFormat="1" ht="12.75">
      <c r="A10" s="85" t="s">
        <v>624</v>
      </c>
      <c r="B10" s="66"/>
      <c r="C10" s="66"/>
      <c r="D10" s="86"/>
      <c r="E10" s="66"/>
      <c r="F10" s="66"/>
      <c r="G10" s="66"/>
      <c r="H10" s="66"/>
      <c r="I10" s="66"/>
      <c r="J10" s="66"/>
      <c r="K10" s="66"/>
      <c r="L10" s="86"/>
      <c r="M10" s="109"/>
      <c r="N10" s="66"/>
      <c r="O10" s="66"/>
      <c r="P10" s="66"/>
      <c r="Q10" s="66"/>
      <c r="R10" s="66"/>
      <c r="S10" s="66"/>
      <c r="T10" s="116"/>
      <c r="U10" s="66"/>
      <c r="V10" s="66"/>
      <c r="W10" s="66"/>
      <c r="X10" s="66"/>
      <c r="Y10" s="66"/>
      <c r="Z10" s="66"/>
      <c r="AA10" s="98"/>
      <c r="AB10" s="98"/>
      <c r="AC10" s="98"/>
      <c r="AD10" s="75">
        <f>ROUND(RegrOldLen!$G$18+singleSpecies!AK10*RegrOldLen!$G$19,0)</f>
        <v>45</v>
      </c>
      <c r="AE10" s="87">
        <v>6.5</v>
      </c>
      <c r="AF10" s="109" t="s">
        <v>351</v>
      </c>
      <c r="AG10" s="66"/>
      <c r="AH10" s="66"/>
      <c r="AI10" s="88"/>
      <c r="AJ10" s="89" t="e">
        <f t="shared" si="0"/>
        <v>#NUM!</v>
      </c>
      <c r="AK10" s="89">
        <f t="shared" si="1"/>
        <v>0.8129133566428556</v>
      </c>
      <c r="AL10" s="16"/>
      <c r="AM10" s="16"/>
      <c r="AP10" s="89">
        <f t="shared" si="2"/>
        <v>9</v>
      </c>
      <c r="AQ10" s="91">
        <v>8</v>
      </c>
      <c r="AR10" s="92">
        <v>3</v>
      </c>
      <c r="AS10" s="89">
        <v>3</v>
      </c>
      <c r="AT10" s="91">
        <v>3</v>
      </c>
      <c r="AU10" s="92">
        <v>12</v>
      </c>
    </row>
    <row r="11" spans="1:47" ht="45">
      <c r="A11" s="4" t="s">
        <v>625</v>
      </c>
      <c r="B11" s="17" t="s">
        <v>442</v>
      </c>
      <c r="C11" s="17"/>
      <c r="D11" s="47"/>
      <c r="E11" s="17">
        <v>0.7</v>
      </c>
      <c r="F11" s="17">
        <v>20</v>
      </c>
      <c r="G11" s="17">
        <v>0.95</v>
      </c>
      <c r="H11" s="17">
        <v>20</v>
      </c>
      <c r="I11" s="17">
        <f>E11/G11</f>
        <v>0.7368421052631579</v>
      </c>
      <c r="J11" s="17">
        <f>G11^2</f>
        <v>0.9025</v>
      </c>
      <c r="K11" s="17" t="s">
        <v>456</v>
      </c>
      <c r="L11" s="47">
        <v>8</v>
      </c>
      <c r="M11" s="105">
        <v>108</v>
      </c>
      <c r="N11" s="64">
        <f>ROUND(L11+((Q11+5)/12),0)</f>
        <v>10</v>
      </c>
      <c r="O11" s="64"/>
      <c r="P11" s="17"/>
      <c r="Q11" s="17">
        <v>13.75</v>
      </c>
      <c r="R11" s="17">
        <v>108</v>
      </c>
      <c r="S11" s="17">
        <v>2</v>
      </c>
      <c r="T11" s="107">
        <v>108</v>
      </c>
      <c r="U11" s="17"/>
      <c r="V11" s="17">
        <v>0.46</v>
      </c>
      <c r="W11" s="17"/>
      <c r="X11" s="17"/>
      <c r="Y11" s="17"/>
      <c r="Z11" s="17"/>
      <c r="AA11" s="62"/>
      <c r="AB11" s="62"/>
      <c r="AC11" s="62"/>
      <c r="AD11" s="75">
        <f>ROUND(RegrOldLen!$G$18+singleSpecies!AK11*RegrOldLen!$G$19,0)</f>
        <v>55</v>
      </c>
      <c r="AE11" s="103">
        <v>15</v>
      </c>
      <c r="AF11" s="124">
        <v>108</v>
      </c>
      <c r="AG11" s="16"/>
      <c r="AH11" s="17"/>
      <c r="AI11" s="34"/>
      <c r="AJ11" s="16" t="e">
        <f t="shared" si="0"/>
        <v>#NUM!</v>
      </c>
      <c r="AK11" s="16">
        <f t="shared" si="1"/>
        <v>1.1760912590556813</v>
      </c>
      <c r="AL11" s="16" t="s">
        <v>598</v>
      </c>
      <c r="AM11" s="16">
        <f>AVERAGE(I9,I13,I69)</f>
        <v>0.8381958530538652</v>
      </c>
      <c r="AP11" s="16">
        <f t="shared" si="2"/>
        <v>10</v>
      </c>
      <c r="AQ11" s="54">
        <v>9</v>
      </c>
      <c r="AR11" s="55">
        <v>1</v>
      </c>
      <c r="AS11" s="16">
        <v>4</v>
      </c>
      <c r="AT11" s="54">
        <v>4</v>
      </c>
      <c r="AU11" s="55">
        <v>2</v>
      </c>
    </row>
    <row r="12" spans="1:47" ht="45">
      <c r="A12" s="141" t="s">
        <v>627</v>
      </c>
      <c r="B12" s="17" t="s">
        <v>60</v>
      </c>
      <c r="C12" s="17"/>
      <c r="D12" s="47">
        <v>46.9</v>
      </c>
      <c r="E12" s="17"/>
      <c r="F12" s="17"/>
      <c r="G12" s="17">
        <v>0.98</v>
      </c>
      <c r="H12" s="17" t="s">
        <v>352</v>
      </c>
      <c r="I12" s="17"/>
      <c r="J12" s="17"/>
      <c r="K12" s="17" t="s">
        <v>63</v>
      </c>
      <c r="L12" s="47">
        <v>20</v>
      </c>
      <c r="M12" s="106">
        <v>58</v>
      </c>
      <c r="N12" s="17">
        <v>20</v>
      </c>
      <c r="O12" s="17"/>
      <c r="P12" s="17"/>
      <c r="Q12" s="17">
        <v>12.5</v>
      </c>
      <c r="R12" s="17">
        <v>108</v>
      </c>
      <c r="S12" s="17">
        <v>3.1</v>
      </c>
      <c r="T12" s="107">
        <v>128</v>
      </c>
      <c r="U12" s="17">
        <v>0.44</v>
      </c>
      <c r="V12" s="17">
        <v>0.31</v>
      </c>
      <c r="W12" s="17"/>
      <c r="X12" s="17"/>
      <c r="Y12" s="17"/>
      <c r="Z12" s="17">
        <f>ROUND((114+121)/2,0)</f>
        <v>118</v>
      </c>
      <c r="AA12" s="62">
        <v>58</v>
      </c>
      <c r="AB12" s="62"/>
      <c r="AC12" s="62"/>
      <c r="AD12" s="75">
        <f>ROUND(RegrOldLen!$G$18+singleSpecies!AK12*RegrOldLen!$G$19,0)</f>
        <v>58</v>
      </c>
      <c r="AE12" s="103">
        <v>18</v>
      </c>
      <c r="AF12" s="124" t="s">
        <v>353</v>
      </c>
      <c r="AG12" s="16"/>
      <c r="AH12" s="17"/>
      <c r="AI12" s="34"/>
      <c r="AJ12" s="16">
        <f t="shared" si="0"/>
        <v>2.0718820073061255</v>
      </c>
      <c r="AK12" s="16">
        <f t="shared" si="1"/>
        <v>1.255272505103306</v>
      </c>
      <c r="AP12" s="16">
        <f t="shared" si="2"/>
        <v>11</v>
      </c>
      <c r="AQ12" s="54">
        <v>10</v>
      </c>
      <c r="AR12" s="55">
        <v>1</v>
      </c>
      <c r="AS12" s="16">
        <v>5</v>
      </c>
      <c r="AT12" s="54">
        <v>5</v>
      </c>
      <c r="AU12" s="55">
        <v>2</v>
      </c>
    </row>
    <row r="13" spans="1:47" ht="33.75">
      <c r="A13" s="141" t="s">
        <v>628</v>
      </c>
      <c r="B13" s="17" t="s">
        <v>288</v>
      </c>
      <c r="C13" s="17" t="s">
        <v>293</v>
      </c>
      <c r="D13" s="47"/>
      <c r="E13" s="17">
        <v>0.91</v>
      </c>
      <c r="F13" s="17">
        <v>14</v>
      </c>
      <c r="G13" s="17">
        <v>0.986</v>
      </c>
      <c r="H13" s="17">
        <v>14</v>
      </c>
      <c r="I13" s="17">
        <f>E13/G13</f>
        <v>0.922920892494929</v>
      </c>
      <c r="J13" s="17">
        <f>G13^2</f>
        <v>0.972196</v>
      </c>
      <c r="K13" s="17"/>
      <c r="L13" s="47">
        <v>7</v>
      </c>
      <c r="M13" s="106">
        <v>14</v>
      </c>
      <c r="N13" s="17">
        <v>8</v>
      </c>
      <c r="O13" s="17"/>
      <c r="P13" s="17" t="s">
        <v>290</v>
      </c>
      <c r="Q13" s="17">
        <v>10</v>
      </c>
      <c r="R13" s="17">
        <v>108</v>
      </c>
      <c r="S13" s="17">
        <v>3.12</v>
      </c>
      <c r="T13" s="107">
        <v>14</v>
      </c>
      <c r="U13" s="17"/>
      <c r="V13" s="17"/>
      <c r="W13" s="17">
        <v>0.16</v>
      </c>
      <c r="X13" s="17"/>
      <c r="Y13" s="17"/>
      <c r="Z13" s="17"/>
      <c r="AA13" s="62"/>
      <c r="AB13" s="62"/>
      <c r="AC13" s="62"/>
      <c r="AD13" s="75">
        <f>ROUND(RegrOldLen!$G$18+singleSpecies!AK13*RegrOldLen!$G$19,0)</f>
        <v>57</v>
      </c>
      <c r="AE13" s="103">
        <v>16.8</v>
      </c>
      <c r="AF13" s="124" t="s">
        <v>354</v>
      </c>
      <c r="AG13" s="16"/>
      <c r="AH13" s="17"/>
      <c r="AI13" s="34"/>
      <c r="AJ13" s="16" t="e">
        <f t="shared" si="0"/>
        <v>#NUM!</v>
      </c>
      <c r="AK13" s="16">
        <f t="shared" si="1"/>
        <v>1.2253092817258628</v>
      </c>
      <c r="AN13" s="82" t="s">
        <v>798</v>
      </c>
      <c r="AP13" s="16">
        <f t="shared" si="2"/>
        <v>12</v>
      </c>
      <c r="AQ13" s="54">
        <v>11</v>
      </c>
      <c r="AR13" s="55">
        <v>3</v>
      </c>
      <c r="AS13" s="16">
        <v>6</v>
      </c>
      <c r="AT13" s="54">
        <v>6</v>
      </c>
      <c r="AU13" s="55">
        <v>0</v>
      </c>
    </row>
    <row r="14" spans="1:52" ht="45.75" thickBot="1">
      <c r="A14" s="141" t="s">
        <v>629</v>
      </c>
      <c r="B14" s="17" t="s">
        <v>748</v>
      </c>
      <c r="C14" s="17" t="s">
        <v>732</v>
      </c>
      <c r="D14" s="47"/>
      <c r="E14" s="17">
        <v>0.88</v>
      </c>
      <c r="F14" s="17">
        <v>101</v>
      </c>
      <c r="G14" s="17">
        <v>0.99</v>
      </c>
      <c r="H14" s="17">
        <v>34</v>
      </c>
      <c r="I14" s="17">
        <f>E14/G14</f>
        <v>0.888888888888889</v>
      </c>
      <c r="J14" s="17">
        <f>G14^2</f>
        <v>0.9801</v>
      </c>
      <c r="K14" s="17"/>
      <c r="L14" s="47">
        <v>8</v>
      </c>
      <c r="M14" s="106">
        <v>76</v>
      </c>
      <c r="N14" s="17">
        <v>10</v>
      </c>
      <c r="O14" s="17"/>
      <c r="P14" s="17"/>
      <c r="Q14" s="102">
        <v>10</v>
      </c>
      <c r="R14" s="102">
        <v>108</v>
      </c>
      <c r="S14" s="17">
        <v>4</v>
      </c>
      <c r="T14" s="107">
        <v>76</v>
      </c>
      <c r="U14" s="17"/>
      <c r="V14" s="17"/>
      <c r="W14" s="17"/>
      <c r="X14" s="17"/>
      <c r="Y14" s="17"/>
      <c r="Z14" s="17">
        <v>69</v>
      </c>
      <c r="AA14" s="62">
        <v>76</v>
      </c>
      <c r="AB14" s="62"/>
      <c r="AC14" s="62"/>
      <c r="AD14" s="75">
        <f>ROUND(RegrOldLen!$G$18+singleSpecies!AK14*RegrOldLen!$G$19,0)</f>
        <v>57</v>
      </c>
      <c r="AE14" s="43">
        <v>17.4</v>
      </c>
      <c r="AF14" s="108" t="s">
        <v>354</v>
      </c>
      <c r="AG14" s="16"/>
      <c r="AH14" s="17"/>
      <c r="AI14" s="34"/>
      <c r="AJ14" s="16">
        <f t="shared" si="0"/>
        <v>1.8388490907372552</v>
      </c>
      <c r="AK14" s="16">
        <f t="shared" si="1"/>
        <v>1.2405492482825997</v>
      </c>
      <c r="AN14" s="78" t="s">
        <v>903</v>
      </c>
      <c r="AP14" s="16">
        <f t="shared" si="2"/>
        <v>13</v>
      </c>
      <c r="AQ14" s="54">
        <v>12</v>
      </c>
      <c r="AR14" s="55">
        <v>0</v>
      </c>
      <c r="AT14" s="56" t="s">
        <v>200</v>
      </c>
      <c r="AU14" s="56">
        <v>0</v>
      </c>
      <c r="AZ14" s="16">
        <f>10000/0.03</f>
        <v>333333.3333333334</v>
      </c>
    </row>
    <row r="15" spans="1:52" ht="12.75">
      <c r="A15" s="141" t="s">
        <v>630</v>
      </c>
      <c r="B15" s="17"/>
      <c r="C15" s="17"/>
      <c r="D15" s="47"/>
      <c r="E15" s="17">
        <f>AVERAGE(E13,E14)</f>
        <v>0.895</v>
      </c>
      <c r="F15" s="17"/>
      <c r="G15" s="17">
        <f>AVERAGE(G13,G14)</f>
        <v>0.988</v>
      </c>
      <c r="H15" s="17"/>
      <c r="I15" s="17"/>
      <c r="J15" s="17"/>
      <c r="K15" s="17"/>
      <c r="L15" s="47"/>
      <c r="M15" s="106"/>
      <c r="N15" s="79">
        <f>(N13+N14)/2</f>
        <v>9</v>
      </c>
      <c r="O15" s="79"/>
      <c r="P15" s="17"/>
      <c r="Q15" s="17">
        <v>12</v>
      </c>
      <c r="R15" s="17"/>
      <c r="S15" s="79">
        <f>ROUND((S$13+S$14)/2,0)</f>
        <v>4</v>
      </c>
      <c r="T15" s="107"/>
      <c r="U15" s="17"/>
      <c r="V15" s="17"/>
      <c r="W15" s="17"/>
      <c r="X15" s="17"/>
      <c r="Y15" s="17"/>
      <c r="Z15" s="17"/>
      <c r="AA15" s="62"/>
      <c r="AB15" s="62"/>
      <c r="AC15" s="62"/>
      <c r="AD15" s="75">
        <f>ROUND(RegrOldLen!$G$18+singleSpecies!AK15*RegrOldLen!$G$19,0)</f>
        <v>57</v>
      </c>
      <c r="AE15" s="43">
        <v>17</v>
      </c>
      <c r="AF15" s="106"/>
      <c r="AG15" s="17"/>
      <c r="AH15" s="17"/>
      <c r="AI15" s="34"/>
      <c r="AJ15" s="16" t="e">
        <f t="shared" si="0"/>
        <v>#NUM!</v>
      </c>
      <c r="AK15" s="16">
        <f t="shared" si="1"/>
        <v>1.2304489213782739</v>
      </c>
      <c r="AP15" s="16">
        <f t="shared" si="2"/>
        <v>14</v>
      </c>
      <c r="AQ15" s="54">
        <v>13</v>
      </c>
      <c r="AR15" s="55">
        <v>1</v>
      </c>
      <c r="AZ15" s="16">
        <f>25000/0.11</f>
        <v>227272.72727272726</v>
      </c>
    </row>
    <row r="16" spans="1:44" ht="12.75">
      <c r="A16" s="142" t="s">
        <v>631</v>
      </c>
      <c r="B16" s="17"/>
      <c r="C16" s="17"/>
      <c r="D16" s="47"/>
      <c r="E16" s="17"/>
      <c r="F16" s="17"/>
      <c r="G16" s="17"/>
      <c r="H16" s="17"/>
      <c r="I16" s="17"/>
      <c r="J16" s="17"/>
      <c r="K16" s="17"/>
      <c r="L16" s="83">
        <f>L17</f>
        <v>12.5</v>
      </c>
      <c r="M16" s="121"/>
      <c r="N16" s="64">
        <f>ROUND(L16+((Q16+5)/12),0)</f>
        <v>14</v>
      </c>
      <c r="O16" s="64"/>
      <c r="P16" s="17"/>
      <c r="Q16" s="102">
        <v>17</v>
      </c>
      <c r="R16" s="102" t="s">
        <v>355</v>
      </c>
      <c r="S16" s="79">
        <f>S$18</f>
        <v>2</v>
      </c>
      <c r="T16" s="107"/>
      <c r="U16" s="17"/>
      <c r="V16" s="17"/>
      <c r="W16" s="17"/>
      <c r="X16" s="17"/>
      <c r="Y16" s="17"/>
      <c r="Z16" s="17"/>
      <c r="AA16" s="62"/>
      <c r="AB16" s="62"/>
      <c r="AC16" s="62"/>
      <c r="AD16" s="75">
        <f>ROUND(RegrOldLen!$G$18+singleSpecies!AK16*RegrOldLen!$G$19,0)</f>
        <v>49</v>
      </c>
      <c r="AE16" s="103">
        <v>9.33</v>
      </c>
      <c r="AF16" s="107" t="s">
        <v>355</v>
      </c>
      <c r="AG16" s="17"/>
      <c r="AH16" s="17"/>
      <c r="AI16" s="34"/>
      <c r="AJ16" s="16" t="e">
        <f t="shared" si="0"/>
        <v>#NUM!</v>
      </c>
      <c r="AK16" s="16">
        <f t="shared" si="1"/>
        <v>0.9698816437465</v>
      </c>
      <c r="AN16" s="81" t="s">
        <v>797</v>
      </c>
      <c r="AP16" s="16">
        <f t="shared" si="2"/>
        <v>15</v>
      </c>
      <c r="AQ16" s="54">
        <v>14</v>
      </c>
      <c r="AR16" s="55">
        <v>0</v>
      </c>
    </row>
    <row r="17" spans="1:44" ht="45">
      <c r="A17" s="141" t="s">
        <v>632</v>
      </c>
      <c r="B17" s="17" t="s">
        <v>314</v>
      </c>
      <c r="C17" s="17"/>
      <c r="D17" s="47"/>
      <c r="E17" s="17"/>
      <c r="F17" s="17"/>
      <c r="G17" s="17"/>
      <c r="H17" s="17"/>
      <c r="I17" s="17"/>
      <c r="J17" s="17"/>
      <c r="K17" s="17" t="s">
        <v>315</v>
      </c>
      <c r="L17" s="123">
        <v>12.5</v>
      </c>
      <c r="M17" s="115">
        <v>94</v>
      </c>
      <c r="N17" s="64">
        <f>ROUND(L17+((Q17+5)/12),0)</f>
        <v>14</v>
      </c>
      <c r="O17" s="64"/>
      <c r="P17" s="17"/>
      <c r="Q17" s="102">
        <v>17</v>
      </c>
      <c r="R17" s="102">
        <v>117</v>
      </c>
      <c r="S17" s="79">
        <f>S$18</f>
        <v>2</v>
      </c>
      <c r="T17" s="107"/>
      <c r="U17" s="17"/>
      <c r="V17" s="20">
        <v>0.3</v>
      </c>
      <c r="W17" s="17"/>
      <c r="X17" s="17"/>
      <c r="Y17" s="17"/>
      <c r="Z17" s="17">
        <v>54</v>
      </c>
      <c r="AA17" s="62">
        <v>117</v>
      </c>
      <c r="AB17" s="62"/>
      <c r="AC17" s="62"/>
      <c r="AD17" s="75">
        <f>ROUND(RegrOldLen!$G$18+singleSpecies!AK17*RegrOldLen!$G$19,0)</f>
        <v>53</v>
      </c>
      <c r="AE17" s="103">
        <v>12.8</v>
      </c>
      <c r="AF17" s="107">
        <v>117</v>
      </c>
      <c r="AG17" s="17"/>
      <c r="AH17" s="17"/>
      <c r="AI17" s="34"/>
      <c r="AJ17" s="16">
        <f t="shared" si="0"/>
        <v>1.7323937598229686</v>
      </c>
      <c r="AK17" s="16">
        <f t="shared" si="1"/>
        <v>1.1072099696478683</v>
      </c>
      <c r="AP17" s="16">
        <f t="shared" si="2"/>
        <v>16</v>
      </c>
      <c r="AQ17" s="54">
        <v>15</v>
      </c>
      <c r="AR17" s="55">
        <v>1</v>
      </c>
    </row>
    <row r="18" spans="1:44" ht="33.75">
      <c r="A18" s="141" t="s">
        <v>633</v>
      </c>
      <c r="B18" s="17" t="s">
        <v>473</v>
      </c>
      <c r="C18" s="17"/>
      <c r="D18" s="47"/>
      <c r="E18" s="17"/>
      <c r="F18" s="17"/>
      <c r="G18" s="17"/>
      <c r="H18" s="17"/>
      <c r="I18" s="17"/>
      <c r="J18" s="17"/>
      <c r="K18" s="17" t="s">
        <v>478</v>
      </c>
      <c r="L18" s="83">
        <f>L$17</f>
        <v>12.5</v>
      </c>
      <c r="M18" s="122"/>
      <c r="N18" s="84">
        <f>N$17</f>
        <v>14</v>
      </c>
      <c r="O18" s="84"/>
      <c r="P18" s="17"/>
      <c r="Q18" s="17">
        <v>12</v>
      </c>
      <c r="R18" s="17">
        <v>117</v>
      </c>
      <c r="S18" s="17">
        <v>2</v>
      </c>
      <c r="T18" s="107">
        <v>117</v>
      </c>
      <c r="U18" s="17"/>
      <c r="V18" s="17"/>
      <c r="W18" s="17"/>
      <c r="X18" s="17"/>
      <c r="Y18" s="17"/>
      <c r="Z18" s="17">
        <v>27</v>
      </c>
      <c r="AA18" s="62">
        <v>117</v>
      </c>
      <c r="AB18" s="62"/>
      <c r="AC18" s="62"/>
      <c r="AD18" s="75">
        <f>ROUND(RegrOldLen!$G$18+singleSpecies!AK18*RegrOldLen!$G$19,0)</f>
        <v>48</v>
      </c>
      <c r="AE18" s="43">
        <v>8.7</v>
      </c>
      <c r="AF18" s="106">
        <v>117</v>
      </c>
      <c r="AG18" s="17"/>
      <c r="AH18" s="17"/>
      <c r="AI18" s="34"/>
      <c r="AJ18" s="16">
        <f t="shared" si="0"/>
        <v>1.4313637641589874</v>
      </c>
      <c r="AK18" s="16">
        <f t="shared" si="1"/>
        <v>0.9395192526186185</v>
      </c>
      <c r="AP18" s="16">
        <f t="shared" si="2"/>
        <v>17</v>
      </c>
      <c r="AQ18" s="54">
        <v>16</v>
      </c>
      <c r="AR18" s="55">
        <v>1</v>
      </c>
    </row>
    <row r="19" spans="1:44" ht="25.5">
      <c r="A19" s="4" t="s">
        <v>634</v>
      </c>
      <c r="B19" s="17"/>
      <c r="C19" s="17"/>
      <c r="D19" s="47"/>
      <c r="E19" s="17"/>
      <c r="F19" s="17"/>
      <c r="G19" s="17"/>
      <c r="H19" s="17"/>
      <c r="I19" s="17"/>
      <c r="J19" s="17"/>
      <c r="K19" s="17"/>
      <c r="L19" s="83">
        <f>L$17</f>
        <v>12.5</v>
      </c>
      <c r="M19" s="122"/>
      <c r="N19" s="84">
        <f>N$17</f>
        <v>14</v>
      </c>
      <c r="O19" s="84"/>
      <c r="P19" s="17"/>
      <c r="Q19" s="17"/>
      <c r="R19" s="17"/>
      <c r="S19" s="79">
        <f>S$18</f>
        <v>2</v>
      </c>
      <c r="T19" s="107"/>
      <c r="U19" s="17"/>
      <c r="V19" s="17"/>
      <c r="W19" s="17"/>
      <c r="X19" s="17"/>
      <c r="Y19" s="17"/>
      <c r="Z19" s="17"/>
      <c r="AA19" s="62"/>
      <c r="AB19" s="62"/>
      <c r="AC19" s="62"/>
      <c r="AD19" s="75">
        <f>ROUND(RegrOldLen!$G$18+singleSpecies!AK19*RegrOldLen!$G$19,0)</f>
        <v>46</v>
      </c>
      <c r="AE19" s="43">
        <v>6.94</v>
      </c>
      <c r="AF19" s="106">
        <v>117</v>
      </c>
      <c r="AG19" s="17"/>
      <c r="AH19" s="17"/>
      <c r="AI19" s="34"/>
      <c r="AJ19" s="16" t="e">
        <f t="shared" si="0"/>
        <v>#NUM!</v>
      </c>
      <c r="AK19" s="16">
        <f t="shared" si="1"/>
        <v>0.8413594704548549</v>
      </c>
      <c r="AP19" s="16">
        <f t="shared" si="2"/>
        <v>18</v>
      </c>
      <c r="AQ19" s="54">
        <v>17</v>
      </c>
      <c r="AR19" s="55">
        <v>3</v>
      </c>
    </row>
    <row r="20" spans="1:51" s="89" customFormat="1" ht="12.75">
      <c r="A20" s="85" t="s">
        <v>635</v>
      </c>
      <c r="B20" s="66"/>
      <c r="C20" s="66"/>
      <c r="D20" s="86"/>
      <c r="E20" s="66"/>
      <c r="F20" s="66"/>
      <c r="G20" s="66"/>
      <c r="H20" s="66"/>
      <c r="I20" s="66"/>
      <c r="J20" s="66"/>
      <c r="K20" s="66"/>
      <c r="L20" s="86"/>
      <c r="M20" s="109"/>
      <c r="N20" s="66"/>
      <c r="O20" s="66"/>
      <c r="P20" s="66"/>
      <c r="Q20" s="66"/>
      <c r="R20" s="66"/>
      <c r="S20" s="66"/>
      <c r="T20" s="116"/>
      <c r="U20" s="66"/>
      <c r="V20" s="66"/>
      <c r="W20" s="66"/>
      <c r="X20" s="66"/>
      <c r="Y20" s="66"/>
      <c r="Z20" s="66"/>
      <c r="AA20" s="98"/>
      <c r="AB20" s="98"/>
      <c r="AC20" s="98"/>
      <c r="AD20" s="75">
        <f>ROUND(RegrOldLen!$G$18+singleSpecies!AK20*RegrOldLen!$G$19,0)</f>
        <v>21</v>
      </c>
      <c r="AE20" s="87"/>
      <c r="AF20" s="109"/>
      <c r="AG20" s="66"/>
      <c r="AH20" s="66"/>
      <c r="AI20" s="88"/>
      <c r="AL20" s="16"/>
      <c r="AM20" s="16"/>
      <c r="AN20" s="16"/>
      <c r="AO20" s="16"/>
      <c r="AP20" s="16">
        <f t="shared" si="2"/>
        <v>19</v>
      </c>
      <c r="AQ20" s="54">
        <v>18</v>
      </c>
      <c r="AR20" s="55">
        <v>1</v>
      </c>
      <c r="AS20" s="16"/>
      <c r="AT20" s="16"/>
      <c r="AU20" s="16"/>
      <c r="AV20" s="16"/>
      <c r="AW20" s="16"/>
      <c r="AX20" s="16"/>
      <c r="AY20" s="16"/>
    </row>
    <row r="21" spans="1:51" s="89" customFormat="1" ht="12.75">
      <c r="A21" s="85" t="s">
        <v>636</v>
      </c>
      <c r="B21" s="66"/>
      <c r="C21" s="66"/>
      <c r="D21" s="86"/>
      <c r="E21" s="66"/>
      <c r="F21" s="66"/>
      <c r="G21" s="66"/>
      <c r="H21" s="66"/>
      <c r="I21" s="66"/>
      <c r="J21" s="66"/>
      <c r="K21" s="66"/>
      <c r="L21" s="86"/>
      <c r="M21" s="109"/>
      <c r="N21" s="66"/>
      <c r="O21" s="66"/>
      <c r="P21" s="66"/>
      <c r="Q21" s="66"/>
      <c r="R21" s="66"/>
      <c r="S21" s="66"/>
      <c r="T21" s="116"/>
      <c r="U21" s="66"/>
      <c r="V21" s="66"/>
      <c r="W21" s="66"/>
      <c r="X21" s="66"/>
      <c r="Y21" s="66"/>
      <c r="Z21" s="66"/>
      <c r="AA21" s="98"/>
      <c r="AB21" s="98"/>
      <c r="AC21" s="98"/>
      <c r="AD21" s="75">
        <f>ROUND(RegrOldLen!$G$18+singleSpecies!AK21*RegrOldLen!$G$19,0)</f>
        <v>41</v>
      </c>
      <c r="AE21" s="87">
        <v>5</v>
      </c>
      <c r="AF21" s="109"/>
      <c r="AG21" s="66"/>
      <c r="AH21" s="66"/>
      <c r="AI21" s="88"/>
      <c r="AJ21" s="89" t="e">
        <f t="shared" si="0"/>
        <v>#NUM!</v>
      </c>
      <c r="AK21" s="89">
        <f t="shared" si="1"/>
        <v>0.6989700043360189</v>
      </c>
      <c r="AL21" s="16"/>
      <c r="AM21" s="16"/>
      <c r="AN21" s="16"/>
      <c r="AO21" s="16"/>
      <c r="AP21" s="16">
        <f t="shared" si="2"/>
        <v>20</v>
      </c>
      <c r="AQ21" s="54">
        <v>19</v>
      </c>
      <c r="AR21" s="55">
        <v>0</v>
      </c>
      <c r="AS21" s="16"/>
      <c r="AT21" s="16"/>
      <c r="AU21" s="16"/>
      <c r="AV21" s="16"/>
      <c r="AW21" s="16"/>
      <c r="AX21" s="16"/>
      <c r="AY21" s="16"/>
    </row>
    <row r="22" spans="1:51" s="89" customFormat="1" ht="25.5">
      <c r="A22" s="85" t="s">
        <v>637</v>
      </c>
      <c r="B22" s="66"/>
      <c r="C22" s="66"/>
      <c r="D22" s="86"/>
      <c r="E22" s="66"/>
      <c r="F22" s="66"/>
      <c r="G22" s="66"/>
      <c r="H22" s="66"/>
      <c r="I22" s="66"/>
      <c r="J22" s="66"/>
      <c r="K22" s="66"/>
      <c r="L22" s="86"/>
      <c r="M22" s="109"/>
      <c r="N22" s="66"/>
      <c r="O22" s="66"/>
      <c r="P22" s="66"/>
      <c r="Q22" s="66"/>
      <c r="R22" s="66"/>
      <c r="S22" s="66"/>
      <c r="T22" s="116"/>
      <c r="U22" s="66"/>
      <c r="V22" s="66"/>
      <c r="W22" s="66"/>
      <c r="X22" s="66"/>
      <c r="Y22" s="66"/>
      <c r="Z22" s="66"/>
      <c r="AA22" s="98"/>
      <c r="AB22" s="98"/>
      <c r="AC22" s="98"/>
      <c r="AD22" s="75">
        <f>ROUND(RegrOldLen!$G$18+singleSpecies!AK22*RegrOldLen!$G$19,0)</f>
        <v>21</v>
      </c>
      <c r="AE22" s="87"/>
      <c r="AF22" s="109"/>
      <c r="AG22" s="66"/>
      <c r="AH22" s="66"/>
      <c r="AI22" s="88"/>
      <c r="AL22" s="16"/>
      <c r="AM22" s="16"/>
      <c r="AN22" s="16"/>
      <c r="AO22" s="16"/>
      <c r="AP22" s="16">
        <f t="shared" si="2"/>
        <v>21</v>
      </c>
      <c r="AQ22" s="54">
        <v>20</v>
      </c>
      <c r="AR22" s="55">
        <v>2</v>
      </c>
      <c r="AS22" s="16"/>
      <c r="AT22" s="16"/>
      <c r="AU22" s="16"/>
      <c r="AV22" s="16"/>
      <c r="AW22" s="16"/>
      <c r="AX22" s="16"/>
      <c r="AY22" s="16"/>
    </row>
    <row r="23" spans="1:51" s="89" customFormat="1" ht="12.75">
      <c r="A23" s="85" t="s">
        <v>638</v>
      </c>
      <c r="B23" s="66"/>
      <c r="C23" s="66"/>
      <c r="D23" s="86"/>
      <c r="E23" s="66"/>
      <c r="F23" s="66"/>
      <c r="G23" s="66"/>
      <c r="H23" s="66"/>
      <c r="I23" s="66"/>
      <c r="J23" s="66"/>
      <c r="K23" s="66"/>
      <c r="L23" s="86"/>
      <c r="M23" s="109"/>
      <c r="N23" s="66"/>
      <c r="O23" s="66"/>
      <c r="P23" s="66"/>
      <c r="Q23" s="66"/>
      <c r="R23" s="66"/>
      <c r="S23" s="66"/>
      <c r="T23" s="116"/>
      <c r="U23" s="66"/>
      <c r="V23" s="66"/>
      <c r="W23" s="66"/>
      <c r="X23" s="66"/>
      <c r="Y23" s="66"/>
      <c r="Z23" s="66"/>
      <c r="AA23" s="98"/>
      <c r="AB23" s="98"/>
      <c r="AC23" s="98"/>
      <c r="AD23" s="75">
        <f>ROUND(RegrOldLen!$G$18+singleSpecies!AK23*RegrOldLen!$G$19,0)</f>
        <v>41</v>
      </c>
      <c r="AE23" s="87">
        <v>4.9</v>
      </c>
      <c r="AF23" s="109"/>
      <c r="AG23" s="66"/>
      <c r="AH23" s="66"/>
      <c r="AI23" s="88"/>
      <c r="AJ23" s="89" t="e">
        <f t="shared" si="0"/>
        <v>#NUM!</v>
      </c>
      <c r="AK23" s="89">
        <f t="shared" si="1"/>
        <v>0.6901960800285137</v>
      </c>
      <c r="AL23" s="16"/>
      <c r="AM23" s="16"/>
      <c r="AN23" s="16"/>
      <c r="AO23" s="16"/>
      <c r="AP23" s="16">
        <f t="shared" si="2"/>
        <v>22</v>
      </c>
      <c r="AQ23" s="54">
        <v>21</v>
      </c>
      <c r="AR23" s="55">
        <v>0</v>
      </c>
      <c r="AS23" s="16"/>
      <c r="AT23" s="16"/>
      <c r="AU23" s="16"/>
      <c r="AV23" s="16"/>
      <c r="AW23" s="16"/>
      <c r="AX23" s="16"/>
      <c r="AY23" s="16"/>
    </row>
    <row r="24" spans="1:51" s="89" customFormat="1" ht="25.5">
      <c r="A24" s="85" t="s">
        <v>639</v>
      </c>
      <c r="B24" s="66"/>
      <c r="C24" s="66"/>
      <c r="D24" s="86"/>
      <c r="E24" s="66"/>
      <c r="F24" s="66"/>
      <c r="G24" s="66"/>
      <c r="H24" s="66"/>
      <c r="I24" s="66"/>
      <c r="J24" s="66"/>
      <c r="K24" s="66"/>
      <c r="L24" s="86"/>
      <c r="M24" s="109"/>
      <c r="N24" s="66"/>
      <c r="O24" s="66"/>
      <c r="P24" s="66"/>
      <c r="Q24" s="66"/>
      <c r="R24" s="66"/>
      <c r="S24" s="66"/>
      <c r="T24" s="116"/>
      <c r="U24" s="66"/>
      <c r="V24" s="66"/>
      <c r="W24" s="66"/>
      <c r="X24" s="66"/>
      <c r="Y24" s="66"/>
      <c r="Z24" s="66"/>
      <c r="AA24" s="98"/>
      <c r="AB24" s="98"/>
      <c r="AC24" s="98"/>
      <c r="AD24" s="75">
        <f>ROUND(RegrOldLen!$G$18+singleSpecies!AK24*RegrOldLen!$G$19,0)</f>
        <v>42</v>
      </c>
      <c r="AE24" s="87">
        <v>5.4</v>
      </c>
      <c r="AF24" s="109"/>
      <c r="AG24" s="66"/>
      <c r="AH24" s="66"/>
      <c r="AI24" s="88"/>
      <c r="AJ24" s="89" t="e">
        <f t="shared" si="0"/>
        <v>#NUM!</v>
      </c>
      <c r="AK24" s="89">
        <f t="shared" si="1"/>
        <v>0.7323937598229685</v>
      </c>
      <c r="AL24" s="16"/>
      <c r="AM24" s="16"/>
      <c r="AN24" s="16"/>
      <c r="AO24" s="16"/>
      <c r="AP24" s="16">
        <f t="shared" si="2"/>
        <v>23</v>
      </c>
      <c r="AQ24" s="54">
        <v>22</v>
      </c>
      <c r="AR24" s="55">
        <v>0</v>
      </c>
      <c r="AS24" s="16"/>
      <c r="AT24" s="16"/>
      <c r="AU24" s="16"/>
      <c r="AV24" s="16"/>
      <c r="AW24" s="16"/>
      <c r="AX24" s="16"/>
      <c r="AY24" s="16"/>
    </row>
    <row r="25" spans="1:51" s="89" customFormat="1" ht="25.5">
      <c r="A25" s="85" t="s">
        <v>640</v>
      </c>
      <c r="B25" s="66"/>
      <c r="C25" s="66"/>
      <c r="D25" s="86"/>
      <c r="E25" s="66"/>
      <c r="F25" s="66"/>
      <c r="G25" s="66"/>
      <c r="H25" s="66"/>
      <c r="I25" s="66"/>
      <c r="J25" s="66"/>
      <c r="K25" s="66"/>
      <c r="L25" s="86"/>
      <c r="M25" s="109"/>
      <c r="N25" s="66"/>
      <c r="O25" s="66"/>
      <c r="P25" s="66"/>
      <c r="Q25" s="66"/>
      <c r="R25" s="66"/>
      <c r="S25" s="66"/>
      <c r="T25" s="116"/>
      <c r="U25" s="66"/>
      <c r="V25" s="66"/>
      <c r="W25" s="66"/>
      <c r="X25" s="66"/>
      <c r="Y25" s="66"/>
      <c r="Z25" s="66"/>
      <c r="AA25" s="98"/>
      <c r="AB25" s="98"/>
      <c r="AC25" s="98"/>
      <c r="AD25" s="75">
        <f>ROUND(RegrOldLen!$G$18+singleSpecies!AK25*RegrOldLen!$G$19,0)</f>
        <v>40</v>
      </c>
      <c r="AE25" s="87">
        <v>4.6</v>
      </c>
      <c r="AF25" s="109"/>
      <c r="AG25" s="66"/>
      <c r="AH25" s="66"/>
      <c r="AI25" s="88"/>
      <c r="AJ25" s="89" t="e">
        <f t="shared" si="0"/>
        <v>#NUM!</v>
      </c>
      <c r="AK25" s="89">
        <f t="shared" si="1"/>
        <v>0.6627578316815741</v>
      </c>
      <c r="AL25" s="16"/>
      <c r="AM25" s="16"/>
      <c r="AN25" s="16"/>
      <c r="AO25" s="16"/>
      <c r="AP25" s="16">
        <f t="shared" si="2"/>
        <v>24</v>
      </c>
      <c r="AQ25" s="54">
        <v>23</v>
      </c>
      <c r="AR25" s="55">
        <v>0</v>
      </c>
      <c r="AS25" s="16"/>
      <c r="AT25" s="16"/>
      <c r="AU25" s="16"/>
      <c r="AV25" s="16"/>
      <c r="AW25" s="16"/>
      <c r="AX25" s="16"/>
      <c r="AY25" s="16"/>
    </row>
    <row r="26" spans="1:51" s="89" customFormat="1" ht="25.5">
      <c r="A26" s="85" t="s">
        <v>641</v>
      </c>
      <c r="B26" s="66"/>
      <c r="C26" s="66"/>
      <c r="D26" s="86"/>
      <c r="E26" s="66"/>
      <c r="F26" s="66"/>
      <c r="G26" s="66"/>
      <c r="H26" s="66"/>
      <c r="I26" s="66"/>
      <c r="J26" s="66"/>
      <c r="K26" s="66"/>
      <c r="L26" s="86"/>
      <c r="M26" s="109"/>
      <c r="N26" s="66"/>
      <c r="O26" s="66"/>
      <c r="P26" s="66"/>
      <c r="Q26" s="66"/>
      <c r="R26" s="66"/>
      <c r="S26" s="66"/>
      <c r="T26" s="116"/>
      <c r="U26" s="66"/>
      <c r="V26" s="66"/>
      <c r="W26" s="66"/>
      <c r="X26" s="66"/>
      <c r="Y26" s="66"/>
      <c r="Z26" s="66"/>
      <c r="AA26" s="98"/>
      <c r="AB26" s="98"/>
      <c r="AC26" s="98"/>
      <c r="AD26" s="75">
        <f>ROUND(RegrOldLen!$G$18+singleSpecies!AK26*RegrOldLen!$G$19,0)</f>
        <v>42</v>
      </c>
      <c r="AE26" s="87">
        <v>5.2</v>
      </c>
      <c r="AF26" s="109"/>
      <c r="AG26" s="66"/>
      <c r="AH26" s="66"/>
      <c r="AI26" s="88"/>
      <c r="AJ26" s="89" t="e">
        <f t="shared" si="0"/>
        <v>#NUM!</v>
      </c>
      <c r="AK26" s="89">
        <f t="shared" si="1"/>
        <v>0.7160033436347992</v>
      </c>
      <c r="AL26" s="16"/>
      <c r="AM26" s="16"/>
      <c r="AN26" s="16"/>
      <c r="AO26" s="16"/>
      <c r="AP26" s="16">
        <f t="shared" si="2"/>
        <v>25</v>
      </c>
      <c r="AQ26" s="54">
        <v>24</v>
      </c>
      <c r="AR26" s="55">
        <v>0</v>
      </c>
      <c r="AS26" s="16"/>
      <c r="AT26" s="16"/>
      <c r="AU26" s="16"/>
      <c r="AV26" s="16"/>
      <c r="AW26" s="16"/>
      <c r="AX26" s="16"/>
      <c r="AY26" s="16"/>
    </row>
    <row r="27" spans="1:51" s="89" customFormat="1" ht="25.5">
      <c r="A27" s="85" t="s">
        <v>642</v>
      </c>
      <c r="B27" s="66"/>
      <c r="C27" s="66"/>
      <c r="D27" s="86"/>
      <c r="E27" s="66"/>
      <c r="F27" s="66"/>
      <c r="G27" s="66"/>
      <c r="H27" s="66"/>
      <c r="I27" s="66"/>
      <c r="J27" s="66"/>
      <c r="K27" s="66"/>
      <c r="L27" s="86"/>
      <c r="M27" s="109"/>
      <c r="N27" s="66"/>
      <c r="O27" s="66"/>
      <c r="P27" s="66"/>
      <c r="Q27" s="66"/>
      <c r="R27" s="66"/>
      <c r="S27" s="66"/>
      <c r="T27" s="116"/>
      <c r="U27" s="66"/>
      <c r="V27" s="66"/>
      <c r="W27" s="66"/>
      <c r="X27" s="66"/>
      <c r="Y27" s="66"/>
      <c r="Z27" s="66"/>
      <c r="AA27" s="98"/>
      <c r="AB27" s="98"/>
      <c r="AC27" s="98"/>
      <c r="AD27" s="75">
        <f>ROUND(RegrOldLen!$G$18+singleSpecies!AK27*RegrOldLen!$G$19,0)</f>
        <v>41</v>
      </c>
      <c r="AE27" s="87">
        <v>4.9</v>
      </c>
      <c r="AF27" s="109"/>
      <c r="AG27" s="66"/>
      <c r="AH27" s="66"/>
      <c r="AI27" s="88"/>
      <c r="AJ27" s="89" t="e">
        <f t="shared" si="0"/>
        <v>#NUM!</v>
      </c>
      <c r="AK27" s="89">
        <f t="shared" si="1"/>
        <v>0.6901960800285137</v>
      </c>
      <c r="AL27" s="16"/>
      <c r="AM27" s="16"/>
      <c r="AN27" s="16"/>
      <c r="AO27" s="16"/>
      <c r="AP27" s="16">
        <f t="shared" si="2"/>
        <v>26</v>
      </c>
      <c r="AQ27" s="54">
        <v>25</v>
      </c>
      <c r="AR27" s="55">
        <v>0</v>
      </c>
      <c r="AS27" s="16"/>
      <c r="AT27" s="16"/>
      <c r="AU27" s="16"/>
      <c r="AV27" s="16"/>
      <c r="AW27" s="16"/>
      <c r="AX27" s="16"/>
      <c r="AY27" s="16"/>
    </row>
    <row r="28" spans="1:51" s="89" customFormat="1" ht="12.75">
      <c r="A28" s="85" t="s">
        <v>643</v>
      </c>
      <c r="B28" s="66"/>
      <c r="C28" s="66"/>
      <c r="D28" s="86"/>
      <c r="E28" s="66"/>
      <c r="F28" s="66"/>
      <c r="G28" s="66"/>
      <c r="H28" s="66"/>
      <c r="I28" s="66"/>
      <c r="J28" s="66"/>
      <c r="K28" s="66"/>
      <c r="L28" s="86"/>
      <c r="M28" s="109"/>
      <c r="N28" s="66"/>
      <c r="O28" s="66"/>
      <c r="P28" s="66"/>
      <c r="Q28" s="66"/>
      <c r="R28" s="66"/>
      <c r="S28" s="66"/>
      <c r="T28" s="116"/>
      <c r="U28" s="66"/>
      <c r="V28" s="66"/>
      <c r="W28" s="66"/>
      <c r="X28" s="66"/>
      <c r="Y28" s="66"/>
      <c r="Z28" s="66"/>
      <c r="AA28" s="98"/>
      <c r="AB28" s="98"/>
      <c r="AC28" s="98"/>
      <c r="AD28" s="75">
        <f>ROUND(RegrOldLen!$G$18+singleSpecies!AK28*RegrOldLen!$G$19,0)</f>
        <v>42</v>
      </c>
      <c r="AE28" s="87">
        <v>5.3</v>
      </c>
      <c r="AF28" s="109"/>
      <c r="AG28" s="66"/>
      <c r="AH28" s="66"/>
      <c r="AI28" s="88"/>
      <c r="AJ28" s="89" t="e">
        <f t="shared" si="0"/>
        <v>#NUM!</v>
      </c>
      <c r="AK28" s="89">
        <f t="shared" si="1"/>
        <v>0.724275869600789</v>
      </c>
      <c r="AL28" s="16"/>
      <c r="AM28" s="16"/>
      <c r="AN28" s="16"/>
      <c r="AO28" s="16"/>
      <c r="AP28" s="16">
        <f t="shared" si="2"/>
        <v>27</v>
      </c>
      <c r="AQ28" s="54">
        <v>26</v>
      </c>
      <c r="AR28" s="55">
        <v>1</v>
      </c>
      <c r="AS28" s="16"/>
      <c r="AT28" s="16"/>
      <c r="AU28" s="16"/>
      <c r="AV28" s="16"/>
      <c r="AW28" s="16"/>
      <c r="AX28" s="16"/>
      <c r="AY28" s="16"/>
    </row>
    <row r="29" spans="1:51" s="89" customFormat="1" ht="12.75">
      <c r="A29" s="85" t="s">
        <v>644</v>
      </c>
      <c r="B29" s="66"/>
      <c r="C29" s="66"/>
      <c r="D29" s="86"/>
      <c r="E29" s="66"/>
      <c r="F29" s="66"/>
      <c r="G29" s="66"/>
      <c r="H29" s="66"/>
      <c r="I29" s="66"/>
      <c r="J29" s="66"/>
      <c r="K29" s="66"/>
      <c r="L29" s="86"/>
      <c r="M29" s="109"/>
      <c r="N29" s="66"/>
      <c r="O29" s="66"/>
      <c r="P29" s="66"/>
      <c r="Q29" s="66"/>
      <c r="R29" s="66"/>
      <c r="S29" s="66"/>
      <c r="T29" s="116"/>
      <c r="U29" s="66"/>
      <c r="V29" s="66"/>
      <c r="W29" s="66"/>
      <c r="X29" s="66"/>
      <c r="Y29" s="66"/>
      <c r="Z29" s="66"/>
      <c r="AA29" s="98"/>
      <c r="AB29" s="98"/>
      <c r="AC29" s="98"/>
      <c r="AD29" s="75">
        <f>ROUND(RegrOldLen!$G$18+singleSpecies!AK29*RegrOldLen!$G$19,0)</f>
        <v>39</v>
      </c>
      <c r="AE29" s="87">
        <v>4.2</v>
      </c>
      <c r="AF29" s="109"/>
      <c r="AG29" s="66"/>
      <c r="AH29" s="66"/>
      <c r="AI29" s="88"/>
      <c r="AJ29" s="89" t="e">
        <f t="shared" si="0"/>
        <v>#NUM!</v>
      </c>
      <c r="AK29" s="89">
        <f t="shared" si="1"/>
        <v>0.6232492903979004</v>
      </c>
      <c r="AL29" s="16"/>
      <c r="AM29" s="16"/>
      <c r="AN29" s="16"/>
      <c r="AO29" s="16"/>
      <c r="AP29" s="16">
        <f t="shared" si="2"/>
        <v>28</v>
      </c>
      <c r="AQ29" s="54">
        <v>27</v>
      </c>
      <c r="AR29" s="55">
        <v>0</v>
      </c>
      <c r="AS29" s="16"/>
      <c r="AT29" s="16"/>
      <c r="AU29" s="16"/>
      <c r="AV29" s="16"/>
      <c r="AW29" s="16"/>
      <c r="AX29" s="16"/>
      <c r="AY29" s="16"/>
    </row>
    <row r="30" spans="1:51" s="89" customFormat="1" ht="12.75">
      <c r="A30" s="85" t="s">
        <v>645</v>
      </c>
      <c r="B30" s="66"/>
      <c r="C30" s="66"/>
      <c r="D30" s="86"/>
      <c r="E30" s="66"/>
      <c r="F30" s="66"/>
      <c r="G30" s="66"/>
      <c r="H30" s="66"/>
      <c r="I30" s="66"/>
      <c r="J30" s="66"/>
      <c r="K30" s="66"/>
      <c r="L30" s="86"/>
      <c r="M30" s="109"/>
      <c r="N30" s="66"/>
      <c r="O30" s="66"/>
      <c r="P30" s="66"/>
      <c r="Q30" s="66"/>
      <c r="R30" s="66"/>
      <c r="S30" s="66"/>
      <c r="T30" s="116"/>
      <c r="U30" s="66"/>
      <c r="V30" s="66"/>
      <c r="W30" s="66"/>
      <c r="X30" s="66"/>
      <c r="Y30" s="66"/>
      <c r="Z30" s="66"/>
      <c r="AA30" s="98"/>
      <c r="AB30" s="98"/>
      <c r="AC30" s="98"/>
      <c r="AD30" s="75">
        <f>ROUND(RegrOldLen!$G$18+singleSpecies!AK30*RegrOldLen!$G$19,0)</f>
        <v>44</v>
      </c>
      <c r="AE30" s="87">
        <v>6.2</v>
      </c>
      <c r="AF30" s="109"/>
      <c r="AG30" s="66"/>
      <c r="AH30" s="66"/>
      <c r="AI30" s="88"/>
      <c r="AJ30" s="89" t="e">
        <f t="shared" si="0"/>
        <v>#NUM!</v>
      </c>
      <c r="AK30" s="89">
        <f t="shared" si="1"/>
        <v>0.7923916894982539</v>
      </c>
      <c r="AL30" s="16"/>
      <c r="AM30" s="16"/>
      <c r="AN30" s="16"/>
      <c r="AO30" s="16"/>
      <c r="AP30" s="16">
        <f t="shared" si="2"/>
        <v>29</v>
      </c>
      <c r="AQ30" s="54">
        <v>28</v>
      </c>
      <c r="AR30" s="55">
        <v>0</v>
      </c>
      <c r="AS30" s="16"/>
      <c r="AT30" s="16"/>
      <c r="AU30" s="16"/>
      <c r="AV30" s="16"/>
      <c r="AW30" s="16"/>
      <c r="AX30" s="16"/>
      <c r="AY30" s="16"/>
    </row>
    <row r="31" spans="1:51" s="89" customFormat="1" ht="12.75">
      <c r="A31" s="85" t="s">
        <v>646</v>
      </c>
      <c r="B31" s="66"/>
      <c r="C31" s="66"/>
      <c r="D31" s="86"/>
      <c r="E31" s="66"/>
      <c r="F31" s="66"/>
      <c r="G31" s="66"/>
      <c r="H31" s="66"/>
      <c r="I31" s="66"/>
      <c r="J31" s="66"/>
      <c r="K31" s="66"/>
      <c r="L31" s="86"/>
      <c r="M31" s="109"/>
      <c r="N31" s="66"/>
      <c r="O31" s="66"/>
      <c r="P31" s="66"/>
      <c r="Q31" s="66"/>
      <c r="R31" s="66"/>
      <c r="S31" s="66"/>
      <c r="T31" s="116"/>
      <c r="U31" s="66"/>
      <c r="V31" s="66"/>
      <c r="W31" s="66"/>
      <c r="X31" s="66"/>
      <c r="Y31" s="66"/>
      <c r="Z31" s="66"/>
      <c r="AA31" s="98"/>
      <c r="AB31" s="98"/>
      <c r="AC31" s="98"/>
      <c r="AD31" s="75">
        <f>ROUND(RegrOldLen!$G$18+singleSpecies!AK31*RegrOldLen!$G$19,0)</f>
        <v>42</v>
      </c>
      <c r="AE31" s="87">
        <v>5.3</v>
      </c>
      <c r="AF31" s="109"/>
      <c r="AG31" s="66"/>
      <c r="AH31" s="66"/>
      <c r="AI31" s="88"/>
      <c r="AJ31" s="89" t="e">
        <f t="shared" si="0"/>
        <v>#NUM!</v>
      </c>
      <c r="AK31" s="89">
        <f t="shared" si="1"/>
        <v>0.724275869600789</v>
      </c>
      <c r="AL31" s="16"/>
      <c r="AM31" s="16"/>
      <c r="AN31" s="16"/>
      <c r="AO31" s="16"/>
      <c r="AP31" s="16">
        <f t="shared" si="2"/>
        <v>30</v>
      </c>
      <c r="AQ31" s="54">
        <v>29</v>
      </c>
      <c r="AR31" s="55">
        <v>0</v>
      </c>
      <c r="AS31" s="16"/>
      <c r="AT31" s="16"/>
      <c r="AU31" s="16"/>
      <c r="AV31" s="16"/>
      <c r="AW31" s="16"/>
      <c r="AX31" s="16"/>
      <c r="AY31" s="16"/>
    </row>
    <row r="32" spans="1:51" s="89" customFormat="1" ht="12.75">
      <c r="A32" s="85" t="s">
        <v>647</v>
      </c>
      <c r="B32" s="66"/>
      <c r="C32" s="66"/>
      <c r="D32" s="86"/>
      <c r="E32" s="66"/>
      <c r="F32" s="66"/>
      <c r="G32" s="66"/>
      <c r="H32" s="66"/>
      <c r="I32" s="66"/>
      <c r="J32" s="66"/>
      <c r="K32" s="66"/>
      <c r="L32" s="86"/>
      <c r="M32" s="109"/>
      <c r="N32" s="66"/>
      <c r="O32" s="66"/>
      <c r="P32" s="66"/>
      <c r="Q32" s="66"/>
      <c r="R32" s="66"/>
      <c r="S32" s="66"/>
      <c r="T32" s="116"/>
      <c r="U32" s="66"/>
      <c r="V32" s="66"/>
      <c r="W32" s="66"/>
      <c r="X32" s="66"/>
      <c r="Y32" s="66"/>
      <c r="Z32" s="66"/>
      <c r="AA32" s="98"/>
      <c r="AB32" s="98"/>
      <c r="AC32" s="98"/>
      <c r="AD32" s="75">
        <f>ROUND(RegrOldLen!$G$18+singleSpecies!AK32*RegrOldLen!$G$19,0)</f>
        <v>21</v>
      </c>
      <c r="AE32" s="87"/>
      <c r="AF32" s="109"/>
      <c r="AG32" s="66"/>
      <c r="AH32" s="66"/>
      <c r="AI32" s="88"/>
      <c r="AL32" s="16"/>
      <c r="AM32" s="16"/>
      <c r="AN32" s="16"/>
      <c r="AO32" s="16"/>
      <c r="AP32" s="16">
        <f t="shared" si="2"/>
        <v>31</v>
      </c>
      <c r="AQ32" s="54">
        <v>30</v>
      </c>
      <c r="AR32" s="55">
        <v>0</v>
      </c>
      <c r="AS32" s="16"/>
      <c r="AT32" s="16"/>
      <c r="AU32" s="16"/>
      <c r="AV32" s="16"/>
      <c r="AW32" s="16"/>
      <c r="AX32" s="16"/>
      <c r="AY32" s="16"/>
    </row>
    <row r="33" spans="1:51" s="89" customFormat="1" ht="25.5">
      <c r="A33" s="85" t="s">
        <v>648</v>
      </c>
      <c r="B33" s="66"/>
      <c r="C33" s="66"/>
      <c r="D33" s="86"/>
      <c r="E33" s="66"/>
      <c r="F33" s="66"/>
      <c r="G33" s="66"/>
      <c r="H33" s="66"/>
      <c r="I33" s="66"/>
      <c r="J33" s="66"/>
      <c r="K33" s="66"/>
      <c r="L33" s="86"/>
      <c r="M33" s="109"/>
      <c r="N33" s="66"/>
      <c r="O33" s="66"/>
      <c r="P33" s="66"/>
      <c r="Q33" s="66"/>
      <c r="R33" s="66"/>
      <c r="S33" s="66"/>
      <c r="T33" s="116"/>
      <c r="U33" s="66"/>
      <c r="V33" s="66"/>
      <c r="W33" s="66"/>
      <c r="X33" s="66"/>
      <c r="Y33" s="66"/>
      <c r="Z33" s="66"/>
      <c r="AA33" s="98"/>
      <c r="AB33" s="98"/>
      <c r="AC33" s="98"/>
      <c r="AD33" s="75">
        <f>ROUND(RegrOldLen!$G$18+singleSpecies!AK33*RegrOldLen!$G$19,0)</f>
        <v>38</v>
      </c>
      <c r="AE33" s="87">
        <v>3.9</v>
      </c>
      <c r="AF33" s="109"/>
      <c r="AG33" s="66"/>
      <c r="AH33" s="66"/>
      <c r="AI33" s="88"/>
      <c r="AJ33" s="89" t="e">
        <f t="shared" si="0"/>
        <v>#NUM!</v>
      </c>
      <c r="AK33" s="89">
        <f t="shared" si="1"/>
        <v>0.5910646070264992</v>
      </c>
      <c r="AL33" s="16"/>
      <c r="AM33" s="16"/>
      <c r="AN33" s="16"/>
      <c r="AO33" s="16"/>
      <c r="AP33" s="16">
        <f t="shared" si="2"/>
        <v>32</v>
      </c>
      <c r="AQ33" s="54">
        <v>31</v>
      </c>
      <c r="AR33" s="55">
        <v>0</v>
      </c>
      <c r="AS33" s="16"/>
      <c r="AT33" s="16"/>
      <c r="AU33" s="16"/>
      <c r="AV33" s="16"/>
      <c r="AW33" s="16"/>
      <c r="AX33" s="16"/>
      <c r="AY33" s="16"/>
    </row>
    <row r="34" spans="1:51" s="89" customFormat="1" ht="25.5">
      <c r="A34" s="85" t="s">
        <v>649</v>
      </c>
      <c r="B34" s="66"/>
      <c r="C34" s="66"/>
      <c r="D34" s="86"/>
      <c r="E34" s="66"/>
      <c r="F34" s="66"/>
      <c r="G34" s="66"/>
      <c r="H34" s="66"/>
      <c r="I34" s="66"/>
      <c r="J34" s="66"/>
      <c r="K34" s="66"/>
      <c r="L34" s="86"/>
      <c r="M34" s="109"/>
      <c r="N34" s="66"/>
      <c r="O34" s="66"/>
      <c r="P34" s="66"/>
      <c r="Q34" s="66"/>
      <c r="R34" s="66"/>
      <c r="S34" s="66"/>
      <c r="T34" s="116"/>
      <c r="U34" s="66"/>
      <c r="V34" s="66"/>
      <c r="W34" s="66"/>
      <c r="X34" s="66"/>
      <c r="Y34" s="66"/>
      <c r="Z34" s="66"/>
      <c r="AA34" s="98"/>
      <c r="AB34" s="98"/>
      <c r="AC34" s="98"/>
      <c r="AD34" s="75">
        <f>ROUND(RegrOldLen!$G$18+singleSpecies!AK34*RegrOldLen!$G$19,0)</f>
        <v>43</v>
      </c>
      <c r="AE34" s="87">
        <v>5.5</v>
      </c>
      <c r="AF34" s="109"/>
      <c r="AG34" s="66"/>
      <c r="AH34" s="66"/>
      <c r="AI34" s="88"/>
      <c r="AJ34" s="89" t="e">
        <f t="shared" si="0"/>
        <v>#NUM!</v>
      </c>
      <c r="AK34" s="89">
        <f t="shared" si="1"/>
        <v>0.7403626894942439</v>
      </c>
      <c r="AL34" s="16"/>
      <c r="AM34" s="16"/>
      <c r="AN34" s="16"/>
      <c r="AO34" s="16"/>
      <c r="AP34" s="16">
        <f t="shared" si="2"/>
        <v>33</v>
      </c>
      <c r="AQ34" s="54">
        <v>32</v>
      </c>
      <c r="AR34" s="55">
        <v>1</v>
      </c>
      <c r="AS34" s="16"/>
      <c r="AT34" s="16"/>
      <c r="AU34" s="16"/>
      <c r="AV34" s="16"/>
      <c r="AW34" s="16"/>
      <c r="AX34" s="16"/>
      <c r="AY34" s="16"/>
    </row>
    <row r="35" spans="1:51" s="89" customFormat="1" ht="12.75">
      <c r="A35" s="85" t="s">
        <v>650</v>
      </c>
      <c r="B35" s="66"/>
      <c r="C35" s="66"/>
      <c r="D35" s="86"/>
      <c r="E35" s="66"/>
      <c r="F35" s="66"/>
      <c r="G35" s="66"/>
      <c r="H35" s="66"/>
      <c r="I35" s="66"/>
      <c r="J35" s="66"/>
      <c r="K35" s="66"/>
      <c r="L35" s="86"/>
      <c r="M35" s="109"/>
      <c r="N35" s="66"/>
      <c r="O35" s="66"/>
      <c r="P35" s="66"/>
      <c r="Q35" s="66"/>
      <c r="R35" s="66"/>
      <c r="S35" s="66"/>
      <c r="T35" s="116"/>
      <c r="U35" s="66"/>
      <c r="V35" s="66"/>
      <c r="W35" s="66"/>
      <c r="X35" s="66"/>
      <c r="Y35" s="66"/>
      <c r="Z35" s="93"/>
      <c r="AA35" s="99"/>
      <c r="AB35" s="99"/>
      <c r="AC35" s="99"/>
      <c r="AD35" s="75">
        <f>ROUND(RegrOldLen!$G$18+singleSpecies!AK35*RegrOldLen!$G$19,0)</f>
        <v>21</v>
      </c>
      <c r="AE35" s="87"/>
      <c r="AF35" s="109"/>
      <c r="AG35" s="66"/>
      <c r="AH35" s="66"/>
      <c r="AI35" s="88"/>
      <c r="AL35" s="16"/>
      <c r="AM35" s="16"/>
      <c r="AN35" s="16"/>
      <c r="AO35" s="16"/>
      <c r="AP35" s="16"/>
      <c r="AQ35" s="54">
        <v>33</v>
      </c>
      <c r="AR35" s="55">
        <v>0</v>
      </c>
      <c r="AS35" s="16"/>
      <c r="AT35" s="16"/>
      <c r="AU35" s="16"/>
      <c r="AV35" s="16"/>
      <c r="AW35" s="16"/>
      <c r="AX35" s="16"/>
      <c r="AY35" s="16"/>
    </row>
    <row r="36" spans="1:51" s="89" customFormat="1" ht="26.25" thickBot="1">
      <c r="A36" s="85" t="s">
        <v>651</v>
      </c>
      <c r="B36" s="66"/>
      <c r="C36" s="66"/>
      <c r="D36" s="86"/>
      <c r="E36" s="66"/>
      <c r="F36" s="66"/>
      <c r="G36" s="66"/>
      <c r="H36" s="66"/>
      <c r="I36" s="66"/>
      <c r="J36" s="66"/>
      <c r="K36" s="66"/>
      <c r="L36" s="86"/>
      <c r="M36" s="109"/>
      <c r="N36" s="66"/>
      <c r="O36" s="66"/>
      <c r="P36" s="66"/>
      <c r="Q36" s="66"/>
      <c r="R36" s="66"/>
      <c r="S36" s="66"/>
      <c r="T36" s="116"/>
      <c r="U36" s="66"/>
      <c r="V36" s="66"/>
      <c r="W36" s="66"/>
      <c r="X36" s="66"/>
      <c r="Y36" s="66"/>
      <c r="Z36" s="66"/>
      <c r="AA36" s="98"/>
      <c r="AB36" s="98"/>
      <c r="AC36" s="98"/>
      <c r="AD36" s="75">
        <f>ROUND(RegrOldLen!$G$18+singleSpecies!AK36*RegrOldLen!$G$19,0)</f>
        <v>45</v>
      </c>
      <c r="AE36" s="87">
        <v>6.5</v>
      </c>
      <c r="AF36" s="109"/>
      <c r="AG36" s="66"/>
      <c r="AH36" s="66"/>
      <c r="AI36" s="88"/>
      <c r="AJ36" s="89" t="e">
        <f t="shared" si="0"/>
        <v>#NUM!</v>
      </c>
      <c r="AK36" s="89">
        <f t="shared" si="1"/>
        <v>0.8129133566428556</v>
      </c>
      <c r="AL36" s="16"/>
      <c r="AM36" s="16"/>
      <c r="AN36" s="16"/>
      <c r="AO36" s="16"/>
      <c r="AP36" s="16"/>
      <c r="AQ36" s="56" t="s">
        <v>200</v>
      </c>
      <c r="AR36" s="56">
        <v>0</v>
      </c>
      <c r="AS36" s="16"/>
      <c r="AT36" s="16"/>
      <c r="AU36" s="16"/>
      <c r="AV36" s="16"/>
      <c r="AW36" s="16"/>
      <c r="AX36" s="16"/>
      <c r="AY36" s="16"/>
    </row>
    <row r="37" spans="1:51" s="89" customFormat="1" ht="33.75">
      <c r="A37" s="85" t="s">
        <v>652</v>
      </c>
      <c r="B37" s="66" t="s">
        <v>473</v>
      </c>
      <c r="C37" s="66"/>
      <c r="D37" s="86"/>
      <c r="E37" s="66"/>
      <c r="F37" s="66"/>
      <c r="G37" s="66"/>
      <c r="H37" s="66"/>
      <c r="I37" s="66"/>
      <c r="J37" s="66"/>
      <c r="K37" s="66"/>
      <c r="L37" s="86"/>
      <c r="M37" s="109"/>
      <c r="N37" s="66"/>
      <c r="O37" s="66"/>
      <c r="P37" s="66"/>
      <c r="Q37" s="66"/>
      <c r="R37" s="66"/>
      <c r="S37" s="66"/>
      <c r="T37" s="116"/>
      <c r="U37" s="66"/>
      <c r="V37" s="66"/>
      <c r="W37" s="66"/>
      <c r="X37" s="66"/>
      <c r="Y37" s="66"/>
      <c r="Z37" s="66"/>
      <c r="AA37" s="98"/>
      <c r="AB37" s="98"/>
      <c r="AC37" s="98"/>
      <c r="AD37" s="75">
        <f>ROUND(RegrOldLen!$G$18+singleSpecies!AK37*RegrOldLen!$G$19,0)</f>
        <v>46</v>
      </c>
      <c r="AE37" s="87">
        <v>7</v>
      </c>
      <c r="AF37" s="109"/>
      <c r="AG37" s="66"/>
      <c r="AH37" s="66"/>
      <c r="AI37" s="88"/>
      <c r="AJ37" s="89" t="e">
        <f t="shared" si="0"/>
        <v>#NUM!</v>
      </c>
      <c r="AK37" s="89">
        <f t="shared" si="1"/>
        <v>0.8450980400142568</v>
      </c>
      <c r="AL37" s="16"/>
      <c r="AM37" s="16"/>
      <c r="AN37" s="16"/>
      <c r="AO37" s="16"/>
      <c r="AP37" s="16"/>
      <c r="AQ37" s="16"/>
      <c r="AR37" s="82" t="s">
        <v>798</v>
      </c>
      <c r="AS37" s="16"/>
      <c r="AT37" s="16"/>
      <c r="AU37" s="16"/>
      <c r="AV37" s="16"/>
      <c r="AW37" s="16"/>
      <c r="AX37" s="16"/>
      <c r="AY37" s="16"/>
    </row>
    <row r="38" spans="1:44" ht="67.5">
      <c r="A38" s="68" t="s">
        <v>653</v>
      </c>
      <c r="B38" s="17" t="s">
        <v>406</v>
      </c>
      <c r="C38" s="17"/>
      <c r="D38" s="47">
        <v>16</v>
      </c>
      <c r="E38" s="17"/>
      <c r="F38" s="17"/>
      <c r="G38" s="17"/>
      <c r="H38" s="17"/>
      <c r="I38" s="17"/>
      <c r="J38" s="17"/>
      <c r="K38" s="17" t="s">
        <v>405</v>
      </c>
      <c r="L38" s="47">
        <f>(4+7)/2</f>
        <v>5.5</v>
      </c>
      <c r="M38" s="105">
        <v>78</v>
      </c>
      <c r="N38" s="64">
        <f aca="true" t="shared" si="3" ref="N38:N43">ROUND(L38+((Q38+5)/12),0)</f>
        <v>7</v>
      </c>
      <c r="O38" s="64"/>
      <c r="P38" s="17"/>
      <c r="Q38" s="17">
        <v>14.5</v>
      </c>
      <c r="R38" s="17">
        <v>21</v>
      </c>
      <c r="S38" s="17">
        <f>((32+37)/2)/12</f>
        <v>2.875</v>
      </c>
      <c r="T38" s="107">
        <v>21</v>
      </c>
      <c r="U38" s="17"/>
      <c r="V38" s="17"/>
      <c r="W38" s="17"/>
      <c r="X38" s="17">
        <v>16</v>
      </c>
      <c r="Y38" s="17">
        <v>28</v>
      </c>
      <c r="Z38" s="17">
        <v>35</v>
      </c>
      <c r="AA38" s="62">
        <v>21</v>
      </c>
      <c r="AB38" s="62"/>
      <c r="AC38" s="62"/>
      <c r="AD38" s="75">
        <f>ROUND(RegrOldLen!$G$18+singleSpecies!AK38*RegrOldLen!$G$19,0)</f>
        <v>39</v>
      </c>
      <c r="AE38" s="103">
        <v>4</v>
      </c>
      <c r="AF38" s="107" t="s">
        <v>357</v>
      </c>
      <c r="AG38" s="17"/>
      <c r="AH38" s="17"/>
      <c r="AI38" s="34"/>
      <c r="AJ38" s="16">
        <f t="shared" si="0"/>
        <v>1.5440680443502757</v>
      </c>
      <c r="AK38" s="16">
        <f t="shared" si="1"/>
        <v>0.6020599913279624</v>
      </c>
      <c r="AQ38" s="77"/>
      <c r="AR38" s="78" t="s">
        <v>903</v>
      </c>
    </row>
    <row r="39" spans="1:37" ht="45">
      <c r="A39" s="4" t="s">
        <v>654</v>
      </c>
      <c r="B39" s="17" t="s">
        <v>461</v>
      </c>
      <c r="C39" s="17"/>
      <c r="D39" s="47">
        <v>10</v>
      </c>
      <c r="E39" s="17"/>
      <c r="F39" s="17"/>
      <c r="G39" s="17"/>
      <c r="H39" s="17"/>
      <c r="I39" s="17"/>
      <c r="J39" s="17"/>
      <c r="K39" s="17" t="s">
        <v>840</v>
      </c>
      <c r="L39" s="123">
        <f>(5+8)/2</f>
        <v>6.5</v>
      </c>
      <c r="M39" s="107">
        <v>21</v>
      </c>
      <c r="N39" s="64">
        <f t="shared" si="3"/>
        <v>8</v>
      </c>
      <c r="O39" s="17"/>
      <c r="P39" s="17"/>
      <c r="Q39" s="17">
        <v>14.5</v>
      </c>
      <c r="R39" s="17">
        <v>21</v>
      </c>
      <c r="S39" s="102">
        <v>3</v>
      </c>
      <c r="T39" s="107">
        <v>98</v>
      </c>
      <c r="U39" s="17"/>
      <c r="V39" s="17">
        <v>0.39</v>
      </c>
      <c r="W39" s="17"/>
      <c r="X39" s="17"/>
      <c r="Y39" s="17"/>
      <c r="Z39" s="17">
        <v>50</v>
      </c>
      <c r="AA39" s="62">
        <v>21</v>
      </c>
      <c r="AB39" s="62"/>
      <c r="AC39" s="62"/>
      <c r="AD39" s="75">
        <f>ROUND(RegrOldLen!$G$18+singleSpecies!AK39*RegrOldLen!$G$19,0)</f>
        <v>39</v>
      </c>
      <c r="AE39" s="43">
        <v>4</v>
      </c>
      <c r="AF39" s="106">
        <v>21</v>
      </c>
      <c r="AG39" s="17"/>
      <c r="AH39" s="17"/>
      <c r="AI39" s="34"/>
      <c r="AJ39" s="16">
        <f t="shared" si="0"/>
        <v>1.6989700043360187</v>
      </c>
      <c r="AK39" s="16">
        <f t="shared" si="1"/>
        <v>0.6020599913279624</v>
      </c>
    </row>
    <row r="40" spans="1:44" ht="12.75">
      <c r="A40" s="68" t="s">
        <v>655</v>
      </c>
      <c r="B40" s="17"/>
      <c r="C40" s="17"/>
      <c r="D40" s="47"/>
      <c r="E40" s="17"/>
      <c r="F40" s="17"/>
      <c r="G40" s="17"/>
      <c r="H40" s="17"/>
      <c r="I40" s="17"/>
      <c r="J40" s="17"/>
      <c r="K40" s="17"/>
      <c r="L40" s="47">
        <v>5</v>
      </c>
      <c r="M40" s="106" t="s">
        <v>358</v>
      </c>
      <c r="N40" s="64">
        <f t="shared" si="3"/>
        <v>6</v>
      </c>
      <c r="O40" s="64"/>
      <c r="P40" s="17"/>
      <c r="Q40" s="17">
        <v>11</v>
      </c>
      <c r="R40" s="17" t="s">
        <v>358</v>
      </c>
      <c r="S40" s="102">
        <v>2</v>
      </c>
      <c r="T40" s="107" t="s">
        <v>358</v>
      </c>
      <c r="U40" s="17"/>
      <c r="V40" s="17"/>
      <c r="W40" s="17"/>
      <c r="X40" s="17"/>
      <c r="Y40" s="17"/>
      <c r="Z40" s="17">
        <v>23</v>
      </c>
      <c r="AA40" s="62" t="s">
        <v>358</v>
      </c>
      <c r="AB40" s="62"/>
      <c r="AC40" s="62"/>
      <c r="AD40" s="75">
        <f>ROUND(RegrOldLen!$G$18+singleSpecies!AK40*RegrOldLen!$G$19,0)</f>
        <v>36</v>
      </c>
      <c r="AE40" s="103">
        <v>3.3</v>
      </c>
      <c r="AF40" s="107" t="s">
        <v>359</v>
      </c>
      <c r="AG40" s="17"/>
      <c r="AH40" s="17"/>
      <c r="AI40" s="34"/>
      <c r="AJ40" s="16">
        <f t="shared" si="0"/>
        <v>1.3617278360175928</v>
      </c>
      <c r="AK40" s="16">
        <f t="shared" si="1"/>
        <v>0.5185139398778874</v>
      </c>
      <c r="AQ40" s="80"/>
      <c r="AR40" s="81" t="s">
        <v>797</v>
      </c>
    </row>
    <row r="41" spans="1:37" ht="12.75">
      <c r="A41" s="4" t="s">
        <v>656</v>
      </c>
      <c r="B41" s="17"/>
      <c r="C41" s="17"/>
      <c r="D41" s="47"/>
      <c r="E41" s="17"/>
      <c r="F41" s="17"/>
      <c r="G41" s="17"/>
      <c r="H41" s="17"/>
      <c r="I41" s="17"/>
      <c r="J41" s="17"/>
      <c r="K41" s="17"/>
      <c r="L41" s="47">
        <v>5</v>
      </c>
      <c r="M41" s="106" t="s">
        <v>358</v>
      </c>
      <c r="N41" s="64">
        <f t="shared" si="3"/>
        <v>6</v>
      </c>
      <c r="O41" s="64"/>
      <c r="P41" s="17"/>
      <c r="Q41" s="79">
        <f>Q40</f>
        <v>11</v>
      </c>
      <c r="R41" s="17"/>
      <c r="S41" s="102">
        <v>2</v>
      </c>
      <c r="T41" s="107" t="s">
        <v>358</v>
      </c>
      <c r="U41" s="17"/>
      <c r="V41" s="17"/>
      <c r="W41" s="17"/>
      <c r="X41" s="17"/>
      <c r="Y41" s="17"/>
      <c r="Z41" s="17">
        <v>22</v>
      </c>
      <c r="AA41" s="62" t="s">
        <v>358</v>
      </c>
      <c r="AB41" s="62"/>
      <c r="AC41" s="62"/>
      <c r="AD41" s="75">
        <f>ROUND(RegrOldLen!$G$18+singleSpecies!AK41*RegrOldLen!$G$19,0)</f>
        <v>32</v>
      </c>
      <c r="AE41" s="103">
        <v>2.34</v>
      </c>
      <c r="AF41" s="107" t="s">
        <v>359</v>
      </c>
      <c r="AG41" s="17"/>
      <c r="AH41" s="17"/>
      <c r="AI41" s="34"/>
      <c r="AJ41" s="16">
        <f t="shared" si="0"/>
        <v>1.3424226808222062</v>
      </c>
      <c r="AK41" s="16">
        <f t="shared" si="1"/>
        <v>0.3692158574101428</v>
      </c>
    </row>
    <row r="42" spans="1:37" ht="25.5">
      <c r="A42" s="141" t="s">
        <v>658</v>
      </c>
      <c r="B42" s="17" t="s">
        <v>657</v>
      </c>
      <c r="C42" s="17"/>
      <c r="D42" s="47"/>
      <c r="E42" s="18"/>
      <c r="F42" s="17"/>
      <c r="G42" s="18"/>
      <c r="H42" s="18">
        <v>12</v>
      </c>
      <c r="I42" s="18"/>
      <c r="J42" s="17"/>
      <c r="K42" s="76">
        <f>(7+13)/2</f>
        <v>10</v>
      </c>
      <c r="L42" s="76">
        <f>(7+13)/2</f>
        <v>10</v>
      </c>
      <c r="M42" s="106"/>
      <c r="N42" s="64">
        <f t="shared" si="3"/>
        <v>12</v>
      </c>
      <c r="O42" s="47">
        <v>15</v>
      </c>
      <c r="P42" s="17"/>
      <c r="Q42" s="17">
        <v>15.5</v>
      </c>
      <c r="R42" s="17">
        <v>15</v>
      </c>
      <c r="S42" s="102">
        <f>(4+6)/2</f>
        <v>5</v>
      </c>
      <c r="T42" s="107">
        <v>15</v>
      </c>
      <c r="U42" s="17"/>
      <c r="V42" s="17"/>
      <c r="W42" s="18">
        <v>0.096</v>
      </c>
      <c r="X42" s="17"/>
      <c r="Y42" s="17"/>
      <c r="Z42" s="17">
        <f>ROUND(64-S42,0)</f>
        <v>59</v>
      </c>
      <c r="AA42" s="62">
        <v>54</v>
      </c>
      <c r="AB42" s="62">
        <v>75</v>
      </c>
      <c r="AC42" s="62">
        <v>15</v>
      </c>
      <c r="AD42" s="75">
        <f>ROUND(RegrOldLen!$G$18+singleSpecies!AK42*RegrOldLen!$G$19,0)</f>
        <v>51</v>
      </c>
      <c r="AE42" s="103">
        <v>11</v>
      </c>
      <c r="AF42" s="107">
        <v>12</v>
      </c>
      <c r="AG42" s="17"/>
      <c r="AH42" s="17"/>
      <c r="AI42" s="34"/>
      <c r="AJ42" s="16">
        <f t="shared" si="0"/>
        <v>1.7708520116421442</v>
      </c>
      <c r="AK42" s="16">
        <f t="shared" si="1"/>
        <v>1.0413926851582251</v>
      </c>
    </row>
    <row r="43" spans="1:37" ht="56.25">
      <c r="A43" s="4" t="s">
        <v>659</v>
      </c>
      <c r="B43" s="17" t="s">
        <v>398</v>
      </c>
      <c r="C43" s="17"/>
      <c r="D43" s="47"/>
      <c r="E43" s="17">
        <v>0.673</v>
      </c>
      <c r="F43" s="17">
        <v>110</v>
      </c>
      <c r="G43" s="17">
        <v>0.914</v>
      </c>
      <c r="H43" s="17">
        <v>110</v>
      </c>
      <c r="I43" s="17"/>
      <c r="J43" s="17">
        <f>G43^2</f>
        <v>0.835396</v>
      </c>
      <c r="K43" s="17" t="s">
        <v>399</v>
      </c>
      <c r="L43" s="123">
        <v>5.5</v>
      </c>
      <c r="M43" s="115">
        <v>72</v>
      </c>
      <c r="N43" s="64">
        <f t="shared" si="3"/>
        <v>7</v>
      </c>
      <c r="O43" s="64"/>
      <c r="P43" s="17"/>
      <c r="Q43" s="17">
        <v>11.5</v>
      </c>
      <c r="R43" s="17">
        <v>72</v>
      </c>
      <c r="S43" s="79">
        <f>S$46</f>
        <v>2</v>
      </c>
      <c r="T43" s="107"/>
      <c r="U43" s="17"/>
      <c r="V43" s="17"/>
      <c r="W43" s="17"/>
      <c r="X43" s="17"/>
      <c r="Y43" s="17"/>
      <c r="Z43" s="17"/>
      <c r="AA43" s="62">
        <v>110</v>
      </c>
      <c r="AB43" s="62"/>
      <c r="AC43" s="62"/>
      <c r="AD43" s="75">
        <f>ROUND(RegrOldLen!$G$18+singleSpecies!AK43*RegrOldLen!$G$19,0)</f>
        <v>28</v>
      </c>
      <c r="AE43" s="103">
        <v>1.74</v>
      </c>
      <c r="AF43" s="107">
        <v>72</v>
      </c>
      <c r="AG43" s="17"/>
      <c r="AH43" s="17"/>
      <c r="AI43" s="34"/>
      <c r="AJ43" s="16" t="e">
        <f t="shared" si="0"/>
        <v>#NUM!</v>
      </c>
      <c r="AK43" s="16">
        <f t="shared" si="1"/>
        <v>0.24054924828259971</v>
      </c>
    </row>
    <row r="44" spans="1:37" ht="25.5">
      <c r="A44" s="4" t="s">
        <v>660</v>
      </c>
      <c r="B44" s="17"/>
      <c r="C44" s="17"/>
      <c r="D44" s="47"/>
      <c r="E44" s="17"/>
      <c r="F44" s="17"/>
      <c r="G44" s="17"/>
      <c r="H44" s="17"/>
      <c r="I44" s="17"/>
      <c r="J44" s="17"/>
      <c r="K44" s="17"/>
      <c r="L44" s="47"/>
      <c r="M44" s="106"/>
      <c r="N44" s="79">
        <f>ROUND((N$43+N$46)/2,0)</f>
        <v>7</v>
      </c>
      <c r="O44" s="79"/>
      <c r="P44" s="17"/>
      <c r="Q44" s="17"/>
      <c r="R44" s="17"/>
      <c r="S44" s="79">
        <f>S$46</f>
        <v>2</v>
      </c>
      <c r="T44" s="107"/>
      <c r="U44" s="17"/>
      <c r="V44" s="17"/>
      <c r="W44" s="17"/>
      <c r="X44" s="17"/>
      <c r="Y44" s="17"/>
      <c r="Z44" s="17"/>
      <c r="AA44" s="62"/>
      <c r="AB44" s="62"/>
      <c r="AC44" s="62"/>
      <c r="AD44" s="75">
        <f>ROUND(RegrOldLen!$G$18+singleSpecies!AK44*RegrOldLen!$G$19,0)</f>
        <v>27</v>
      </c>
      <c r="AE44" s="43">
        <v>1.67</v>
      </c>
      <c r="AF44" s="106">
        <v>199</v>
      </c>
      <c r="AG44" s="17"/>
      <c r="AH44" s="17"/>
      <c r="AI44" s="34"/>
      <c r="AJ44" s="16" t="e">
        <f t="shared" si="0"/>
        <v>#NUM!</v>
      </c>
      <c r="AK44" s="16">
        <f t="shared" si="1"/>
        <v>0.22271647114758325</v>
      </c>
    </row>
    <row r="45" spans="1:37" ht="25.5">
      <c r="A45" s="4" t="s">
        <v>661</v>
      </c>
      <c r="B45" s="17"/>
      <c r="C45" s="17"/>
      <c r="D45" s="47"/>
      <c r="E45" s="17"/>
      <c r="F45" s="17"/>
      <c r="G45" s="17"/>
      <c r="H45" s="17"/>
      <c r="I45" s="17"/>
      <c r="J45" s="17"/>
      <c r="K45" s="17"/>
      <c r="L45" s="47"/>
      <c r="M45" s="106"/>
      <c r="N45" s="79">
        <f>ROUND((N$43+N$46)/2,0)</f>
        <v>7</v>
      </c>
      <c r="O45" s="79"/>
      <c r="P45" s="17"/>
      <c r="Q45" s="17"/>
      <c r="R45" s="17"/>
      <c r="S45" s="79">
        <f>S$46</f>
        <v>2</v>
      </c>
      <c r="T45" s="107"/>
      <c r="U45" s="17"/>
      <c r="V45" s="17"/>
      <c r="W45" s="17"/>
      <c r="X45" s="17"/>
      <c r="Y45" s="17"/>
      <c r="Z45" s="17"/>
      <c r="AA45" s="62"/>
      <c r="AB45" s="62"/>
      <c r="AC45" s="62"/>
      <c r="AD45" s="75">
        <f>ROUND(RegrOldLen!$G$18+singleSpecies!AK45*RegrOldLen!$G$19,0)</f>
        <v>28</v>
      </c>
      <c r="AE45" s="43">
        <v>1.74</v>
      </c>
      <c r="AF45" s="106">
        <v>198</v>
      </c>
      <c r="AG45" s="17"/>
      <c r="AH45" s="17"/>
      <c r="AI45" s="34"/>
      <c r="AJ45" s="16" t="e">
        <f t="shared" si="0"/>
        <v>#NUM!</v>
      </c>
      <c r="AK45" s="16">
        <f t="shared" si="1"/>
        <v>0.24054924828259971</v>
      </c>
    </row>
    <row r="46" spans="1:37" ht="56.25">
      <c r="A46" s="4" t="s">
        <v>662</v>
      </c>
      <c r="B46" s="17" t="s">
        <v>219</v>
      </c>
      <c r="C46" s="17" t="s">
        <v>220</v>
      </c>
      <c r="D46" s="47">
        <v>13</v>
      </c>
      <c r="E46" s="17"/>
      <c r="F46" s="17" t="s">
        <v>360</v>
      </c>
      <c r="G46" s="17">
        <v>0.938</v>
      </c>
      <c r="H46" s="17" t="s">
        <v>360</v>
      </c>
      <c r="I46" s="17"/>
      <c r="J46" s="17">
        <f>G46^2</f>
        <v>0.8798439999999998</v>
      </c>
      <c r="K46" s="17"/>
      <c r="L46" s="47">
        <v>8</v>
      </c>
      <c r="M46" s="105">
        <v>175</v>
      </c>
      <c r="N46" s="62">
        <v>7</v>
      </c>
      <c r="O46" s="62"/>
      <c r="P46" s="17">
        <v>175</v>
      </c>
      <c r="Q46" s="17">
        <v>11</v>
      </c>
      <c r="R46" s="17">
        <v>175</v>
      </c>
      <c r="S46" s="17">
        <v>2</v>
      </c>
      <c r="T46" s="107">
        <v>175</v>
      </c>
      <c r="U46" s="17"/>
      <c r="V46" s="17"/>
      <c r="W46" s="17"/>
      <c r="X46" s="17"/>
      <c r="Y46" s="17"/>
      <c r="Z46" s="17"/>
      <c r="AA46" s="62">
        <v>175</v>
      </c>
      <c r="AB46" s="62"/>
      <c r="AC46" s="62"/>
      <c r="AD46" s="75">
        <f>ROUND(RegrOldLen!$G$18+singleSpecies!AK46*RegrOldLen!$G$19,0)</f>
        <v>27</v>
      </c>
      <c r="AE46" s="43">
        <v>1.63</v>
      </c>
      <c r="AF46" s="131">
        <v>200</v>
      </c>
      <c r="AG46" s="17"/>
      <c r="AH46" s="17"/>
      <c r="AI46" s="34"/>
      <c r="AJ46" s="16" t="e">
        <f t="shared" si="0"/>
        <v>#NUM!</v>
      </c>
      <c r="AK46" s="16">
        <f t="shared" si="1"/>
        <v>0.21218760440395779</v>
      </c>
    </row>
    <row r="47" spans="1:37" ht="12.75">
      <c r="A47" s="4" t="s">
        <v>663</v>
      </c>
      <c r="B47" s="17"/>
      <c r="C47" s="17"/>
      <c r="D47" s="47"/>
      <c r="E47" s="17"/>
      <c r="F47" s="17"/>
      <c r="G47" s="17"/>
      <c r="H47" s="17"/>
      <c r="I47" s="17"/>
      <c r="J47" s="17"/>
      <c r="K47" s="17"/>
      <c r="L47" s="79">
        <f>L$48</f>
        <v>7.9</v>
      </c>
      <c r="M47" s="110"/>
      <c r="N47" s="79">
        <f>N$48</f>
        <v>9</v>
      </c>
      <c r="O47" s="79"/>
      <c r="P47" s="17"/>
      <c r="Q47" s="17"/>
      <c r="R47" s="17"/>
      <c r="S47" s="79">
        <f>S$48</f>
        <v>2.1</v>
      </c>
      <c r="T47" s="107"/>
      <c r="U47" s="17"/>
      <c r="V47" s="17"/>
      <c r="W47" s="17"/>
      <c r="X47" s="17"/>
      <c r="Y47" s="17"/>
      <c r="Z47" s="17"/>
      <c r="AA47" s="62"/>
      <c r="AB47" s="62"/>
      <c r="AC47" s="62"/>
      <c r="AD47" s="75">
        <f>ROUND(RegrOldLen!$G$18+singleSpecies!AK47*RegrOldLen!$G$19,0)</f>
        <v>31</v>
      </c>
      <c r="AE47" s="43">
        <v>2.24</v>
      </c>
      <c r="AF47" s="106">
        <v>201</v>
      </c>
      <c r="AG47" s="17"/>
      <c r="AH47" s="17"/>
      <c r="AI47" s="34"/>
      <c r="AJ47" s="16" t="e">
        <f t="shared" si="0"/>
        <v>#NUM!</v>
      </c>
      <c r="AK47" s="16">
        <f t="shared" si="1"/>
        <v>0.35024801833416286</v>
      </c>
    </row>
    <row r="48" spans="1:37" ht="67.5">
      <c r="A48" s="4" t="s">
        <v>664</v>
      </c>
      <c r="B48" s="17" t="s">
        <v>183</v>
      </c>
      <c r="C48" s="17"/>
      <c r="D48" s="47"/>
      <c r="E48" s="17"/>
      <c r="F48" s="17"/>
      <c r="G48" s="17"/>
      <c r="H48" s="17"/>
      <c r="I48" s="17"/>
      <c r="J48" s="17"/>
      <c r="K48" s="17" t="s">
        <v>187</v>
      </c>
      <c r="L48" s="123">
        <v>7.9</v>
      </c>
      <c r="M48" s="115">
        <v>194</v>
      </c>
      <c r="N48" s="64">
        <f>ROUND(L48+((Q48+5)/12),0)</f>
        <v>9</v>
      </c>
      <c r="O48" s="64"/>
      <c r="P48" s="17"/>
      <c r="Q48" s="17">
        <v>11</v>
      </c>
      <c r="R48" s="17" t="s">
        <v>361</v>
      </c>
      <c r="S48" s="102">
        <v>2.1</v>
      </c>
      <c r="T48" s="107">
        <v>194</v>
      </c>
      <c r="U48" s="17"/>
      <c r="V48" s="17"/>
      <c r="W48" s="17"/>
      <c r="X48" s="17">
        <v>12.8</v>
      </c>
      <c r="Y48" s="17">
        <v>194</v>
      </c>
      <c r="Z48" s="17">
        <v>26</v>
      </c>
      <c r="AA48" s="62">
        <v>58</v>
      </c>
      <c r="AB48" s="62"/>
      <c r="AC48" s="62"/>
      <c r="AD48" s="75">
        <f>ROUND(RegrOldLen!$G$18+singleSpecies!AK48*RegrOldLen!$G$19,0)</f>
        <v>31</v>
      </c>
      <c r="AE48" s="43">
        <v>2.13</v>
      </c>
      <c r="AF48" s="106">
        <v>194</v>
      </c>
      <c r="AG48" s="17"/>
      <c r="AH48" s="17"/>
      <c r="AI48" s="34"/>
      <c r="AJ48" s="16">
        <f t="shared" si="0"/>
        <v>1.414973347970818</v>
      </c>
      <c r="AK48" s="16">
        <f t="shared" si="1"/>
        <v>0.3283796034387377</v>
      </c>
    </row>
    <row r="49" spans="1:37" ht="45">
      <c r="A49" s="4" t="s">
        <v>665</v>
      </c>
      <c r="B49" s="17" t="s">
        <v>836</v>
      </c>
      <c r="C49" s="17"/>
      <c r="D49" s="47"/>
      <c r="E49" s="17"/>
      <c r="F49" s="17"/>
      <c r="G49" s="17"/>
      <c r="H49" s="17"/>
      <c r="I49" s="17"/>
      <c r="J49" s="17"/>
      <c r="K49" s="17" t="s">
        <v>840</v>
      </c>
      <c r="L49" s="47">
        <f>ROUND((5+8)/2,0)</f>
        <v>7</v>
      </c>
      <c r="M49" s="105">
        <v>5</v>
      </c>
      <c r="N49" s="64">
        <f>ROUND(L49+((Q49+5)/12),0)</f>
        <v>8</v>
      </c>
      <c r="O49" s="64"/>
      <c r="P49" s="17"/>
      <c r="Q49" s="17">
        <v>12</v>
      </c>
      <c r="R49" s="17">
        <v>5</v>
      </c>
      <c r="S49" s="17">
        <v>2</v>
      </c>
      <c r="T49" s="107">
        <v>5</v>
      </c>
      <c r="U49" s="17"/>
      <c r="V49" s="17" t="s">
        <v>838</v>
      </c>
      <c r="W49" s="17"/>
      <c r="X49" s="17"/>
      <c r="Y49" s="17"/>
      <c r="Z49" s="17">
        <f>ROUND(17.5,0)</f>
        <v>18</v>
      </c>
      <c r="AA49" s="62">
        <v>5</v>
      </c>
      <c r="AB49" s="62"/>
      <c r="AC49" s="62"/>
      <c r="AD49" s="75">
        <f>ROUND(RegrOldLen!$G$18+singleSpecies!AK49*RegrOldLen!$G$19,0)</f>
        <v>33</v>
      </c>
      <c r="AE49" s="103">
        <v>2.64</v>
      </c>
      <c r="AF49" s="107">
        <v>197</v>
      </c>
      <c r="AG49" s="17"/>
      <c r="AH49" s="17"/>
      <c r="AI49" s="34"/>
      <c r="AJ49" s="16">
        <f t="shared" si="0"/>
        <v>1.255272505103306</v>
      </c>
      <c r="AK49" s="16">
        <f t="shared" si="1"/>
        <v>0.42160392686983106</v>
      </c>
    </row>
    <row r="50" spans="1:37" ht="56.25">
      <c r="A50" s="4" t="s">
        <v>666</v>
      </c>
      <c r="B50" s="17" t="s">
        <v>232</v>
      </c>
      <c r="C50" s="17"/>
      <c r="D50" s="47"/>
      <c r="E50" s="17"/>
      <c r="F50" s="17"/>
      <c r="G50" s="17"/>
      <c r="H50" s="17"/>
      <c r="I50" s="17"/>
      <c r="J50" s="17"/>
      <c r="K50" s="17" t="s">
        <v>799</v>
      </c>
      <c r="L50" s="47">
        <f>(6+12)/2</f>
        <v>9</v>
      </c>
      <c r="M50" s="105">
        <v>172</v>
      </c>
      <c r="N50" s="64">
        <f>ROUND(L50+((Q50+5)/12),0)</f>
        <v>10</v>
      </c>
      <c r="O50" s="64"/>
      <c r="P50" s="17"/>
      <c r="Q50" s="17">
        <v>11</v>
      </c>
      <c r="R50" s="17">
        <v>172</v>
      </c>
      <c r="S50" s="17">
        <v>2.5</v>
      </c>
      <c r="T50" s="107">
        <v>172</v>
      </c>
      <c r="U50" s="17"/>
      <c r="V50" s="17"/>
      <c r="W50" s="17"/>
      <c r="X50" s="17"/>
      <c r="Y50" s="17"/>
      <c r="Z50" s="17">
        <v>27</v>
      </c>
      <c r="AA50" s="62">
        <v>172</v>
      </c>
      <c r="AB50" s="62"/>
      <c r="AC50" s="62"/>
      <c r="AD50" s="75">
        <f>ROUND(RegrOldLen!$G$18+singleSpecies!AK50*RegrOldLen!$G$19,0)</f>
        <v>32</v>
      </c>
      <c r="AE50" s="103">
        <v>2.43</v>
      </c>
      <c r="AF50" s="107">
        <v>172</v>
      </c>
      <c r="AG50" s="17"/>
      <c r="AH50" s="17"/>
      <c r="AI50" s="34"/>
      <c r="AJ50" s="16">
        <f t="shared" si="0"/>
        <v>1.4313637641589874</v>
      </c>
      <c r="AK50" s="16">
        <f t="shared" si="1"/>
        <v>0.38560627359831223</v>
      </c>
    </row>
    <row r="51" spans="1:37" ht="25.5">
      <c r="A51" s="4" t="s">
        <v>667</v>
      </c>
      <c r="B51" s="17"/>
      <c r="C51" s="17"/>
      <c r="D51" s="47"/>
      <c r="E51" s="17"/>
      <c r="F51" s="17"/>
      <c r="G51" s="17"/>
      <c r="H51" s="17"/>
      <c r="I51" s="17"/>
      <c r="J51" s="17"/>
      <c r="K51" s="17"/>
      <c r="L51" s="47"/>
      <c r="M51" s="106"/>
      <c r="N51" s="79">
        <f>N$50</f>
        <v>10</v>
      </c>
      <c r="O51" s="79"/>
      <c r="P51" s="17"/>
      <c r="Q51" s="17"/>
      <c r="R51" s="17"/>
      <c r="S51" s="79">
        <f>S$50</f>
        <v>2.5</v>
      </c>
      <c r="T51" s="107"/>
      <c r="U51" s="17"/>
      <c r="V51" s="17"/>
      <c r="W51" s="17"/>
      <c r="X51" s="17"/>
      <c r="Y51" s="17"/>
      <c r="Z51" s="17"/>
      <c r="AA51" s="62"/>
      <c r="AB51" s="62"/>
      <c r="AC51" s="62"/>
      <c r="AD51" s="75">
        <f>ROUND(RegrOldLen!$G$18+singleSpecies!AK51*RegrOldLen!$G$19,0)</f>
        <v>34</v>
      </c>
      <c r="AE51" s="43">
        <v>2.82</v>
      </c>
      <c r="AF51" s="106" t="s">
        <v>600</v>
      </c>
      <c r="AG51" s="17"/>
      <c r="AH51" s="17"/>
      <c r="AI51" s="34"/>
      <c r="AJ51" s="16" t="e">
        <f t="shared" si="0"/>
        <v>#NUM!</v>
      </c>
      <c r="AK51" s="16">
        <f t="shared" si="1"/>
        <v>0.45024910831936105</v>
      </c>
    </row>
    <row r="52" spans="1:37" ht="25.5">
      <c r="A52" s="4" t="s">
        <v>668</v>
      </c>
      <c r="B52" s="17"/>
      <c r="C52" s="17"/>
      <c r="D52" s="47"/>
      <c r="E52" s="17"/>
      <c r="F52" s="17"/>
      <c r="G52" s="17"/>
      <c r="H52" s="17"/>
      <c r="I52" s="17"/>
      <c r="J52" s="17"/>
      <c r="K52" s="17"/>
      <c r="L52" s="47"/>
      <c r="M52" s="106"/>
      <c r="N52" s="79"/>
      <c r="O52" s="79"/>
      <c r="P52" s="17"/>
      <c r="Q52" s="17"/>
      <c r="R52" s="17"/>
      <c r="S52" s="79"/>
      <c r="T52" s="107"/>
      <c r="U52" s="17"/>
      <c r="V52" s="17"/>
      <c r="W52" s="17"/>
      <c r="X52" s="17"/>
      <c r="Y52" s="17"/>
      <c r="Z52" s="17"/>
      <c r="AA52" s="62"/>
      <c r="AB52" s="62"/>
      <c r="AC52" s="62"/>
      <c r="AD52" s="75">
        <f>ROUND(RegrOldLen!$G$18+singleSpecies!AK52*RegrOldLen!$G$19,0)</f>
        <v>30</v>
      </c>
      <c r="AE52" s="43">
        <v>2.1</v>
      </c>
      <c r="AF52" s="106">
        <v>202</v>
      </c>
      <c r="AG52" s="17"/>
      <c r="AH52" s="17"/>
      <c r="AI52" s="34"/>
      <c r="AJ52" s="16" t="e">
        <f t="shared" si="0"/>
        <v>#NUM!</v>
      </c>
      <c r="AK52" s="16">
        <f t="shared" si="1"/>
        <v>0.3222192947339193</v>
      </c>
    </row>
    <row r="53" spans="1:37" ht="25.5">
      <c r="A53" s="4" t="s">
        <v>669</v>
      </c>
      <c r="B53" s="17"/>
      <c r="C53" s="17"/>
      <c r="D53" s="47"/>
      <c r="E53" s="17"/>
      <c r="F53" s="17"/>
      <c r="G53" s="17"/>
      <c r="H53" s="17"/>
      <c r="I53" s="17"/>
      <c r="J53" s="17"/>
      <c r="K53" s="17"/>
      <c r="L53" s="47"/>
      <c r="M53" s="106"/>
      <c r="N53" s="79"/>
      <c r="O53" s="79"/>
      <c r="P53" s="17"/>
      <c r="Q53" s="17"/>
      <c r="R53" s="17"/>
      <c r="S53" s="79"/>
      <c r="T53" s="107"/>
      <c r="U53" s="17"/>
      <c r="V53" s="17"/>
      <c r="W53" s="17"/>
      <c r="X53" s="17"/>
      <c r="Y53" s="17"/>
      <c r="Z53" s="17"/>
      <c r="AA53" s="62"/>
      <c r="AB53" s="62"/>
      <c r="AC53" s="62"/>
      <c r="AD53" s="75">
        <f>ROUND(RegrOldLen!$G$18+singleSpecies!AK53*RegrOldLen!$G$19,0)</f>
        <v>29</v>
      </c>
      <c r="AE53" s="43">
        <v>1.83</v>
      </c>
      <c r="AF53" s="106">
        <v>203</v>
      </c>
      <c r="AG53" s="17"/>
      <c r="AH53" s="17"/>
      <c r="AI53" s="34"/>
      <c r="AJ53" s="16" t="e">
        <f t="shared" si="0"/>
        <v>#NUM!</v>
      </c>
      <c r="AK53" s="16">
        <f t="shared" si="1"/>
        <v>0.26245108973042947</v>
      </c>
    </row>
    <row r="54" spans="1:37" ht="78.75">
      <c r="A54" s="4" t="s">
        <v>670</v>
      </c>
      <c r="B54" s="17" t="s">
        <v>409</v>
      </c>
      <c r="C54" s="17"/>
      <c r="D54" s="47"/>
      <c r="E54" s="17"/>
      <c r="F54" s="17"/>
      <c r="G54" s="17"/>
      <c r="H54" s="17"/>
      <c r="I54" s="17"/>
      <c r="J54" s="17"/>
      <c r="K54" s="17" t="s">
        <v>182</v>
      </c>
      <c r="L54" s="123">
        <v>8.8</v>
      </c>
      <c r="M54" s="115" t="s">
        <v>363</v>
      </c>
      <c r="N54" s="64">
        <f>ROUND(L54+((Q54+5)/12),0)</f>
        <v>10</v>
      </c>
      <c r="O54" s="64"/>
      <c r="P54" s="17"/>
      <c r="Q54" s="17">
        <v>11.6</v>
      </c>
      <c r="R54" s="17">
        <v>59</v>
      </c>
      <c r="S54" s="17">
        <v>4.7</v>
      </c>
      <c r="T54" s="107">
        <v>79</v>
      </c>
      <c r="U54" s="17"/>
      <c r="V54" s="17">
        <v>0.3</v>
      </c>
      <c r="W54" s="17"/>
      <c r="X54" s="17"/>
      <c r="Y54" s="17"/>
      <c r="Z54" s="17">
        <v>46</v>
      </c>
      <c r="AA54" s="62">
        <v>79</v>
      </c>
      <c r="AB54" s="62"/>
      <c r="AC54" s="62"/>
      <c r="AD54" s="75">
        <f>ROUND(RegrOldLen!$G$18+singleSpecies!AK54*RegrOldLen!$G$19,0)</f>
        <v>32</v>
      </c>
      <c r="AE54" s="43">
        <v>2.36</v>
      </c>
      <c r="AF54" s="106" t="s">
        <v>362</v>
      </c>
      <c r="AG54" s="17"/>
      <c r="AH54" s="17"/>
      <c r="AI54" s="34"/>
      <c r="AJ54" s="16">
        <f t="shared" si="0"/>
        <v>1.662757831681574</v>
      </c>
      <c r="AK54" s="16">
        <f t="shared" si="1"/>
        <v>0.37291200297010657</v>
      </c>
    </row>
    <row r="55" spans="1:37" ht="45">
      <c r="A55" s="4" t="s">
        <v>671</v>
      </c>
      <c r="B55" s="17" t="s">
        <v>43</v>
      </c>
      <c r="C55" s="17" t="s">
        <v>48</v>
      </c>
      <c r="D55" s="47"/>
      <c r="E55" s="17"/>
      <c r="F55" s="17"/>
      <c r="G55" s="17"/>
      <c r="H55" s="17"/>
      <c r="I55" s="17"/>
      <c r="J55" s="17"/>
      <c r="K55" s="17"/>
      <c r="L55" s="47">
        <f>(4+6)/2</f>
        <v>5</v>
      </c>
      <c r="M55" s="105" t="s">
        <v>439</v>
      </c>
      <c r="N55" s="64">
        <f>ROUND(L55+((Q55+6)/12),0)</f>
        <v>7</v>
      </c>
      <c r="O55" s="64"/>
      <c r="P55" s="17" t="s">
        <v>592</v>
      </c>
      <c r="Q55" s="17">
        <v>12.9</v>
      </c>
      <c r="R55" s="17" t="s">
        <v>592</v>
      </c>
      <c r="S55" s="17">
        <v>2.4</v>
      </c>
      <c r="T55" s="107" t="s">
        <v>592</v>
      </c>
      <c r="U55" s="17"/>
      <c r="V55" s="17">
        <v>0.55</v>
      </c>
      <c r="W55" s="17"/>
      <c r="X55" s="17"/>
      <c r="Y55" s="17"/>
      <c r="Z55" s="17">
        <v>35</v>
      </c>
      <c r="AA55" s="62" t="s">
        <v>593</v>
      </c>
      <c r="AB55" s="62"/>
      <c r="AC55" s="62"/>
      <c r="AD55" s="75">
        <f>ROUND(RegrOldLen!$G$18+singleSpecies!AK55*RegrOldLen!$G$19,0)</f>
        <v>30</v>
      </c>
      <c r="AE55" s="103">
        <v>2.04</v>
      </c>
      <c r="AF55" s="107">
        <v>205</v>
      </c>
      <c r="AG55" s="17"/>
      <c r="AH55" s="17"/>
      <c r="AI55" s="17"/>
      <c r="AJ55" s="16">
        <f t="shared" si="0"/>
        <v>1.5440680443502757</v>
      </c>
      <c r="AK55" s="16">
        <f t="shared" si="1"/>
        <v>0.3096301674258988</v>
      </c>
    </row>
    <row r="56" spans="1:37" s="137" customFormat="1" ht="78.75">
      <c r="A56" s="128" t="s">
        <v>672</v>
      </c>
      <c r="B56" s="129" t="s">
        <v>170</v>
      </c>
      <c r="C56" s="129"/>
      <c r="D56" s="130"/>
      <c r="E56" s="129"/>
      <c r="F56" s="129"/>
      <c r="G56" s="129"/>
      <c r="H56" s="129"/>
      <c r="I56" s="129"/>
      <c r="J56" s="129"/>
      <c r="K56" s="129" t="s">
        <v>174</v>
      </c>
      <c r="L56" s="130">
        <v>10.1</v>
      </c>
      <c r="M56" s="138">
        <v>57</v>
      </c>
      <c r="N56" s="139">
        <f>ROUND(12.2,0)</f>
        <v>12</v>
      </c>
      <c r="O56" s="139"/>
      <c r="P56" s="129">
        <v>57</v>
      </c>
      <c r="Q56" s="129">
        <v>12</v>
      </c>
      <c r="R56" s="129">
        <v>57</v>
      </c>
      <c r="S56" s="129">
        <v>2</v>
      </c>
      <c r="T56" s="133">
        <v>57</v>
      </c>
      <c r="U56" s="129"/>
      <c r="V56" s="129"/>
      <c r="W56" s="129"/>
      <c r="X56" s="129"/>
      <c r="Y56" s="129"/>
      <c r="Z56" s="129">
        <f>ROUND(41.6,0)</f>
        <v>42</v>
      </c>
      <c r="AA56" s="134">
        <v>57</v>
      </c>
      <c r="AB56" s="134">
        <v>42</v>
      </c>
      <c r="AC56" s="134"/>
      <c r="AD56" s="75">
        <f>ROUND(RegrOldLen!$G$18+singleSpecies!AK56*RegrOldLen!$G$19,0)</f>
        <v>31</v>
      </c>
      <c r="AE56" s="135">
        <v>2.2</v>
      </c>
      <c r="AF56" s="131">
        <v>57</v>
      </c>
      <c r="AG56" s="129"/>
      <c r="AH56" s="129"/>
      <c r="AI56" s="136"/>
      <c r="AJ56" s="137">
        <f t="shared" si="0"/>
        <v>1.6232492903979006</v>
      </c>
      <c r="AK56" s="137">
        <f t="shared" si="1"/>
        <v>0.3424226808222063</v>
      </c>
    </row>
    <row r="57" spans="1:37" s="137" customFormat="1" ht="12.75">
      <c r="A57" s="128" t="s">
        <v>673</v>
      </c>
      <c r="B57" s="129"/>
      <c r="C57" s="129"/>
      <c r="D57" s="130"/>
      <c r="E57" s="129"/>
      <c r="F57" s="129"/>
      <c r="G57" s="129"/>
      <c r="H57" s="129"/>
      <c r="I57" s="129"/>
      <c r="J57" s="129"/>
      <c r="K57" s="129"/>
      <c r="L57" s="130"/>
      <c r="M57" s="131"/>
      <c r="N57" s="132">
        <f>N$56</f>
        <v>12</v>
      </c>
      <c r="O57" s="132"/>
      <c r="P57" s="129"/>
      <c r="Q57" s="129"/>
      <c r="R57" s="129"/>
      <c r="S57" s="132">
        <f>S56</f>
        <v>2</v>
      </c>
      <c r="T57" s="133"/>
      <c r="U57" s="129"/>
      <c r="V57" s="129"/>
      <c r="W57" s="129"/>
      <c r="X57" s="129"/>
      <c r="Y57" s="129"/>
      <c r="Z57" s="129"/>
      <c r="AA57" s="134"/>
      <c r="AB57" s="134"/>
      <c r="AC57" s="134"/>
      <c r="AD57" s="75">
        <f>ROUND(RegrOldLen!$G$18+singleSpecies!AK57*RegrOldLen!$G$19,0)</f>
        <v>31</v>
      </c>
      <c r="AE57" s="135">
        <v>2.18</v>
      </c>
      <c r="AF57" s="131" t="s">
        <v>364</v>
      </c>
      <c r="AG57" s="129"/>
      <c r="AH57" s="129"/>
      <c r="AI57" s="136"/>
      <c r="AJ57" s="137" t="e">
        <f t="shared" si="0"/>
        <v>#NUM!</v>
      </c>
      <c r="AK57" s="137">
        <f t="shared" si="1"/>
        <v>0.33845649360460484</v>
      </c>
    </row>
    <row r="58" spans="1:39" ht="56.25">
      <c r="A58" s="4" t="s">
        <v>674</v>
      </c>
      <c r="B58" s="17" t="s">
        <v>491</v>
      </c>
      <c r="C58" s="17"/>
      <c r="D58" s="47"/>
      <c r="E58" s="17"/>
      <c r="F58" s="17"/>
      <c r="G58" s="17"/>
      <c r="H58" s="17"/>
      <c r="I58" s="17"/>
      <c r="J58" s="17"/>
      <c r="K58" s="17"/>
      <c r="L58" s="47"/>
      <c r="M58" s="106"/>
      <c r="N58" s="79">
        <f>N$59</f>
        <v>8</v>
      </c>
      <c r="O58" s="79"/>
      <c r="P58" s="17"/>
      <c r="Q58" s="17">
        <v>11.6</v>
      </c>
      <c r="R58" s="17">
        <v>52</v>
      </c>
      <c r="S58" s="17">
        <v>2.5</v>
      </c>
      <c r="T58" s="107">
        <v>167</v>
      </c>
      <c r="U58" s="17"/>
      <c r="V58" s="17"/>
      <c r="W58" s="17"/>
      <c r="X58" s="17"/>
      <c r="Y58" s="17"/>
      <c r="Z58" s="17">
        <v>30</v>
      </c>
      <c r="AA58" s="62">
        <v>52</v>
      </c>
      <c r="AB58" s="62"/>
      <c r="AC58" s="62"/>
      <c r="AD58" s="75">
        <f>ROUND(RegrOldLen!$G$18+singleSpecies!AK58*RegrOldLen!$G$19,0)</f>
        <v>30</v>
      </c>
      <c r="AE58" s="103">
        <v>1.98</v>
      </c>
      <c r="AF58" s="107">
        <v>52</v>
      </c>
      <c r="AG58" s="17"/>
      <c r="AH58" s="17"/>
      <c r="AI58" s="34"/>
      <c r="AJ58" s="16">
        <f t="shared" si="0"/>
        <v>1.4771212547196624</v>
      </c>
      <c r="AK58" s="16">
        <f t="shared" si="1"/>
        <v>0.2966651902615311</v>
      </c>
      <c r="AL58" s="89"/>
      <c r="AM58" s="89"/>
    </row>
    <row r="59" spans="1:37" ht="56.25">
      <c r="A59" s="4" t="s">
        <v>675</v>
      </c>
      <c r="B59" s="17" t="s">
        <v>205</v>
      </c>
      <c r="C59" s="17"/>
      <c r="D59" s="47"/>
      <c r="E59" s="17"/>
      <c r="F59" s="17"/>
      <c r="G59" s="17"/>
      <c r="H59" s="17"/>
      <c r="I59" s="17"/>
      <c r="J59" s="17"/>
      <c r="K59" s="17" t="s">
        <v>898</v>
      </c>
      <c r="L59" s="47">
        <f>(5+8)/2</f>
        <v>6.5</v>
      </c>
      <c r="M59" s="105">
        <v>164</v>
      </c>
      <c r="N59" s="64">
        <f>ROUND(L59+((Q59+5)/12),0)</f>
        <v>8</v>
      </c>
      <c r="O59" s="64"/>
      <c r="P59" s="17"/>
      <c r="Q59" s="17">
        <v>12</v>
      </c>
      <c r="R59" s="17">
        <v>164</v>
      </c>
      <c r="S59" s="17">
        <v>2</v>
      </c>
      <c r="T59" s="107">
        <v>164</v>
      </c>
      <c r="U59" s="17"/>
      <c r="V59" s="17"/>
      <c r="W59" s="17"/>
      <c r="X59" s="17"/>
      <c r="Y59" s="17"/>
      <c r="Z59" s="17">
        <v>30</v>
      </c>
      <c r="AA59" s="62">
        <v>165</v>
      </c>
      <c r="AB59" s="62"/>
      <c r="AC59" s="62"/>
      <c r="AD59" s="75">
        <f>ROUND(RegrOldLen!$G$18+singleSpecies!AK59*RegrOldLen!$G$19,0)</f>
        <v>30</v>
      </c>
      <c r="AE59" s="43">
        <v>2.1</v>
      </c>
      <c r="AF59" s="106">
        <v>164</v>
      </c>
      <c r="AG59" s="17"/>
      <c r="AH59" s="17"/>
      <c r="AI59" s="34"/>
      <c r="AJ59" s="16">
        <f t="shared" si="0"/>
        <v>1.4771212547196624</v>
      </c>
      <c r="AK59" s="16">
        <f t="shared" si="1"/>
        <v>0.3222192947339193</v>
      </c>
    </row>
    <row r="60" spans="1:37" ht="12.75">
      <c r="A60" s="4" t="s">
        <v>676</v>
      </c>
      <c r="B60" s="17" t="s">
        <v>71</v>
      </c>
      <c r="C60" s="17"/>
      <c r="D60" s="47"/>
      <c r="E60" s="17"/>
      <c r="F60" s="17"/>
      <c r="G60" s="17"/>
      <c r="H60" s="17"/>
      <c r="I60" s="17"/>
      <c r="J60" s="17"/>
      <c r="K60" s="17" t="s">
        <v>73</v>
      </c>
      <c r="L60" s="47">
        <v>10</v>
      </c>
      <c r="M60" s="105" t="s">
        <v>365</v>
      </c>
      <c r="N60" s="64">
        <f>ROUND(L60+((Q60+5)/12),0)</f>
        <v>11</v>
      </c>
      <c r="O60" s="64"/>
      <c r="P60" s="17"/>
      <c r="Q60" s="17">
        <v>12</v>
      </c>
      <c r="R60" s="17">
        <v>42</v>
      </c>
      <c r="S60" s="17">
        <v>3</v>
      </c>
      <c r="T60" s="107">
        <v>42</v>
      </c>
      <c r="U60" s="17"/>
      <c r="V60" s="17"/>
      <c r="W60" s="17"/>
      <c r="X60" s="17"/>
      <c r="Y60" s="17"/>
      <c r="Z60" s="17">
        <v>40</v>
      </c>
      <c r="AA60" s="62">
        <v>42</v>
      </c>
      <c r="AB60" s="62"/>
      <c r="AC60" s="62"/>
      <c r="AD60" s="75">
        <f>ROUND(RegrOldLen!$G$18+singleSpecies!AK60*RegrOldLen!$G$19,0)</f>
        <v>33</v>
      </c>
      <c r="AE60" s="43">
        <v>2.6</v>
      </c>
      <c r="AF60" s="106">
        <v>84</v>
      </c>
      <c r="AG60" s="17"/>
      <c r="AH60" s="17"/>
      <c r="AI60" s="34"/>
      <c r="AJ60" s="16">
        <f t="shared" si="0"/>
        <v>1.6020599913279623</v>
      </c>
      <c r="AK60" s="16">
        <f t="shared" si="1"/>
        <v>0.414973347970818</v>
      </c>
    </row>
    <row r="61" spans="1:37" ht="12.75">
      <c r="A61" s="4" t="s">
        <v>677</v>
      </c>
      <c r="B61" s="17"/>
      <c r="C61" s="17"/>
      <c r="D61" s="47"/>
      <c r="E61" s="17"/>
      <c r="F61" s="17"/>
      <c r="G61" s="17"/>
      <c r="H61" s="17"/>
      <c r="I61" s="17"/>
      <c r="J61" s="17"/>
      <c r="K61" s="17"/>
      <c r="L61" s="47"/>
      <c r="M61" s="106"/>
      <c r="N61" s="79">
        <f>N$60</f>
        <v>11</v>
      </c>
      <c r="O61" s="79"/>
      <c r="P61" s="17"/>
      <c r="Q61" s="17"/>
      <c r="R61" s="17"/>
      <c r="S61" s="79">
        <f>S$60</f>
        <v>3</v>
      </c>
      <c r="T61" s="107"/>
      <c r="U61" s="17"/>
      <c r="V61" s="17"/>
      <c r="W61" s="17"/>
      <c r="X61" s="17"/>
      <c r="Y61" s="17"/>
      <c r="Z61" s="17"/>
      <c r="AA61" s="62"/>
      <c r="AB61" s="62"/>
      <c r="AC61" s="62"/>
      <c r="AD61" s="75">
        <f>ROUND(RegrOldLen!$G$18+singleSpecies!AK61*RegrOldLen!$G$19,0)</f>
        <v>33</v>
      </c>
      <c r="AE61" s="90">
        <f>AE$60</f>
        <v>2.6</v>
      </c>
      <c r="AF61" s="110"/>
      <c r="AG61" s="17"/>
      <c r="AH61" s="17"/>
      <c r="AI61" s="34"/>
      <c r="AJ61" s="16" t="e">
        <f t="shared" si="0"/>
        <v>#NUM!</v>
      </c>
      <c r="AK61" s="16">
        <f t="shared" si="1"/>
        <v>0.414973347970818</v>
      </c>
    </row>
    <row r="62" spans="1:37" ht="22.5">
      <c r="A62" s="4" t="s">
        <v>678</v>
      </c>
      <c r="B62" s="17" t="s">
        <v>679</v>
      </c>
      <c r="C62" s="19">
        <v>0.042</v>
      </c>
      <c r="E62" s="17"/>
      <c r="F62" s="17"/>
      <c r="G62" s="17"/>
      <c r="H62" s="17"/>
      <c r="I62" s="17"/>
      <c r="J62" s="17"/>
      <c r="K62" s="47">
        <v>11.4</v>
      </c>
      <c r="L62" s="47">
        <v>12</v>
      </c>
      <c r="M62" s="106">
        <v>127</v>
      </c>
      <c r="N62" s="18">
        <v>13</v>
      </c>
      <c r="O62" s="18"/>
      <c r="P62" s="17"/>
      <c r="Q62" s="17">
        <v>11.35</v>
      </c>
      <c r="R62" s="17">
        <v>138</v>
      </c>
      <c r="S62" s="102">
        <v>3</v>
      </c>
      <c r="T62" s="107" t="s">
        <v>366</v>
      </c>
      <c r="U62" s="17"/>
      <c r="V62" s="17"/>
      <c r="W62" s="17"/>
      <c r="X62" s="47">
        <v>19.9</v>
      </c>
      <c r="Y62" s="47">
        <v>127</v>
      </c>
      <c r="Z62" s="17">
        <v>45</v>
      </c>
      <c r="AA62" s="62" t="s">
        <v>367</v>
      </c>
      <c r="AB62" s="62"/>
      <c r="AC62" s="62"/>
      <c r="AD62" s="75">
        <f>ROUND(RegrOldLen!$G$18+singleSpecies!AK62*RegrOldLen!$G$19,0)</f>
        <v>33</v>
      </c>
      <c r="AE62" s="43">
        <v>2.5</v>
      </c>
      <c r="AF62" s="106">
        <v>207</v>
      </c>
      <c r="AG62" s="17"/>
      <c r="AH62" s="17"/>
      <c r="AI62" s="34"/>
      <c r="AJ62" s="16">
        <f t="shared" si="0"/>
        <v>1.6532125137753437</v>
      </c>
      <c r="AK62" s="16">
        <f t="shared" si="1"/>
        <v>0.3979400086720376</v>
      </c>
    </row>
    <row r="63" spans="1:37" ht="45">
      <c r="A63" s="4" t="s">
        <v>680</v>
      </c>
      <c r="B63" s="17" t="s">
        <v>165</v>
      </c>
      <c r="C63" s="17"/>
      <c r="E63" s="17"/>
      <c r="F63" s="17"/>
      <c r="G63" s="17"/>
      <c r="H63" s="17"/>
      <c r="I63" s="17"/>
      <c r="J63" s="17"/>
      <c r="K63" s="17">
        <v>9</v>
      </c>
      <c r="L63" s="123">
        <v>9.9</v>
      </c>
      <c r="M63" s="115" t="s">
        <v>371</v>
      </c>
      <c r="N63" s="64">
        <f>ROUND(L63+((Q63+5)/12),0)</f>
        <v>11</v>
      </c>
      <c r="O63" s="64"/>
      <c r="P63" s="17"/>
      <c r="Q63" s="17">
        <v>12</v>
      </c>
      <c r="R63" s="17">
        <v>85</v>
      </c>
      <c r="S63" s="17">
        <v>3.38</v>
      </c>
      <c r="T63" s="107" t="s">
        <v>372</v>
      </c>
      <c r="U63" s="17"/>
      <c r="V63" s="20">
        <v>0.25</v>
      </c>
      <c r="W63" s="17"/>
      <c r="X63" s="47">
        <v>18.1</v>
      </c>
      <c r="Y63" s="47" t="s">
        <v>367</v>
      </c>
      <c r="Z63" s="17">
        <v>49</v>
      </c>
      <c r="AA63" s="62" t="s">
        <v>373</v>
      </c>
      <c r="AB63" s="62"/>
      <c r="AC63" s="62"/>
      <c r="AD63" s="75">
        <f>ROUND(RegrOldLen!$G$18+singleSpecies!AK63*RegrOldLen!$G$19,0)</f>
        <v>33</v>
      </c>
      <c r="AE63" s="43">
        <v>2.5</v>
      </c>
      <c r="AF63" s="106">
        <v>207</v>
      </c>
      <c r="AG63" s="17"/>
      <c r="AH63" s="17"/>
      <c r="AI63" s="34"/>
      <c r="AJ63" s="16">
        <f t="shared" si="0"/>
        <v>1.6901960800285136</v>
      </c>
      <c r="AK63" s="16">
        <f t="shared" si="1"/>
        <v>0.3979400086720376</v>
      </c>
    </row>
    <row r="64" spans="1:37" ht="12.75">
      <c r="A64" s="4" t="s">
        <v>681</v>
      </c>
      <c r="B64" s="17"/>
      <c r="C64" s="17"/>
      <c r="D64" s="47"/>
      <c r="E64" s="17"/>
      <c r="F64" s="17"/>
      <c r="G64" s="17"/>
      <c r="H64" s="17"/>
      <c r="I64" s="17"/>
      <c r="J64" s="17"/>
      <c r="K64" s="17"/>
      <c r="L64" s="47"/>
      <c r="M64" s="106"/>
      <c r="N64" s="79">
        <f>N$66</f>
        <v>7</v>
      </c>
      <c r="O64" s="79"/>
      <c r="P64" s="17"/>
      <c r="Q64" s="17"/>
      <c r="R64" s="17"/>
      <c r="S64" s="79">
        <f>S$66</f>
        <v>3</v>
      </c>
      <c r="T64" s="107"/>
      <c r="U64" s="17"/>
      <c r="V64" s="17"/>
      <c r="W64" s="17"/>
      <c r="X64" s="17"/>
      <c r="Y64" s="17"/>
      <c r="Z64" s="17"/>
      <c r="AA64" s="62"/>
      <c r="AB64" s="62"/>
      <c r="AC64" s="62"/>
      <c r="AD64" s="75">
        <f>ROUND(RegrOldLen!$G$18+singleSpecies!AK64*RegrOldLen!$G$19,0)</f>
        <v>29</v>
      </c>
      <c r="AE64" s="43">
        <v>1.9</v>
      </c>
      <c r="AF64" s="106">
        <v>208</v>
      </c>
      <c r="AG64" s="17"/>
      <c r="AH64" s="17"/>
      <c r="AI64" s="34"/>
      <c r="AJ64" s="16" t="e">
        <f t="shared" si="0"/>
        <v>#NUM!</v>
      </c>
      <c r="AK64" s="16">
        <f t="shared" si="1"/>
        <v>0.2787536009528289</v>
      </c>
    </row>
    <row r="65" spans="1:37" ht="33.75">
      <c r="A65" s="4" t="s">
        <v>682</v>
      </c>
      <c r="B65" s="17" t="s">
        <v>769</v>
      </c>
      <c r="C65" s="17"/>
      <c r="D65" s="47"/>
      <c r="E65" s="52">
        <v>0.76</v>
      </c>
      <c r="F65" s="52">
        <v>80</v>
      </c>
      <c r="G65" s="17"/>
      <c r="H65" s="17"/>
      <c r="I65" s="17"/>
      <c r="J65" s="17"/>
      <c r="K65" s="17" t="s">
        <v>774</v>
      </c>
      <c r="L65" s="47">
        <f>(8+15)/2</f>
        <v>11.5</v>
      </c>
      <c r="M65" s="105">
        <v>80</v>
      </c>
      <c r="N65" s="64">
        <f>ROUND(L65+((Q65+5)/12),0)</f>
        <v>12</v>
      </c>
      <c r="O65" s="64"/>
      <c r="P65" s="17" t="s">
        <v>773</v>
      </c>
      <c r="Q65" s="17"/>
      <c r="R65" s="17"/>
      <c r="S65" s="17">
        <v>3</v>
      </c>
      <c r="T65" s="107">
        <v>80</v>
      </c>
      <c r="U65" s="17"/>
      <c r="V65" s="17">
        <v>0.25</v>
      </c>
      <c r="W65" s="17"/>
      <c r="X65" s="17"/>
      <c r="Y65" s="17"/>
      <c r="Z65" s="17"/>
      <c r="AA65" s="62"/>
      <c r="AB65" s="62"/>
      <c r="AC65" s="62"/>
      <c r="AD65" s="75">
        <f>ROUND(RegrOldLen!$G$18+singleSpecies!AK65*RegrOldLen!$G$19,0)</f>
        <v>31</v>
      </c>
      <c r="AE65" s="43">
        <v>2.29</v>
      </c>
      <c r="AF65" s="106">
        <v>195</v>
      </c>
      <c r="AG65" s="17"/>
      <c r="AH65" s="17"/>
      <c r="AI65" s="34"/>
      <c r="AJ65" s="16" t="e">
        <f t="shared" si="0"/>
        <v>#NUM!</v>
      </c>
      <c r="AK65" s="16">
        <f t="shared" si="1"/>
        <v>0.359835482339888</v>
      </c>
    </row>
    <row r="66" spans="1:37" ht="33.75">
      <c r="A66" s="4" t="s">
        <v>683</v>
      </c>
      <c r="B66" s="17" t="s">
        <v>164</v>
      </c>
      <c r="C66" s="17"/>
      <c r="D66" s="47"/>
      <c r="E66" s="17"/>
      <c r="F66" s="17"/>
      <c r="G66" s="17"/>
      <c r="H66" s="17"/>
      <c r="I66" s="17"/>
      <c r="J66" s="17"/>
      <c r="K66" s="17" t="s">
        <v>167</v>
      </c>
      <c r="L66" s="47">
        <f>(4+7)/2</f>
        <v>5.5</v>
      </c>
      <c r="M66" s="105">
        <v>136</v>
      </c>
      <c r="N66" s="64">
        <f>ROUND(L66+((Q66+5)/12),0)</f>
        <v>7</v>
      </c>
      <c r="O66" s="64"/>
      <c r="P66" s="17"/>
      <c r="Q66" s="17">
        <v>10.5</v>
      </c>
      <c r="R66" s="17">
        <v>136</v>
      </c>
      <c r="S66" s="17">
        <v>3</v>
      </c>
      <c r="T66" s="107">
        <v>136</v>
      </c>
      <c r="U66" s="17"/>
      <c r="V66" s="17">
        <v>0.356</v>
      </c>
      <c r="W66" s="17"/>
      <c r="X66" s="17">
        <v>13.18</v>
      </c>
      <c r="Y66" s="17">
        <v>196</v>
      </c>
      <c r="Z66" s="17">
        <v>26</v>
      </c>
      <c r="AA66" s="62">
        <v>196</v>
      </c>
      <c r="AB66" s="62"/>
      <c r="AC66" s="62"/>
      <c r="AD66" s="75">
        <f>ROUND(RegrOldLen!$G$18+singleSpecies!AK66*RegrOldLen!$G$19,0)</f>
        <v>30</v>
      </c>
      <c r="AE66" s="103">
        <v>2.04</v>
      </c>
      <c r="AF66" s="107">
        <v>136</v>
      </c>
      <c r="AG66" s="17"/>
      <c r="AH66" s="17"/>
      <c r="AI66" s="34"/>
      <c r="AJ66" s="16">
        <f aca="true" t="shared" si="4" ref="AJ66:AJ88">LOG(Z66)</f>
        <v>1.414973347970818</v>
      </c>
      <c r="AK66" s="16">
        <f aca="true" t="shared" si="5" ref="AK66:AK88">LOG(AE66)</f>
        <v>0.3096301674258988</v>
      </c>
    </row>
    <row r="67" spans="1:37" ht="12.75">
      <c r="A67" s="4" t="s">
        <v>684</v>
      </c>
      <c r="B67" s="17" t="s">
        <v>550</v>
      </c>
      <c r="C67" s="17"/>
      <c r="D67" s="47"/>
      <c r="E67" s="17"/>
      <c r="F67" s="17"/>
      <c r="G67" s="17"/>
      <c r="H67" s="17"/>
      <c r="I67" s="17"/>
      <c r="J67" s="17"/>
      <c r="K67" s="17" t="s">
        <v>551</v>
      </c>
      <c r="L67" s="123">
        <v>10</v>
      </c>
      <c r="M67" s="115">
        <v>209</v>
      </c>
      <c r="N67" s="64">
        <f>ROUND(L67+((Q67+5)/12),0)</f>
        <v>10</v>
      </c>
      <c r="O67" s="64"/>
      <c r="P67" s="17"/>
      <c r="Q67" s="63"/>
      <c r="R67" s="63"/>
      <c r="S67" s="66"/>
      <c r="T67" s="116"/>
      <c r="U67" s="76"/>
      <c r="V67" s="17"/>
      <c r="W67" s="17"/>
      <c r="X67" s="17"/>
      <c r="Y67" s="17"/>
      <c r="Z67" s="17">
        <v>32</v>
      </c>
      <c r="AA67" s="62" t="s">
        <v>368</v>
      </c>
      <c r="AB67" s="62"/>
      <c r="AC67" s="62"/>
      <c r="AD67" s="75">
        <f>ROUND(RegrOldLen!$G$18+singleSpecies!AK67*RegrOldLen!$G$19,0)</f>
        <v>33</v>
      </c>
      <c r="AE67" s="103">
        <v>2.55</v>
      </c>
      <c r="AF67" s="107">
        <v>209</v>
      </c>
      <c r="AG67" s="17"/>
      <c r="AH67" s="17"/>
      <c r="AI67" s="34"/>
      <c r="AJ67" s="16">
        <f t="shared" si="4"/>
        <v>1.505149978319906</v>
      </c>
      <c r="AK67" s="16">
        <f t="shared" si="5"/>
        <v>0.4065401804339551</v>
      </c>
    </row>
    <row r="68" spans="1:37" ht="45">
      <c r="A68" s="4" t="s">
        <v>685</v>
      </c>
      <c r="B68" s="17" t="s">
        <v>497</v>
      </c>
      <c r="C68" s="17"/>
      <c r="D68" s="47"/>
      <c r="E68" s="17">
        <f>E69</f>
        <v>0.76</v>
      </c>
      <c r="F68" s="17"/>
      <c r="G68" s="17">
        <f>G69</f>
        <v>0.95</v>
      </c>
      <c r="H68" s="17"/>
      <c r="I68" s="17"/>
      <c r="J68" s="17"/>
      <c r="K68" s="17" t="s">
        <v>560</v>
      </c>
      <c r="L68" s="83">
        <f>L69</f>
        <v>10.3</v>
      </c>
      <c r="M68" s="105"/>
      <c r="N68" s="64">
        <f>N69</f>
        <v>9.48</v>
      </c>
      <c r="O68" s="64"/>
      <c r="P68" s="17"/>
      <c r="Q68" s="17">
        <v>12</v>
      </c>
      <c r="R68" s="17">
        <v>140</v>
      </c>
      <c r="S68" s="79">
        <f>S$69</f>
        <v>3.8</v>
      </c>
      <c r="T68" s="107"/>
      <c r="U68" s="17"/>
      <c r="V68" s="17"/>
      <c r="W68" s="17"/>
      <c r="X68" s="17"/>
      <c r="Y68" s="17"/>
      <c r="Z68" s="17"/>
      <c r="AA68" s="62"/>
      <c r="AB68" s="62"/>
      <c r="AC68" s="62"/>
      <c r="AD68" s="75">
        <f>ROUND(RegrOldLen!$G$18+singleSpecies!AK68*RegrOldLen!$G$19,0)</f>
        <v>33</v>
      </c>
      <c r="AE68" s="43">
        <v>2.54</v>
      </c>
      <c r="AF68" s="106" t="s">
        <v>440</v>
      </c>
      <c r="AG68" s="17"/>
      <c r="AH68" s="17"/>
      <c r="AI68" s="34"/>
      <c r="AJ68" s="16" t="e">
        <f t="shared" si="4"/>
        <v>#NUM!</v>
      </c>
      <c r="AK68" s="16">
        <f t="shared" si="5"/>
        <v>0.40483371661993806</v>
      </c>
    </row>
    <row r="69" spans="1:37" ht="56.25">
      <c r="A69" s="4" t="s">
        <v>686</v>
      </c>
      <c r="B69" s="22" t="s">
        <v>274</v>
      </c>
      <c r="C69" s="17"/>
      <c r="D69" s="47"/>
      <c r="E69" s="17">
        <v>0.76</v>
      </c>
      <c r="F69" s="17" t="s">
        <v>369</v>
      </c>
      <c r="G69" s="17">
        <v>0.95</v>
      </c>
      <c r="H69" s="17" t="s">
        <v>369</v>
      </c>
      <c r="I69" s="17">
        <f>E69/G69</f>
        <v>0.8</v>
      </c>
      <c r="J69" s="17">
        <f>G69^2</f>
        <v>0.9025</v>
      </c>
      <c r="K69" s="21">
        <v>11</v>
      </c>
      <c r="L69" s="48">
        <v>10.3</v>
      </c>
      <c r="M69" s="17" t="s">
        <v>369</v>
      </c>
      <c r="N69" s="64">
        <v>9.48</v>
      </c>
      <c r="O69" s="64" t="s">
        <v>369</v>
      </c>
      <c r="P69" s="17"/>
      <c r="Q69" s="21">
        <v>12</v>
      </c>
      <c r="R69" s="21">
        <v>41</v>
      </c>
      <c r="S69" s="21">
        <v>3.8</v>
      </c>
      <c r="T69" s="107" t="s">
        <v>369</v>
      </c>
      <c r="U69" s="21"/>
      <c r="V69" s="21"/>
      <c r="W69" s="21">
        <v>0.068</v>
      </c>
      <c r="X69" s="21"/>
      <c r="Y69" s="21"/>
      <c r="Z69" s="21">
        <v>48</v>
      </c>
      <c r="AA69" s="17" t="s">
        <v>369</v>
      </c>
      <c r="AB69" s="100"/>
      <c r="AC69" s="100"/>
      <c r="AD69" s="75">
        <f>ROUND(RegrOldLen!$G$18+singleSpecies!AK69*RegrOldLen!$G$19,0)</f>
        <v>37</v>
      </c>
      <c r="AE69" s="125">
        <v>3.67</v>
      </c>
      <c r="AF69" s="107" t="s">
        <v>370</v>
      </c>
      <c r="AG69" s="21"/>
      <c r="AH69" s="17"/>
      <c r="AI69" s="34"/>
      <c r="AJ69" s="16">
        <f t="shared" si="4"/>
        <v>1.6812412373755872</v>
      </c>
      <c r="AK69" s="16">
        <f t="shared" si="5"/>
        <v>0.5646660642520893</v>
      </c>
    </row>
    <row r="70" spans="1:39" s="89" customFormat="1" ht="12.75">
      <c r="A70" s="85" t="s">
        <v>705</v>
      </c>
      <c r="B70" s="66"/>
      <c r="C70" s="66"/>
      <c r="D70" s="86"/>
      <c r="E70" s="66"/>
      <c r="F70" s="66"/>
      <c r="G70" s="66"/>
      <c r="H70" s="66"/>
      <c r="I70" s="66"/>
      <c r="J70" s="66"/>
      <c r="K70" s="66"/>
      <c r="L70" s="86"/>
      <c r="M70" s="109"/>
      <c r="N70" s="66"/>
      <c r="O70" s="66"/>
      <c r="P70" s="66"/>
      <c r="Q70" s="66"/>
      <c r="R70" s="66"/>
      <c r="S70" s="66"/>
      <c r="T70" s="116"/>
      <c r="U70" s="66"/>
      <c r="V70" s="66"/>
      <c r="W70" s="66"/>
      <c r="X70" s="66"/>
      <c r="Y70" s="66"/>
      <c r="Z70" s="66"/>
      <c r="AA70" s="98"/>
      <c r="AB70" s="98"/>
      <c r="AC70" s="98"/>
      <c r="AD70" s="75">
        <f>ROUND(RegrOldLen!$G$18+singleSpecies!AK70*RegrOldLen!$G$19,0)</f>
        <v>32</v>
      </c>
      <c r="AE70" s="87">
        <v>2.43</v>
      </c>
      <c r="AF70" s="109">
        <v>140</v>
      </c>
      <c r="AG70" s="66"/>
      <c r="AH70" s="66"/>
      <c r="AI70" s="88"/>
      <c r="AJ70" s="89" t="e">
        <f t="shared" si="4"/>
        <v>#NUM!</v>
      </c>
      <c r="AK70" s="89">
        <f t="shared" si="5"/>
        <v>0.38560627359831223</v>
      </c>
      <c r="AL70" s="16"/>
      <c r="AM70" s="16"/>
    </row>
    <row r="71" spans="1:37" ht="56.25">
      <c r="A71" s="4" t="s">
        <v>706</v>
      </c>
      <c r="B71" s="17" t="s">
        <v>262</v>
      </c>
      <c r="C71" s="17"/>
      <c r="D71" s="47"/>
      <c r="E71" s="17"/>
      <c r="F71" s="17"/>
      <c r="G71" s="17"/>
      <c r="H71" s="17"/>
      <c r="I71" s="17"/>
      <c r="J71" s="17"/>
      <c r="K71" s="17" t="s">
        <v>959</v>
      </c>
      <c r="L71" s="123">
        <v>9</v>
      </c>
      <c r="M71" s="115">
        <v>89</v>
      </c>
      <c r="N71" s="64">
        <f>ROUND(L71+((Q71+5)/12),0)</f>
        <v>11</v>
      </c>
      <c r="O71" s="64"/>
      <c r="P71" s="17"/>
      <c r="Q71" s="17">
        <v>15</v>
      </c>
      <c r="R71" s="17" t="s">
        <v>374</v>
      </c>
      <c r="S71" s="102">
        <v>6.9</v>
      </c>
      <c r="T71" s="107">
        <v>89</v>
      </c>
      <c r="U71" s="17"/>
      <c r="V71" s="17"/>
      <c r="W71" s="17"/>
      <c r="X71" s="17"/>
      <c r="Y71" s="17"/>
      <c r="Z71" s="17">
        <v>40</v>
      </c>
      <c r="AA71" s="62">
        <v>89</v>
      </c>
      <c r="AB71" s="62">
        <v>60</v>
      </c>
      <c r="AC71" s="62" t="s">
        <v>387</v>
      </c>
      <c r="AD71" s="75">
        <f>ROUND(RegrOldLen!$G$18+singleSpecies!AK71*RegrOldLen!$G$19,0)</f>
        <v>43</v>
      </c>
      <c r="AE71" s="103">
        <v>5.5</v>
      </c>
      <c r="AF71" s="107">
        <v>140</v>
      </c>
      <c r="AG71" s="17"/>
      <c r="AH71" s="17"/>
      <c r="AI71" s="34"/>
      <c r="AJ71" s="16">
        <f t="shared" si="4"/>
        <v>1.6020599913279623</v>
      </c>
      <c r="AK71" s="16">
        <f t="shared" si="5"/>
        <v>0.7403626894942439</v>
      </c>
    </row>
    <row r="72" spans="1:37" ht="45">
      <c r="A72" s="4" t="s">
        <v>707</v>
      </c>
      <c r="B72" s="17" t="s">
        <v>497</v>
      </c>
      <c r="C72" s="17"/>
      <c r="D72" s="47"/>
      <c r="E72" s="17"/>
      <c r="F72" s="17"/>
      <c r="G72" s="17"/>
      <c r="H72" s="17"/>
      <c r="I72" s="17"/>
      <c r="J72" s="17"/>
      <c r="K72" s="17" t="s">
        <v>555</v>
      </c>
      <c r="L72" s="47">
        <f>(8+13)/2</f>
        <v>10.5</v>
      </c>
      <c r="M72" s="105" t="s">
        <v>375</v>
      </c>
      <c r="N72" s="64">
        <f>ROUND(L72+((Q72+5)/12),0)</f>
        <v>12</v>
      </c>
      <c r="O72" s="64"/>
      <c r="P72" s="17"/>
      <c r="Q72" s="17">
        <v>16</v>
      </c>
      <c r="R72" s="17">
        <v>140</v>
      </c>
      <c r="S72" s="102">
        <v>3.3</v>
      </c>
      <c r="T72" s="107">
        <v>170</v>
      </c>
      <c r="U72" s="17"/>
      <c r="V72" s="17"/>
      <c r="W72" s="17"/>
      <c r="X72" s="17"/>
      <c r="Y72" s="17"/>
      <c r="Z72" s="79">
        <f>Z71</f>
        <v>40</v>
      </c>
      <c r="AA72" s="62"/>
      <c r="AB72" s="79">
        <f>AB71</f>
        <v>60</v>
      </c>
      <c r="AC72" s="62"/>
      <c r="AD72" s="75">
        <f>ROUND(RegrOldLen!$G$18+singleSpecies!AK72*RegrOldLen!$G$19,0)</f>
        <v>43</v>
      </c>
      <c r="AE72" s="103">
        <v>5.7</v>
      </c>
      <c r="AF72" s="107">
        <v>140</v>
      </c>
      <c r="AG72" s="17"/>
      <c r="AH72" s="17"/>
      <c r="AI72" s="34"/>
      <c r="AJ72" s="16">
        <f t="shared" si="4"/>
        <v>1.6020599913279623</v>
      </c>
      <c r="AK72" s="16">
        <f t="shared" si="5"/>
        <v>0.7558748556724915</v>
      </c>
    </row>
    <row r="73" spans="1:37" ht="45">
      <c r="A73" s="4" t="s">
        <v>708</v>
      </c>
      <c r="B73" s="17" t="s">
        <v>497</v>
      </c>
      <c r="C73" s="17"/>
      <c r="D73" s="47"/>
      <c r="E73" s="17"/>
      <c r="F73" s="17"/>
      <c r="G73" s="17"/>
      <c r="H73" s="17"/>
      <c r="I73" s="17"/>
      <c r="J73" s="17"/>
      <c r="K73" s="17" t="s">
        <v>561</v>
      </c>
      <c r="L73" s="47">
        <f>(8+10)/2</f>
        <v>9</v>
      </c>
      <c r="M73" s="106" t="s">
        <v>376</v>
      </c>
      <c r="N73" s="17">
        <f>ROUND(L73+((Q73+5)/12),0)</f>
        <v>11</v>
      </c>
      <c r="O73" s="17"/>
      <c r="P73" s="17"/>
      <c r="Q73" s="17">
        <v>13.5</v>
      </c>
      <c r="R73" s="17"/>
      <c r="S73" s="17">
        <v>2.4</v>
      </c>
      <c r="T73" s="107"/>
      <c r="U73" s="17"/>
      <c r="V73" s="17"/>
      <c r="W73" s="17"/>
      <c r="X73" s="17"/>
      <c r="Y73" s="17"/>
      <c r="Z73" s="17"/>
      <c r="AA73" s="62"/>
      <c r="AB73" s="62"/>
      <c r="AC73" s="62"/>
      <c r="AD73" s="75">
        <f>ROUND(RegrOldLen!$G$18+singleSpecies!AK73*RegrOldLen!$G$19,0)</f>
        <v>37</v>
      </c>
      <c r="AE73" s="43">
        <v>3.66</v>
      </c>
      <c r="AF73" s="106">
        <v>140</v>
      </c>
      <c r="AG73" s="17"/>
      <c r="AH73" s="17"/>
      <c r="AI73" s="34"/>
      <c r="AJ73" s="16" t="e">
        <f t="shared" si="4"/>
        <v>#NUM!</v>
      </c>
      <c r="AK73" s="16">
        <f t="shared" si="5"/>
        <v>0.5634810853944107</v>
      </c>
    </row>
    <row r="74" spans="1:37" ht="12.75">
      <c r="A74" s="4" t="s">
        <v>709</v>
      </c>
      <c r="B74" s="17"/>
      <c r="C74" s="17">
        <v>0.012</v>
      </c>
      <c r="D74" s="47"/>
      <c r="E74" s="17"/>
      <c r="F74" s="17"/>
      <c r="G74" s="17"/>
      <c r="H74" s="17"/>
      <c r="I74" s="17"/>
      <c r="J74" s="17"/>
      <c r="K74" s="17"/>
      <c r="L74" s="47"/>
      <c r="M74" s="106"/>
      <c r="N74" s="17">
        <v>9</v>
      </c>
      <c r="O74" s="17">
        <v>115</v>
      </c>
      <c r="P74" s="17"/>
      <c r="Q74" s="17"/>
      <c r="R74" s="17"/>
      <c r="S74" s="66"/>
      <c r="T74" s="116"/>
      <c r="U74" s="17"/>
      <c r="V74" s="17"/>
      <c r="W74" s="17">
        <v>0.042</v>
      </c>
      <c r="X74" s="17"/>
      <c r="Y74" s="17"/>
      <c r="Z74" s="17">
        <v>28</v>
      </c>
      <c r="AA74" s="62">
        <v>115</v>
      </c>
      <c r="AB74" s="62"/>
      <c r="AC74" s="62"/>
      <c r="AD74" s="75">
        <f>ROUND(RegrOldLen!$G$18+singleSpecies!AK74*RegrOldLen!$G$19,0)</f>
        <v>32</v>
      </c>
      <c r="AE74" s="43">
        <v>2.34</v>
      </c>
      <c r="AF74" s="106" t="s">
        <v>377</v>
      </c>
      <c r="AG74" s="17"/>
      <c r="AH74" s="17"/>
      <c r="AI74" s="34"/>
      <c r="AJ74" s="16">
        <f t="shared" si="4"/>
        <v>1.4471580313422192</v>
      </c>
      <c r="AK74" s="16">
        <f t="shared" si="5"/>
        <v>0.3692158574101428</v>
      </c>
    </row>
    <row r="75" spans="1:35" ht="12.75">
      <c r="A75" s="4" t="s">
        <v>710</v>
      </c>
      <c r="B75" s="17"/>
      <c r="C75" s="17"/>
      <c r="D75" s="47"/>
      <c r="E75" s="17"/>
      <c r="F75" s="17"/>
      <c r="G75" s="17"/>
      <c r="H75" s="17"/>
      <c r="I75" s="17"/>
      <c r="J75" s="17"/>
      <c r="K75" s="17"/>
      <c r="L75" s="47"/>
      <c r="M75" s="106"/>
      <c r="N75" s="79">
        <f>N$74</f>
        <v>9</v>
      </c>
      <c r="O75" s="79"/>
      <c r="P75" s="17"/>
      <c r="Q75" s="17"/>
      <c r="R75" s="17"/>
      <c r="S75" s="66"/>
      <c r="T75" s="116"/>
      <c r="U75" s="17"/>
      <c r="V75" s="17"/>
      <c r="W75" s="17"/>
      <c r="X75" s="17"/>
      <c r="Y75" s="17"/>
      <c r="Z75" s="17"/>
      <c r="AA75" s="62"/>
      <c r="AB75" s="62"/>
      <c r="AC75" s="62"/>
      <c r="AD75" s="75">
        <f>ROUND(RegrOldLen!$G$18+singleSpecies!AK75*RegrOldLen!$G$19,0)</f>
        <v>21</v>
      </c>
      <c r="AE75" s="43"/>
      <c r="AF75" s="106"/>
      <c r="AG75" s="17"/>
      <c r="AH75" s="17"/>
      <c r="AI75" s="34"/>
    </row>
    <row r="76" spans="1:37" ht="33.75">
      <c r="A76" s="4" t="s">
        <v>716</v>
      </c>
      <c r="B76" s="17" t="s">
        <v>717</v>
      </c>
      <c r="C76" s="17"/>
      <c r="D76" s="47">
        <v>26.5</v>
      </c>
      <c r="E76" s="17">
        <v>0.91</v>
      </c>
      <c r="F76" s="17" t="s">
        <v>379</v>
      </c>
      <c r="G76" s="17">
        <v>0.99</v>
      </c>
      <c r="H76" s="17" t="s">
        <v>379</v>
      </c>
      <c r="I76" s="17">
        <f>E76/G76</f>
        <v>0.9191919191919192</v>
      </c>
      <c r="J76" s="17">
        <f>G76^2</f>
        <v>0.9801</v>
      </c>
      <c r="K76" s="17"/>
      <c r="L76" s="47">
        <v>9</v>
      </c>
      <c r="M76" s="106"/>
      <c r="N76" s="17">
        <v>14.4</v>
      </c>
      <c r="O76" s="17">
        <v>132</v>
      </c>
      <c r="P76" s="17"/>
      <c r="Q76" s="17">
        <v>12</v>
      </c>
      <c r="R76" s="17">
        <v>140</v>
      </c>
      <c r="S76" s="102">
        <v>5.02</v>
      </c>
      <c r="T76" s="107" t="s">
        <v>380</v>
      </c>
      <c r="U76" s="17"/>
      <c r="V76" s="17"/>
      <c r="W76" s="17"/>
      <c r="X76" s="17"/>
      <c r="Y76" s="17"/>
      <c r="Z76" s="17">
        <v>41</v>
      </c>
      <c r="AA76" s="62" t="s">
        <v>356</v>
      </c>
      <c r="AB76" s="62">
        <v>75</v>
      </c>
      <c r="AC76" s="62" t="s">
        <v>356</v>
      </c>
      <c r="AD76" s="75">
        <f>ROUND(RegrOldLen!$G$18+singleSpecies!AK76*RegrOldLen!$G$19,0)</f>
        <v>48</v>
      </c>
      <c r="AE76" s="126">
        <v>8.53</v>
      </c>
      <c r="AF76" s="127">
        <v>140</v>
      </c>
      <c r="AG76" s="17"/>
      <c r="AH76" s="17"/>
      <c r="AI76" s="34"/>
      <c r="AJ76" s="16">
        <f t="shared" si="4"/>
        <v>1.6127838567197355</v>
      </c>
      <c r="AK76" s="16">
        <f t="shared" si="5"/>
        <v>0.930949031167523</v>
      </c>
    </row>
    <row r="77" spans="1:37" ht="25.5">
      <c r="A77" s="4" t="s">
        <v>718</v>
      </c>
      <c r="B77" s="17" t="s">
        <v>552</v>
      </c>
      <c r="C77" s="17"/>
      <c r="D77" s="47"/>
      <c r="E77" s="17"/>
      <c r="F77" s="17"/>
      <c r="G77" s="17"/>
      <c r="H77" s="17"/>
      <c r="I77" s="17"/>
      <c r="J77" s="17"/>
      <c r="K77" s="17" t="s">
        <v>553</v>
      </c>
      <c r="L77" s="47">
        <v>11.5</v>
      </c>
      <c r="M77" s="105" t="s">
        <v>381</v>
      </c>
      <c r="N77" s="64">
        <f>ROUND(L77+((Q77+5)/12),0)</f>
        <v>13</v>
      </c>
      <c r="O77" s="64"/>
      <c r="P77" s="17"/>
      <c r="Q77" s="17">
        <v>12</v>
      </c>
      <c r="R77" s="17" t="s">
        <v>381</v>
      </c>
      <c r="S77" s="66"/>
      <c r="T77" s="116"/>
      <c r="U77" s="17"/>
      <c r="V77" s="17"/>
      <c r="W77" s="17"/>
      <c r="X77" s="17"/>
      <c r="Y77" s="17"/>
      <c r="Z77" s="17"/>
      <c r="AA77" s="62"/>
      <c r="AB77" s="62"/>
      <c r="AC77" s="62"/>
      <c r="AD77" s="75">
        <f>ROUND(RegrOldLen!$G$18+singleSpecies!AK77*RegrOldLen!$G$19,0)</f>
        <v>34</v>
      </c>
      <c r="AE77" s="43">
        <v>2.78</v>
      </c>
      <c r="AF77" s="106" t="s">
        <v>381</v>
      </c>
      <c r="AG77" s="17"/>
      <c r="AH77" s="17"/>
      <c r="AI77" s="34"/>
      <c r="AJ77" s="16" t="e">
        <f t="shared" si="4"/>
        <v>#NUM!</v>
      </c>
      <c r="AK77" s="16">
        <f t="shared" si="5"/>
        <v>0.4440447959180762</v>
      </c>
    </row>
    <row r="78" spans="1:37" ht="22.5">
      <c r="A78" s="4" t="s">
        <v>719</v>
      </c>
      <c r="B78" s="17" t="s">
        <v>501</v>
      </c>
      <c r="C78" s="17"/>
      <c r="D78" s="47"/>
      <c r="E78" s="17"/>
      <c r="F78" s="17"/>
      <c r="G78" s="17"/>
      <c r="H78" s="17"/>
      <c r="I78" s="17"/>
      <c r="J78" s="17"/>
      <c r="K78" s="17" t="s">
        <v>554</v>
      </c>
      <c r="L78" s="47">
        <f>(8+14)/2</f>
        <v>11</v>
      </c>
      <c r="M78" s="105">
        <v>150</v>
      </c>
      <c r="N78" s="64">
        <f>ROUND(L78+((Q78+5)/12),0)</f>
        <v>12</v>
      </c>
      <c r="O78" s="64"/>
      <c r="P78" s="17"/>
      <c r="Q78" s="17">
        <v>12</v>
      </c>
      <c r="R78" s="17"/>
      <c r="S78" s="66"/>
      <c r="T78" s="116"/>
      <c r="U78" s="17"/>
      <c r="V78" s="17"/>
      <c r="W78" s="17"/>
      <c r="X78" s="17"/>
      <c r="Y78" s="17"/>
      <c r="Z78" s="17"/>
      <c r="AA78" s="62"/>
      <c r="AB78" s="62"/>
      <c r="AC78" s="62"/>
      <c r="AD78" s="75">
        <f>ROUND(RegrOldLen!$G$18+singleSpecies!AK78*RegrOldLen!$G$19,0)</f>
        <v>41</v>
      </c>
      <c r="AE78" s="43">
        <v>5</v>
      </c>
      <c r="AF78" s="106"/>
      <c r="AG78" s="17"/>
      <c r="AH78" s="17"/>
      <c r="AI78" s="34"/>
      <c r="AJ78" s="16" t="e">
        <f t="shared" si="4"/>
        <v>#NUM!</v>
      </c>
      <c r="AK78" s="16">
        <f t="shared" si="5"/>
        <v>0.6989700043360189</v>
      </c>
    </row>
    <row r="79" spans="1:37" ht="25.5">
      <c r="A79" s="4" t="s">
        <v>720</v>
      </c>
      <c r="B79" s="17" t="s">
        <v>751</v>
      </c>
      <c r="C79" s="24"/>
      <c r="D79" s="47"/>
      <c r="E79" s="17"/>
      <c r="F79" s="17"/>
      <c r="G79" s="17"/>
      <c r="H79" s="17"/>
      <c r="I79" s="17"/>
      <c r="J79" s="17"/>
      <c r="K79" s="17"/>
      <c r="L79" s="47">
        <v>6.3</v>
      </c>
      <c r="M79" s="105" t="s">
        <v>382</v>
      </c>
      <c r="N79" s="64">
        <f>ROUND(L79+((Q79+5)/12),0)</f>
        <v>8</v>
      </c>
      <c r="O79" s="64"/>
      <c r="P79" s="17"/>
      <c r="Q79" s="17">
        <v>11</v>
      </c>
      <c r="R79" s="17">
        <v>65</v>
      </c>
      <c r="S79" s="17">
        <v>2</v>
      </c>
      <c r="T79" s="107" t="s">
        <v>278</v>
      </c>
      <c r="U79" s="17"/>
      <c r="V79" s="17"/>
      <c r="W79" s="17">
        <v>0.175</v>
      </c>
      <c r="X79" s="17"/>
      <c r="Y79" s="17"/>
      <c r="Z79" s="17">
        <v>33</v>
      </c>
      <c r="AA79" s="62">
        <v>83</v>
      </c>
      <c r="AB79" s="62"/>
      <c r="AC79" s="62"/>
      <c r="AD79" s="75">
        <f>ROUND(RegrOldLen!$G$18+singleSpecies!AK79*RegrOldLen!$G$19,0)</f>
        <v>27</v>
      </c>
      <c r="AE79" s="103">
        <v>1.61</v>
      </c>
      <c r="AF79" s="107">
        <v>83</v>
      </c>
      <c r="AG79" s="17"/>
      <c r="AH79" s="17"/>
      <c r="AI79" s="34"/>
      <c r="AJ79" s="16">
        <f t="shared" si="4"/>
        <v>1.5185139398778875</v>
      </c>
      <c r="AK79" s="16">
        <f t="shared" si="5"/>
        <v>0.20682587603184974</v>
      </c>
    </row>
    <row r="80" spans="1:37" ht="33.75">
      <c r="A80" s="4" t="s">
        <v>721</v>
      </c>
      <c r="B80" s="17" t="s">
        <v>421</v>
      </c>
      <c r="C80" s="17"/>
      <c r="D80" s="47"/>
      <c r="E80" s="17"/>
      <c r="F80" s="17"/>
      <c r="G80" s="17"/>
      <c r="H80" s="17"/>
      <c r="I80" s="17"/>
      <c r="J80" s="17"/>
      <c r="K80" s="17"/>
      <c r="L80" s="47"/>
      <c r="M80" s="106"/>
      <c r="N80" s="79">
        <f>ROUND(AVERAGE(N$81,N$82),0)</f>
        <v>6</v>
      </c>
      <c r="O80" s="79"/>
      <c r="P80" s="17"/>
      <c r="Q80" s="17"/>
      <c r="R80" s="17"/>
      <c r="S80" s="79">
        <f>AVERAGE(S$81,S$82)</f>
        <v>1.5</v>
      </c>
      <c r="T80" s="107"/>
      <c r="U80" s="17"/>
      <c r="V80" s="17"/>
      <c r="W80" s="17"/>
      <c r="X80" s="17"/>
      <c r="Y80" s="17"/>
      <c r="Z80" s="17"/>
      <c r="AA80" s="62"/>
      <c r="AB80" s="62"/>
      <c r="AC80" s="62"/>
      <c r="AD80" s="75">
        <f>ROUND(RegrOldLen!$G$18+singleSpecies!AK80*RegrOldLen!$G$19,0)</f>
        <v>30</v>
      </c>
      <c r="AE80" s="43">
        <v>2.03</v>
      </c>
      <c r="AF80" s="106">
        <v>71</v>
      </c>
      <c r="AG80" s="17"/>
      <c r="AH80" s="17"/>
      <c r="AI80" s="34"/>
      <c r="AJ80" s="16" t="e">
        <f t="shared" si="4"/>
        <v>#NUM!</v>
      </c>
      <c r="AK80" s="16">
        <f t="shared" si="5"/>
        <v>0.3074960379132129</v>
      </c>
    </row>
    <row r="81" spans="1:37" ht="45">
      <c r="A81" s="4" t="s">
        <v>722</v>
      </c>
      <c r="B81" s="17" t="s">
        <v>51</v>
      </c>
      <c r="C81" s="24" t="s">
        <v>323</v>
      </c>
      <c r="D81" s="47">
        <v>9.1</v>
      </c>
      <c r="E81" s="17"/>
      <c r="F81" s="17"/>
      <c r="G81" s="17"/>
      <c r="H81" s="17"/>
      <c r="I81" s="17"/>
      <c r="J81" s="17"/>
      <c r="K81" s="17" t="s">
        <v>53</v>
      </c>
      <c r="L81" s="47">
        <v>3.5</v>
      </c>
      <c r="M81" s="105">
        <v>33</v>
      </c>
      <c r="N81" s="64">
        <f>ROUND(L81+((Q81+5)/12),0)</f>
        <v>5</v>
      </c>
      <c r="O81" s="64"/>
      <c r="P81" s="17"/>
      <c r="Q81" s="102">
        <v>11</v>
      </c>
      <c r="R81" s="102">
        <v>65</v>
      </c>
      <c r="S81" s="102">
        <v>1</v>
      </c>
      <c r="T81" s="107">
        <v>33</v>
      </c>
      <c r="U81" s="17"/>
      <c r="V81" s="17"/>
      <c r="W81" s="17"/>
      <c r="X81" s="17"/>
      <c r="Y81" s="17"/>
      <c r="Z81" s="17">
        <v>24</v>
      </c>
      <c r="AA81" s="62">
        <v>109</v>
      </c>
      <c r="AB81" s="62"/>
      <c r="AC81" s="62"/>
      <c r="AD81" s="75">
        <f>ROUND(RegrOldLen!$G$18+singleSpecies!AK81*RegrOldLen!$G$19,0)</f>
        <v>27</v>
      </c>
      <c r="AE81" s="43">
        <v>1.63</v>
      </c>
      <c r="AF81" s="106">
        <v>156</v>
      </c>
      <c r="AG81" s="17"/>
      <c r="AH81" s="17"/>
      <c r="AI81" s="34"/>
      <c r="AJ81" s="16">
        <f t="shared" si="4"/>
        <v>1.380211241711606</v>
      </c>
      <c r="AK81" s="16">
        <f t="shared" si="5"/>
        <v>0.21218760440395779</v>
      </c>
    </row>
    <row r="82" spans="1:37" ht="45">
      <c r="A82" s="4" t="s">
        <v>724</v>
      </c>
      <c r="B82" s="17" t="s">
        <v>221</v>
      </c>
      <c r="C82" s="17"/>
      <c r="D82" s="47">
        <v>10</v>
      </c>
      <c r="E82" s="17"/>
      <c r="F82" s="17"/>
      <c r="G82" s="17"/>
      <c r="H82" s="17"/>
      <c r="I82" s="17"/>
      <c r="J82" s="17"/>
      <c r="K82" s="17" t="s">
        <v>225</v>
      </c>
      <c r="L82" s="47">
        <f>(3+6)/2</f>
        <v>4.5</v>
      </c>
      <c r="M82" s="105">
        <v>81</v>
      </c>
      <c r="N82" s="64">
        <f>ROUND(L82+((Q82+5)/12),0)</f>
        <v>6</v>
      </c>
      <c r="O82" s="64"/>
      <c r="P82" s="17"/>
      <c r="Q82" s="79">
        <f>Q81</f>
        <v>11</v>
      </c>
      <c r="R82" s="76"/>
      <c r="S82" s="17">
        <v>2</v>
      </c>
      <c r="T82" s="107">
        <v>81</v>
      </c>
      <c r="U82" s="17"/>
      <c r="V82" s="17"/>
      <c r="W82" s="17"/>
      <c r="X82" s="17">
        <v>10</v>
      </c>
      <c r="Y82" s="17"/>
      <c r="Z82" s="17">
        <v>21</v>
      </c>
      <c r="AA82" s="62">
        <v>81</v>
      </c>
      <c r="AB82" s="62"/>
      <c r="AC82" s="62"/>
      <c r="AD82" s="75">
        <f>ROUND(RegrOldLen!$G$18+singleSpecies!AK82*RegrOldLen!$G$19,0)</f>
        <v>25</v>
      </c>
      <c r="AE82" s="103">
        <v>1.41</v>
      </c>
      <c r="AF82" s="107">
        <v>81</v>
      </c>
      <c r="AG82" s="17"/>
      <c r="AH82" s="17"/>
      <c r="AI82" s="34"/>
      <c r="AJ82" s="16">
        <f t="shared" si="4"/>
        <v>1.3222192947339193</v>
      </c>
      <c r="AK82" s="16">
        <f t="shared" si="5"/>
        <v>0.14921911265537988</v>
      </c>
    </row>
    <row r="83" spans="1:37" ht="67.5">
      <c r="A83" s="4" t="s">
        <v>725</v>
      </c>
      <c r="B83" s="17" t="s">
        <v>419</v>
      </c>
      <c r="C83" s="17"/>
      <c r="D83" s="47"/>
      <c r="E83" s="17"/>
      <c r="F83" s="17"/>
      <c r="G83" s="17"/>
      <c r="H83" s="17"/>
      <c r="I83" s="17"/>
      <c r="J83" s="17"/>
      <c r="K83" s="17"/>
      <c r="L83" s="47"/>
      <c r="M83" s="106"/>
      <c r="N83" s="79">
        <f>ROUND(AVERAGE(N$81,N$82),0)</f>
        <v>6</v>
      </c>
      <c r="O83" s="79"/>
      <c r="P83" s="17"/>
      <c r="Q83" s="17">
        <v>12</v>
      </c>
      <c r="R83" s="17">
        <v>159</v>
      </c>
      <c r="S83" s="79">
        <f>AVERAGE(S$81,S$82)</f>
        <v>1.5</v>
      </c>
      <c r="T83" s="107"/>
      <c r="U83" s="17"/>
      <c r="V83" s="17">
        <v>0.6</v>
      </c>
      <c r="W83" s="17"/>
      <c r="X83" s="17"/>
      <c r="Y83" s="17"/>
      <c r="Z83" s="17"/>
      <c r="AA83" s="62"/>
      <c r="AB83" s="62"/>
      <c r="AC83" s="62"/>
      <c r="AD83" s="75">
        <f>ROUND(RegrOldLen!$G$18+singleSpecies!AK83*RegrOldLen!$G$19,0)</f>
        <v>30</v>
      </c>
      <c r="AE83" s="103">
        <v>2</v>
      </c>
      <c r="AF83" s="107">
        <v>45</v>
      </c>
      <c r="AG83" s="17"/>
      <c r="AH83" s="17"/>
      <c r="AI83" s="34"/>
      <c r="AJ83" s="16" t="e">
        <f t="shared" si="4"/>
        <v>#NUM!</v>
      </c>
      <c r="AK83" s="16">
        <f t="shared" si="5"/>
        <v>0.3010299956639812</v>
      </c>
    </row>
    <row r="84" spans="1:37" ht="78.75">
      <c r="A84" s="4" t="s">
        <v>726</v>
      </c>
      <c r="B84" s="17" t="s">
        <v>175</v>
      </c>
      <c r="C84" s="17"/>
      <c r="D84" s="47"/>
      <c r="E84" s="17"/>
      <c r="F84" s="17"/>
      <c r="G84" s="17"/>
      <c r="H84" s="17"/>
      <c r="I84" s="17"/>
      <c r="J84" s="17"/>
      <c r="K84" s="17" t="s">
        <v>177</v>
      </c>
      <c r="L84" s="47">
        <v>4</v>
      </c>
      <c r="M84" s="105">
        <v>60</v>
      </c>
      <c r="N84" s="64">
        <f>ROUND(L84+((Q84+5)/12),0)</f>
        <v>5</v>
      </c>
      <c r="O84" s="64"/>
      <c r="P84" s="17"/>
      <c r="Q84" s="17">
        <v>11</v>
      </c>
      <c r="R84" s="17">
        <v>60</v>
      </c>
      <c r="S84" s="102">
        <v>1</v>
      </c>
      <c r="T84" s="107"/>
      <c r="U84" s="17"/>
      <c r="V84" s="17"/>
      <c r="W84" s="17"/>
      <c r="X84" s="17"/>
      <c r="Y84" s="17"/>
      <c r="Z84" s="17">
        <v>35</v>
      </c>
      <c r="AA84" s="62">
        <v>65</v>
      </c>
      <c r="AB84" s="62"/>
      <c r="AC84" s="62"/>
      <c r="AD84" s="75">
        <f>ROUND(RegrOldLen!$G$18+singleSpecies!AK84*RegrOldLen!$G$19,0)</f>
        <v>29</v>
      </c>
      <c r="AE84" s="43">
        <v>1.9</v>
      </c>
      <c r="AF84" s="106">
        <v>60</v>
      </c>
      <c r="AG84" s="17"/>
      <c r="AH84" s="17"/>
      <c r="AI84" s="34"/>
      <c r="AJ84" s="16">
        <f t="shared" si="4"/>
        <v>1.5440680443502757</v>
      </c>
      <c r="AK84" s="16">
        <f t="shared" si="5"/>
        <v>0.2787536009528289</v>
      </c>
    </row>
    <row r="85" spans="1:37" ht="33.75">
      <c r="A85" s="4" t="s">
        <v>727</v>
      </c>
      <c r="B85" s="17" t="s">
        <v>567</v>
      </c>
      <c r="C85" s="17"/>
      <c r="D85" s="47"/>
      <c r="E85" s="17"/>
      <c r="F85" s="17"/>
      <c r="G85" s="17"/>
      <c r="H85" s="17"/>
      <c r="I85" s="17"/>
      <c r="J85" s="17"/>
      <c r="K85" s="17"/>
      <c r="L85" s="47">
        <v>8</v>
      </c>
      <c r="M85" s="105" t="s">
        <v>383</v>
      </c>
      <c r="N85" s="64">
        <f>ROUND(L85+((Q85+5)/12),0)</f>
        <v>9</v>
      </c>
      <c r="O85" s="64"/>
      <c r="P85" s="17"/>
      <c r="Q85" s="17">
        <v>9</v>
      </c>
      <c r="R85" s="17">
        <v>23</v>
      </c>
      <c r="S85" s="66"/>
      <c r="T85" s="116"/>
      <c r="U85" s="17"/>
      <c r="V85" s="17"/>
      <c r="W85" s="17"/>
      <c r="X85" s="17"/>
      <c r="Y85" s="17"/>
      <c r="Z85" s="17">
        <v>28</v>
      </c>
      <c r="AA85" s="62">
        <v>23</v>
      </c>
      <c r="AB85" s="62"/>
      <c r="AC85" s="62"/>
      <c r="AD85" s="75">
        <f>ROUND(RegrOldLen!$G$18+singleSpecies!AK85*RegrOldLen!$G$19,0)</f>
        <v>33</v>
      </c>
      <c r="AE85" s="43">
        <v>2.52</v>
      </c>
      <c r="AF85" s="106" t="s">
        <v>383</v>
      </c>
      <c r="AG85" s="17"/>
      <c r="AH85" s="17"/>
      <c r="AI85" s="34"/>
      <c r="AJ85" s="16">
        <f t="shared" si="4"/>
        <v>1.4471580313422192</v>
      </c>
      <c r="AK85" s="16">
        <f t="shared" si="5"/>
        <v>0.4014005407815441</v>
      </c>
    </row>
    <row r="86" spans="1:37" ht="22.5">
      <c r="A86" s="4" t="s">
        <v>728</v>
      </c>
      <c r="B86" s="17" t="s">
        <v>752</v>
      </c>
      <c r="C86" s="70" t="s">
        <v>749</v>
      </c>
      <c r="D86" s="69"/>
      <c r="E86" s="70"/>
      <c r="F86" s="70"/>
      <c r="G86" s="70"/>
      <c r="H86" s="70"/>
      <c r="I86" s="70"/>
      <c r="J86" s="70"/>
      <c r="K86" s="70"/>
      <c r="L86" s="69">
        <v>5</v>
      </c>
      <c r="M86" s="111">
        <v>36</v>
      </c>
      <c r="N86" s="70">
        <v>6</v>
      </c>
      <c r="O86" s="70">
        <v>36</v>
      </c>
      <c r="P86" s="70"/>
      <c r="Q86" s="70"/>
      <c r="R86" s="70"/>
      <c r="S86" s="72"/>
      <c r="T86" s="117"/>
      <c r="U86" s="70"/>
      <c r="V86" s="70"/>
      <c r="W86" s="70">
        <v>0.045</v>
      </c>
      <c r="X86" s="70"/>
      <c r="Y86" s="70"/>
      <c r="Z86" s="70"/>
      <c r="AA86" s="101"/>
      <c r="AB86" s="101"/>
      <c r="AC86" s="101"/>
      <c r="AD86" s="75">
        <f>ROUND(RegrOldLen!$G$18+singleSpecies!AK86*RegrOldLen!$G$19,0)</f>
        <v>33</v>
      </c>
      <c r="AE86" s="71">
        <v>2.53</v>
      </c>
      <c r="AF86" s="111">
        <v>36</v>
      </c>
      <c r="AG86" s="70"/>
      <c r="AH86" s="70"/>
      <c r="AI86" s="34"/>
      <c r="AJ86" s="16" t="e">
        <f t="shared" si="4"/>
        <v>#NUM!</v>
      </c>
      <c r="AK86" s="16">
        <f t="shared" si="5"/>
        <v>0.40312052117581787</v>
      </c>
    </row>
    <row r="87" spans="1:37" ht="56.25">
      <c r="A87" s="4" t="s">
        <v>729</v>
      </c>
      <c r="B87" s="17" t="s">
        <v>491</v>
      </c>
      <c r="C87" s="17"/>
      <c r="D87" s="47"/>
      <c r="E87" s="17"/>
      <c r="F87" s="17"/>
      <c r="G87" s="17"/>
      <c r="H87" s="17"/>
      <c r="I87" s="17"/>
      <c r="J87" s="17"/>
      <c r="K87" s="17"/>
      <c r="L87" s="47">
        <v>5</v>
      </c>
      <c r="M87" s="105" t="s">
        <v>384</v>
      </c>
      <c r="N87" s="64">
        <f>ROUND(L87+((Q87+5)/12),0)</f>
        <v>6</v>
      </c>
      <c r="O87" s="64"/>
      <c r="P87" s="17"/>
      <c r="Q87" s="76">
        <v>8.5</v>
      </c>
      <c r="R87" s="107" t="s">
        <v>386</v>
      </c>
      <c r="S87" s="76">
        <v>1.5</v>
      </c>
      <c r="T87" s="107" t="s">
        <v>386</v>
      </c>
      <c r="U87" s="17"/>
      <c r="V87" s="17"/>
      <c r="W87" s="17"/>
      <c r="X87" s="17"/>
      <c r="Y87" s="17"/>
      <c r="Z87" s="17">
        <v>18</v>
      </c>
      <c r="AA87" s="62" t="s">
        <v>384</v>
      </c>
      <c r="AB87" s="62"/>
      <c r="AC87" s="62"/>
      <c r="AD87" s="75">
        <f>ROUND(RegrOldLen!$G$18+singleSpecies!AK87*RegrOldLen!$G$19,0)</f>
        <v>31</v>
      </c>
      <c r="AE87" s="103">
        <v>2.28</v>
      </c>
      <c r="AF87" s="107">
        <v>23</v>
      </c>
      <c r="AG87" s="17"/>
      <c r="AH87" s="17"/>
      <c r="AI87" s="34"/>
      <c r="AJ87" s="16">
        <f t="shared" si="4"/>
        <v>1.255272505103306</v>
      </c>
      <c r="AK87" s="16">
        <f t="shared" si="5"/>
        <v>0.35793484700045375</v>
      </c>
    </row>
    <row r="88" spans="1:37" ht="30">
      <c r="A88" s="4" t="s">
        <v>730</v>
      </c>
      <c r="B88" s="17" t="s">
        <v>300</v>
      </c>
      <c r="C88" s="17"/>
      <c r="D88" s="47">
        <v>7</v>
      </c>
      <c r="E88" s="17"/>
      <c r="F88" s="17"/>
      <c r="G88" s="17"/>
      <c r="H88" s="17"/>
      <c r="I88" s="17"/>
      <c r="J88" s="17"/>
      <c r="K88" s="17" t="s">
        <v>916</v>
      </c>
      <c r="L88" s="47">
        <v>4</v>
      </c>
      <c r="M88" s="105" t="s">
        <v>599</v>
      </c>
      <c r="N88" s="64">
        <f>ROUND(L88+((Q88+5)/12),0)</f>
        <v>5</v>
      </c>
      <c r="O88" s="64"/>
      <c r="P88" s="17"/>
      <c r="Q88" s="17">
        <v>10.5</v>
      </c>
      <c r="R88" s="107" t="s">
        <v>385</v>
      </c>
      <c r="S88" s="17">
        <v>1.5</v>
      </c>
      <c r="T88" s="107" t="s">
        <v>385</v>
      </c>
      <c r="U88" s="17"/>
      <c r="V88" s="17"/>
      <c r="W88" s="17"/>
      <c r="X88" s="17"/>
      <c r="Y88" s="17"/>
      <c r="Z88" s="17">
        <v>24</v>
      </c>
      <c r="AA88" s="62">
        <v>144</v>
      </c>
      <c r="AB88" s="62"/>
      <c r="AC88" s="62"/>
      <c r="AD88" s="75">
        <f>ROUND(RegrOldLen!$G$18+singleSpecies!AK88*RegrOldLen!$G$19,0)</f>
        <v>26</v>
      </c>
      <c r="AE88" s="43">
        <v>1.53</v>
      </c>
      <c r="AF88" s="106">
        <v>88</v>
      </c>
      <c r="AG88" s="17"/>
      <c r="AH88" s="17"/>
      <c r="AI88" s="34"/>
      <c r="AJ88" s="16">
        <f t="shared" si="4"/>
        <v>1.380211241711606</v>
      </c>
      <c r="AK88" s="16">
        <f t="shared" si="5"/>
        <v>0.1846914308175988</v>
      </c>
    </row>
    <row r="89" spans="1:35" ht="12.75">
      <c r="A89" s="2"/>
      <c r="B89" s="1"/>
      <c r="C89" s="1">
        <f aca="true" t="shared" si="6" ref="C89:K89">COUNT(C2:C88)</f>
        <v>2</v>
      </c>
      <c r="D89" s="59">
        <f t="shared" si="6"/>
        <v>9</v>
      </c>
      <c r="E89" s="1">
        <f t="shared" si="6"/>
        <v>11</v>
      </c>
      <c r="F89" s="1"/>
      <c r="G89" s="1">
        <f t="shared" si="6"/>
        <v>14</v>
      </c>
      <c r="H89" s="1"/>
      <c r="I89" s="1">
        <f t="shared" si="6"/>
        <v>7</v>
      </c>
      <c r="J89" s="1">
        <f t="shared" si="6"/>
        <v>9</v>
      </c>
      <c r="K89" s="1">
        <f t="shared" si="6"/>
        <v>4</v>
      </c>
      <c r="L89" s="1">
        <f>COUNT(L2:L88)</f>
        <v>52</v>
      </c>
      <c r="M89" s="112"/>
      <c r="N89" s="1">
        <f aca="true" t="shared" si="7" ref="N89:AI89">COUNT(N2:N88)</f>
        <v>65</v>
      </c>
      <c r="O89" s="1"/>
      <c r="P89" s="1">
        <f t="shared" si="7"/>
        <v>2</v>
      </c>
      <c r="Q89" s="1">
        <f t="shared" si="7"/>
        <v>50</v>
      </c>
      <c r="R89" s="1"/>
      <c r="S89" s="1">
        <f t="shared" si="7"/>
        <v>58</v>
      </c>
      <c r="T89" s="118"/>
      <c r="U89" s="1">
        <f t="shared" si="7"/>
        <v>1</v>
      </c>
      <c r="V89" s="1">
        <f t="shared" si="7"/>
        <v>11</v>
      </c>
      <c r="W89" s="1">
        <f t="shared" si="7"/>
        <v>7</v>
      </c>
      <c r="X89" s="1">
        <f t="shared" si="7"/>
        <v>6</v>
      </c>
      <c r="Y89" s="1"/>
      <c r="Z89" s="1">
        <f t="shared" si="7"/>
        <v>35</v>
      </c>
      <c r="AA89" s="1"/>
      <c r="AB89" s="1"/>
      <c r="AC89" s="1"/>
      <c r="AD89" s="59"/>
      <c r="AE89" s="44">
        <f t="shared" si="7"/>
        <v>82</v>
      </c>
      <c r="AF89" s="112"/>
      <c r="AG89" s="1">
        <f t="shared" si="7"/>
        <v>0</v>
      </c>
      <c r="AH89" s="1">
        <f t="shared" si="7"/>
        <v>0</v>
      </c>
      <c r="AI89" s="1">
        <f t="shared" si="7"/>
        <v>0</v>
      </c>
    </row>
    <row r="91" ht="12.75">
      <c r="A91" s="37" t="s">
        <v>424</v>
      </c>
    </row>
    <row r="92" ht="12.75">
      <c r="A92" s="14" t="s">
        <v>423</v>
      </c>
    </row>
    <row r="93" ht="12.75">
      <c r="A93" s="14"/>
    </row>
    <row r="94" ht="12.75">
      <c r="A94" s="14"/>
    </row>
    <row r="95" ht="12.75">
      <c r="A95" s="13" t="s">
        <v>2</v>
      </c>
    </row>
    <row r="96" ht="12.75">
      <c r="A96" s="13" t="s">
        <v>3</v>
      </c>
    </row>
    <row r="97" ht="12.75">
      <c r="A97" s="13" t="s">
        <v>777</v>
      </c>
    </row>
    <row r="98" ht="12.75">
      <c r="A98" s="13" t="s">
        <v>778</v>
      </c>
    </row>
    <row r="99" ht="12.75">
      <c r="A99" s="13" t="s">
        <v>294</v>
      </c>
    </row>
    <row r="100" ht="12.75">
      <c r="A100" s="13" t="s">
        <v>4</v>
      </c>
    </row>
    <row r="101" ht="12.75">
      <c r="A101" s="13" t="s">
        <v>779</v>
      </c>
    </row>
    <row r="102" ht="12.75">
      <c r="A102" s="13" t="s">
        <v>772</v>
      </c>
    </row>
    <row r="103" ht="12.75">
      <c r="A103" s="13" t="s">
        <v>780</v>
      </c>
    </row>
    <row r="104" ht="12.75">
      <c r="A104" s="13" t="s">
        <v>5</v>
      </c>
    </row>
    <row r="105" ht="12.75">
      <c r="A105" s="41" t="s">
        <v>566</v>
      </c>
    </row>
    <row r="106" ht="12.75">
      <c r="A106" s="13" t="s">
        <v>565</v>
      </c>
    </row>
    <row r="107" ht="12.75">
      <c r="A107" s="41" t="s">
        <v>961</v>
      </c>
    </row>
  </sheetData>
  <hyperlinks>
    <hyperlink ref="A91" location="_ednref1" display="_ednref1"/>
  </hyperlinks>
  <printOptions/>
  <pageMargins left="0.75" right="0.75" top="1" bottom="1" header="0.5" footer="0.5"/>
  <pageSetup fitToHeight="0" horizontalDpi="600" verticalDpi="600" orientation="landscape" scale="55" r:id="rId4"/>
  <headerFooter alignWithMargins="0">
    <oddFooter>&amp;L&amp;F&amp;CPage &amp;P of &amp;N&amp;R&amp;D</oddFooter>
  </headerFooter>
  <drawing r:id="rId3"/>
  <legacyDrawing r:id="rId2"/>
</worksheet>
</file>

<file path=xl/worksheets/sheet3.xml><?xml version="1.0" encoding="utf-8"?>
<worksheet xmlns="http://schemas.openxmlformats.org/spreadsheetml/2006/main" xmlns:r="http://schemas.openxmlformats.org/officeDocument/2006/relationships">
  <dimension ref="A1:Q67"/>
  <sheetViews>
    <sheetView workbookViewId="0" topLeftCell="A1">
      <pane xSplit="1" ySplit="1" topLeftCell="B2" activePane="bottomRight" state="frozen"/>
      <selection pane="topLeft" activeCell="A1" sqref="A1"/>
      <selection pane="topRight" activeCell="C1" sqref="C1"/>
      <selection pane="bottomLeft" activeCell="A2" sqref="A2"/>
      <selection pane="bottomRight" activeCell="AD27" sqref="AD27"/>
    </sheetView>
  </sheetViews>
  <sheetFormatPr defaultColWidth="9.140625" defaultRowHeight="12.75"/>
  <cols>
    <col min="1" max="1" width="29.28125" style="12" customWidth="1"/>
    <col min="2" max="2" width="9.140625" style="12" customWidth="1"/>
    <col min="3" max="7" width="8.8515625" style="16" customWidth="1"/>
    <col min="8" max="8" width="15.00390625" style="16" customWidth="1"/>
    <col min="9" max="9" width="20.8515625" style="16" customWidth="1"/>
    <col min="10" max="16384" width="8.8515625" style="16" customWidth="1"/>
  </cols>
  <sheetData>
    <row r="1" spans="1:8" ht="77.25" customHeight="1" thickBot="1">
      <c r="A1" s="28" t="s">
        <v>587</v>
      </c>
      <c r="B1" s="29" t="str">
        <f>singleSpecies!Z1</f>
        <v>oldest age reprod female</v>
      </c>
      <c r="C1" s="51" t="s">
        <v>252</v>
      </c>
      <c r="D1" s="57" t="s">
        <v>161</v>
      </c>
      <c r="E1" s="57" t="s">
        <v>162</v>
      </c>
      <c r="F1" s="96">
        <f>I25</f>
        <v>0</v>
      </c>
      <c r="G1" s="96">
        <f>J25</f>
        <v>0</v>
      </c>
      <c r="H1" s="95">
        <f>K27</f>
        <v>0</v>
      </c>
    </row>
    <row r="2" spans="1:17" ht="13.5" thickTop="1">
      <c r="A2" s="4" t="str">
        <f>singleSpecies!A4</f>
        <v>Balaenoptera borealis</v>
      </c>
      <c r="B2" s="3">
        <f>singleSpecies!Z4</f>
        <v>53</v>
      </c>
      <c r="C2" s="16">
        <f>singleSpecies!AK4</f>
        <v>1.1335389083702174</v>
      </c>
      <c r="D2" s="55">
        <v>54.1531092320064</v>
      </c>
      <c r="E2" s="55">
        <v>-1.1531092320064005</v>
      </c>
      <c r="F2" t="s">
        <v>134</v>
      </c>
      <c r="G2"/>
      <c r="H2"/>
      <c r="I2"/>
      <c r="J2"/>
      <c r="K2"/>
      <c r="L2"/>
      <c r="M2"/>
      <c r="N2"/>
      <c r="O2"/>
      <c r="P2"/>
      <c r="Q2"/>
    </row>
    <row r="3" spans="1:17" ht="13.5" thickBot="1">
      <c r="A3" s="4" t="str">
        <f>singleSpecies!A14</f>
        <v>Eubalaena glacialis</v>
      </c>
      <c r="B3" s="3">
        <f>singleSpecies!Z14</f>
        <v>69</v>
      </c>
      <c r="C3" s="16">
        <f>singleSpecies!AK14</f>
        <v>1.2405492482825997</v>
      </c>
      <c r="D3" s="55">
        <v>57.2897091009758</v>
      </c>
      <c r="E3" s="55">
        <v>11.710290899024201</v>
      </c>
      <c r="F3"/>
      <c r="G3"/>
      <c r="H3"/>
      <c r="I3"/>
      <c r="J3"/>
      <c r="K3"/>
      <c r="L3"/>
      <c r="M3"/>
      <c r="N3"/>
      <c r="O3"/>
      <c r="P3"/>
      <c r="Q3"/>
    </row>
    <row r="4" spans="1:17" ht="12.75">
      <c r="A4" s="4" t="str">
        <f>singleSpecies!A17</f>
        <v>Berardius bairdii</v>
      </c>
      <c r="B4" s="3">
        <f>singleSpecies!Z17</f>
        <v>54</v>
      </c>
      <c r="C4" s="16">
        <f>singleSpecies!AK17</f>
        <v>1.1072099696478683</v>
      </c>
      <c r="D4" s="55">
        <v>53.38137683853637</v>
      </c>
      <c r="E4" s="55">
        <v>0.6186231614636313</v>
      </c>
      <c r="F4" s="61" t="s">
        <v>135</v>
      </c>
      <c r="G4" s="61"/>
      <c r="H4"/>
      <c r="I4"/>
      <c r="J4"/>
      <c r="K4"/>
      <c r="L4"/>
      <c r="M4"/>
      <c r="N4"/>
      <c r="O4"/>
      <c r="P4"/>
      <c r="Q4"/>
    </row>
    <row r="5" spans="1:17" ht="12.75">
      <c r="A5" s="4" t="str">
        <f>singleSpecies!A18</f>
        <v>Hyperoodon ampullatus</v>
      </c>
      <c r="B5" s="3">
        <f>singleSpecies!Z18</f>
        <v>27</v>
      </c>
      <c r="C5" s="16">
        <f>singleSpecies!AK18</f>
        <v>0.9395192526186185</v>
      </c>
      <c r="D5" s="55">
        <v>48.46616321065713</v>
      </c>
      <c r="E5" s="55">
        <v>-21.46616321065713</v>
      </c>
      <c r="F5" s="55" t="s">
        <v>136</v>
      </c>
      <c r="G5" s="55">
        <v>0.690707889152482</v>
      </c>
      <c r="H5"/>
      <c r="I5"/>
      <c r="J5"/>
      <c r="K5"/>
      <c r="L5"/>
      <c r="M5"/>
      <c r="N5"/>
      <c r="O5"/>
      <c r="P5"/>
      <c r="Q5"/>
    </row>
    <row r="6" spans="1:17" ht="12.75">
      <c r="A6" s="4" t="str">
        <f>singleSpecies!A38</f>
        <v>Delphinapterus leucas</v>
      </c>
      <c r="B6" s="3">
        <f>singleSpecies!Z38</f>
        <v>35</v>
      </c>
      <c r="C6" s="16">
        <f>singleSpecies!AK38</f>
        <v>0.6020599913279624</v>
      </c>
      <c r="D6" s="55">
        <v>38.57483237652054</v>
      </c>
      <c r="E6" s="55">
        <v>-3.57483237652054</v>
      </c>
      <c r="F6" s="55" t="s">
        <v>137</v>
      </c>
      <c r="G6" s="55">
        <v>0.4770773881374774</v>
      </c>
      <c r="H6"/>
      <c r="I6"/>
      <c r="J6"/>
      <c r="K6"/>
      <c r="L6"/>
      <c r="M6"/>
      <c r="N6"/>
      <c r="O6"/>
      <c r="P6"/>
      <c r="Q6"/>
    </row>
    <row r="7" spans="1:17" ht="12.75">
      <c r="A7" s="4" t="str">
        <f>singleSpecies!A39</f>
        <v>Monodon monoceros</v>
      </c>
      <c r="B7" s="3">
        <f>singleSpecies!Z39</f>
        <v>50</v>
      </c>
      <c r="C7" s="16">
        <f>singleSpecies!AK39</f>
        <v>0.6020599913279624</v>
      </c>
      <c r="D7" s="55">
        <v>38.57483237652054</v>
      </c>
      <c r="E7" s="55">
        <v>11.42516762347946</v>
      </c>
      <c r="F7" s="55" t="s">
        <v>138</v>
      </c>
      <c r="G7" s="55">
        <v>0.45964663440872666</v>
      </c>
      <c r="H7"/>
      <c r="I7"/>
      <c r="J7"/>
      <c r="K7"/>
      <c r="L7"/>
      <c r="M7"/>
      <c r="N7"/>
      <c r="O7"/>
      <c r="P7"/>
      <c r="Q7"/>
    </row>
    <row r="8" spans="1:17" ht="12.75">
      <c r="A8" s="4" t="str">
        <f>singleSpecies!A40</f>
        <v>Kogia breviceps</v>
      </c>
      <c r="B8" s="3">
        <f>singleSpecies!Z40</f>
        <v>23</v>
      </c>
      <c r="C8" s="16">
        <f>singleSpecies!AK40</f>
        <v>0.5185139398778874</v>
      </c>
      <c r="D8" s="55">
        <v>36.125998607318635</v>
      </c>
      <c r="E8" s="55">
        <v>-13.125998607318635</v>
      </c>
      <c r="F8" s="55" t="s">
        <v>139</v>
      </c>
      <c r="G8" s="55">
        <v>9.440405974897823</v>
      </c>
      <c r="H8"/>
      <c r="I8"/>
      <c r="J8"/>
      <c r="K8"/>
      <c r="L8"/>
      <c r="M8"/>
      <c r="N8"/>
      <c r="O8"/>
      <c r="P8"/>
      <c r="Q8"/>
    </row>
    <row r="9" spans="1:17" ht="13.5" thickBot="1">
      <c r="A9" s="4" t="str">
        <f>singleSpecies!A41</f>
        <v>Kogia sima</v>
      </c>
      <c r="B9" s="3">
        <f>singleSpecies!Z41</f>
        <v>22</v>
      </c>
      <c r="C9" s="16">
        <f>singleSpecies!AK41</f>
        <v>0.3692158574101428</v>
      </c>
      <c r="D9" s="55">
        <v>31.74989489351737</v>
      </c>
      <c r="E9" s="55">
        <v>-9.749894893517371</v>
      </c>
      <c r="F9" s="56" t="s">
        <v>140</v>
      </c>
      <c r="G9" s="56">
        <v>32</v>
      </c>
      <c r="H9"/>
      <c r="I9"/>
      <c r="J9"/>
      <c r="K9"/>
      <c r="L9"/>
      <c r="M9"/>
      <c r="N9"/>
      <c r="O9"/>
      <c r="P9"/>
      <c r="Q9"/>
    </row>
    <row r="10" spans="1:17" ht="12.75">
      <c r="A10" s="4" t="str">
        <f>singleSpecies!A42</f>
        <v>Physeter macrocephalus</v>
      </c>
      <c r="B10" s="3">
        <f>singleSpecies!Z42</f>
        <v>59</v>
      </c>
      <c r="C10" s="16">
        <f>singleSpecies!AK42</f>
        <v>1.0413926851582251</v>
      </c>
      <c r="D10" s="55">
        <v>51.45219423734879</v>
      </c>
      <c r="E10" s="55">
        <v>7.547805762651208</v>
      </c>
      <c r="F10"/>
      <c r="G10"/>
      <c r="H10"/>
      <c r="I10"/>
      <c r="J10"/>
      <c r="K10"/>
      <c r="L10"/>
      <c r="M10"/>
      <c r="N10"/>
      <c r="O10"/>
      <c r="P10"/>
      <c r="Q10"/>
    </row>
    <row r="11" spans="1:17" ht="13.5" thickBot="1">
      <c r="A11" s="4" t="str">
        <f>singleSpecies!A48</f>
        <v>Delphinus delphis</v>
      </c>
      <c r="B11" s="3">
        <f>singleSpecies!Z48</f>
        <v>26</v>
      </c>
      <c r="C11" s="16">
        <f>singleSpecies!AK48</f>
        <v>0.3283796034387377</v>
      </c>
      <c r="D11" s="55">
        <v>30.552935899080147</v>
      </c>
      <c r="E11" s="55">
        <v>-4.552935899080147</v>
      </c>
      <c r="F11" t="s">
        <v>141</v>
      </c>
      <c r="G11"/>
      <c r="H11"/>
      <c r="I11"/>
      <c r="J11"/>
      <c r="K11"/>
      <c r="L11"/>
      <c r="M11"/>
      <c r="N11"/>
      <c r="O11"/>
      <c r="P11"/>
      <c r="Q11"/>
    </row>
    <row r="12" spans="1:17" ht="12.75">
      <c r="A12" s="4" t="str">
        <f>singleSpecies!A49</f>
        <v>Lagenodelphis hosei</v>
      </c>
      <c r="B12" s="3">
        <f>singleSpecies!Z49</f>
        <v>18</v>
      </c>
      <c r="C12" s="16">
        <f>singleSpecies!AK49</f>
        <v>0.42160392686983106</v>
      </c>
      <c r="D12" s="55">
        <v>33.28545128869713</v>
      </c>
      <c r="E12" s="55">
        <v>-15.285451288697132</v>
      </c>
      <c r="F12" s="57"/>
      <c r="G12" s="57" t="s">
        <v>146</v>
      </c>
      <c r="H12" s="57" t="s">
        <v>147</v>
      </c>
      <c r="I12" s="57" t="s">
        <v>148</v>
      </c>
      <c r="J12" s="57" t="s">
        <v>149</v>
      </c>
      <c r="K12" s="57" t="s">
        <v>150</v>
      </c>
      <c r="L12"/>
      <c r="M12"/>
      <c r="N12"/>
      <c r="O12"/>
      <c r="P12"/>
      <c r="Q12"/>
    </row>
    <row r="13" spans="1:17" ht="12.75">
      <c r="A13" s="4" t="str">
        <f>singleSpecies!A50</f>
        <v>Lagenorhynchus acutus</v>
      </c>
      <c r="B13" s="3">
        <f>singleSpecies!Z50</f>
        <v>27</v>
      </c>
      <c r="C13" s="16">
        <f>singleSpecies!AK50</f>
        <v>0.38560627359831223</v>
      </c>
      <c r="D13" s="55">
        <v>32.23031741446497</v>
      </c>
      <c r="E13" s="55">
        <v>-5.23031741446497</v>
      </c>
      <c r="F13" s="55" t="s">
        <v>142</v>
      </c>
      <c r="G13" s="55">
        <v>1</v>
      </c>
      <c r="H13" s="55">
        <v>2439.2370508734048</v>
      </c>
      <c r="I13" s="55">
        <v>2439.2370508734048</v>
      </c>
      <c r="J13" s="55">
        <v>27.36986567313914</v>
      </c>
      <c r="K13" s="55">
        <v>1.2111257240742225E-05</v>
      </c>
      <c r="L13"/>
      <c r="M13"/>
      <c r="N13"/>
      <c r="O13"/>
      <c r="P13"/>
      <c r="Q13"/>
    </row>
    <row r="14" spans="1:17" ht="12.75">
      <c r="A14" s="4" t="str">
        <f>singleSpecies!A54</f>
        <v>Lagenorhynchus obliquidens</v>
      </c>
      <c r="B14" s="3">
        <f>singleSpecies!Z54</f>
        <v>46</v>
      </c>
      <c r="C14" s="16">
        <f>singleSpecies!AK54</f>
        <v>0.37291200297010657</v>
      </c>
      <c r="D14" s="55">
        <v>31.858233299773875</v>
      </c>
      <c r="E14" s="55">
        <v>14.141766700226125</v>
      </c>
      <c r="F14" s="55" t="s">
        <v>143</v>
      </c>
      <c r="G14" s="55">
        <v>30</v>
      </c>
      <c r="H14" s="55">
        <v>2673.6379491265952</v>
      </c>
      <c r="I14" s="55">
        <v>89.12126497088651</v>
      </c>
      <c r="J14" s="55"/>
      <c r="K14" s="55"/>
      <c r="L14"/>
      <c r="M14"/>
      <c r="N14"/>
      <c r="O14"/>
      <c r="P14"/>
      <c r="Q14"/>
    </row>
    <row r="15" spans="1:17" ht="13.5" thickBot="1">
      <c r="A15" s="4" t="str">
        <f>singleSpecies!A55</f>
        <v>Lagenorhynchus obscurus</v>
      </c>
      <c r="B15" s="3">
        <f>singleSpecies!Z55</f>
        <v>35</v>
      </c>
      <c r="C15" s="16">
        <f>singleSpecies!AK55</f>
        <v>0.3096301674258988</v>
      </c>
      <c r="D15" s="55">
        <v>30.00336771165758</v>
      </c>
      <c r="E15" s="55">
        <v>4.996632288342418</v>
      </c>
      <c r="F15" s="56" t="s">
        <v>144</v>
      </c>
      <c r="G15" s="56">
        <v>31</v>
      </c>
      <c r="H15" s="56">
        <v>5112.875</v>
      </c>
      <c r="I15" s="56"/>
      <c r="J15" s="56"/>
      <c r="K15" s="56"/>
      <c r="L15"/>
      <c r="M15"/>
      <c r="N15"/>
      <c r="O15"/>
      <c r="P15"/>
      <c r="Q15"/>
    </row>
    <row r="16" spans="1:17" ht="13.5" thickBot="1">
      <c r="A16" s="4" t="str">
        <f>singleSpecies!A56</f>
        <v>Lissodelphis borealis</v>
      </c>
      <c r="B16" s="3">
        <f>singleSpecies!Z56</f>
        <v>42</v>
      </c>
      <c r="C16" s="16">
        <f>singleSpecies!AK56</f>
        <v>0.3424226808222063</v>
      </c>
      <c r="D16" s="55">
        <v>30.96455513808995</v>
      </c>
      <c r="E16" s="55">
        <v>11.035444861910051</v>
      </c>
      <c r="F16"/>
      <c r="G16"/>
      <c r="H16"/>
      <c r="I16"/>
      <c r="J16"/>
      <c r="K16"/>
      <c r="L16"/>
      <c r="M16"/>
      <c r="N16"/>
      <c r="O16"/>
      <c r="P16"/>
      <c r="Q16"/>
    </row>
    <row r="17" spans="1:17" ht="12.75">
      <c r="A17" s="4" t="str">
        <f>singleSpecies!A58</f>
        <v>Sotalia fluviatilis</v>
      </c>
      <c r="B17" s="3">
        <f>singleSpecies!Z58</f>
        <v>30</v>
      </c>
      <c r="C17" s="16">
        <f>singleSpecies!AK58</f>
        <v>0.2966651902615311</v>
      </c>
      <c r="D17" s="55">
        <v>29.62334886760715</v>
      </c>
      <c r="E17" s="55">
        <v>0.3766511323928512</v>
      </c>
      <c r="F17" s="57"/>
      <c r="G17" s="57" t="s">
        <v>151</v>
      </c>
      <c r="H17" s="57" t="s">
        <v>139</v>
      </c>
      <c r="I17" s="57" t="s">
        <v>152</v>
      </c>
      <c r="J17" s="57" t="s">
        <v>153</v>
      </c>
      <c r="K17" s="57" t="s">
        <v>154</v>
      </c>
      <c r="L17" s="57" t="s">
        <v>155</v>
      </c>
      <c r="M17" s="57" t="s">
        <v>156</v>
      </c>
      <c r="N17" s="57" t="s">
        <v>157</v>
      </c>
      <c r="O17" s="57" t="s">
        <v>156</v>
      </c>
      <c r="P17" s="57" t="s">
        <v>157</v>
      </c>
      <c r="Q17"/>
    </row>
    <row r="18" spans="1:17" ht="13.5" thickBot="1">
      <c r="A18" s="4" t="str">
        <f>singleSpecies!A59</f>
        <v>Sotalia guianensis</v>
      </c>
      <c r="B18" s="3">
        <f>singleSpecies!Z59</f>
        <v>30</v>
      </c>
      <c r="C18" s="16">
        <f>singleSpecies!AK59</f>
        <v>0.3222192947339193</v>
      </c>
      <c r="D18" s="55">
        <v>30.372369951040312</v>
      </c>
      <c r="E18" s="55">
        <v>-0.37236995104031223</v>
      </c>
      <c r="F18" s="55" t="s">
        <v>145</v>
      </c>
      <c r="G18" s="55">
        <v>20.927740595883204</v>
      </c>
      <c r="H18" s="55">
        <v>3.298473876944053</v>
      </c>
      <c r="I18" s="55">
        <v>6.344673742049517</v>
      </c>
      <c r="J18" s="55">
        <v>5.342508849072523E-07</v>
      </c>
      <c r="K18" s="55">
        <v>14.191358272044294</v>
      </c>
      <c r="L18" s="55">
        <v>27.664122919722114</v>
      </c>
      <c r="M18" s="55">
        <v>14.191358272044294</v>
      </c>
      <c r="N18" s="55">
        <v>27.664122919722114</v>
      </c>
      <c r="O18" s="55">
        <v>12.591548629754652</v>
      </c>
      <c r="P18" s="55">
        <v>26.75383619927376</v>
      </c>
      <c r="Q18"/>
    </row>
    <row r="19" spans="1:17" ht="13.5" thickBot="1">
      <c r="A19" s="4" t="str">
        <f>singleSpecies!A60</f>
        <v>Sousa chinensis</v>
      </c>
      <c r="B19" s="3">
        <f>singleSpecies!Z60</f>
        <v>40</v>
      </c>
      <c r="C19" s="16">
        <f>singleSpecies!AK60</f>
        <v>0.414973347970818</v>
      </c>
      <c r="D19" s="55">
        <v>33.091101164000165</v>
      </c>
      <c r="E19" s="55">
        <v>6.908898835999835</v>
      </c>
      <c r="F19" s="56" t="s">
        <v>158</v>
      </c>
      <c r="G19" s="56">
        <v>29.31118498957751</v>
      </c>
      <c r="H19" s="56">
        <v>5.6026958059280085</v>
      </c>
      <c r="I19" s="56">
        <v>5.231621705851746</v>
      </c>
      <c r="J19" s="56">
        <v>1.2111257240742272E-05</v>
      </c>
      <c r="K19" s="56">
        <v>17.868953702947863</v>
      </c>
      <c r="L19" s="56">
        <v>40.753416276207155</v>
      </c>
      <c r="M19" s="56">
        <v>17.868953702947863</v>
      </c>
      <c r="N19" s="56">
        <v>40.753416276207155</v>
      </c>
      <c r="O19" s="56">
        <v>20.9031255806553</v>
      </c>
      <c r="P19" s="56">
        <v>44.97625913708778</v>
      </c>
      <c r="Q19" s="57"/>
    </row>
    <row r="20" spans="1:17" ht="12.75">
      <c r="A20" s="4" t="str">
        <f>singleSpecies!A62</f>
        <v>Stenella attenuata</v>
      </c>
      <c r="B20" s="3">
        <f>singleSpecies!Z62</f>
        <v>45</v>
      </c>
      <c r="C20" s="16">
        <f>singleSpecies!AK62</f>
        <v>0.3979400086720376</v>
      </c>
      <c r="D20" s="55">
        <v>32.59183380482338</v>
      </c>
      <c r="E20" s="55">
        <v>12.40816619517662</v>
      </c>
      <c r="F20"/>
      <c r="G20"/>
      <c r="H20"/>
      <c r="I20"/>
      <c r="J20"/>
      <c r="K20"/>
      <c r="L20"/>
      <c r="M20"/>
      <c r="N20"/>
      <c r="O20"/>
      <c r="P20"/>
      <c r="Q20" s="55"/>
    </row>
    <row r="21" spans="1:17" ht="13.5" thickBot="1">
      <c r="A21" s="4" t="str">
        <f>singleSpecies!A63</f>
        <v>Stenella coeruleoalba</v>
      </c>
      <c r="B21" s="3">
        <f>singleSpecies!Z63</f>
        <v>49</v>
      </c>
      <c r="C21" s="16">
        <f>singleSpecies!AK63</f>
        <v>0.3979400086720376</v>
      </c>
      <c r="D21" s="55">
        <v>32.59183380482338</v>
      </c>
      <c r="E21" s="55">
        <v>16.40816619517662</v>
      </c>
      <c r="F21"/>
      <c r="G21"/>
      <c r="H21"/>
      <c r="I21"/>
      <c r="J21"/>
      <c r="K21"/>
      <c r="L21"/>
      <c r="M21"/>
      <c r="N21"/>
      <c r="O21"/>
      <c r="P21"/>
      <c r="Q21" s="56"/>
    </row>
    <row r="22" spans="1:17" ht="12.75">
      <c r="A22" s="4" t="str">
        <f>singleSpecies!A66</f>
        <v>Stenella longirostris</v>
      </c>
      <c r="B22" s="3">
        <f>singleSpecies!Z66</f>
        <v>26</v>
      </c>
      <c r="C22" s="16">
        <f>singleSpecies!AK66</f>
        <v>0.3096301674258988</v>
      </c>
      <c r="D22" s="55">
        <v>30.00336771165758</v>
      </c>
      <c r="E22" s="55">
        <v>-4.003367711657582</v>
      </c>
      <c r="F22"/>
      <c r="G22"/>
      <c r="H22"/>
      <c r="I22"/>
      <c r="J22"/>
      <c r="K22"/>
      <c r="L22"/>
      <c r="M22"/>
      <c r="N22"/>
      <c r="O22"/>
      <c r="P22"/>
      <c r="Q22"/>
    </row>
    <row r="23" spans="1:17" ht="12.75">
      <c r="A23" s="4" t="str">
        <f>singleSpecies!A69</f>
        <v>Tursiops truncatus</v>
      </c>
      <c r="B23" s="3">
        <f>singleSpecies!Z69</f>
        <v>48</v>
      </c>
      <c r="C23" s="16">
        <f>singleSpecies!AK69</f>
        <v>0.5646660642520893</v>
      </c>
      <c r="D23" s="55">
        <v>37.47877206251285</v>
      </c>
      <c r="E23" s="55">
        <v>10.521227937487147</v>
      </c>
      <c r="F23" t="s">
        <v>159</v>
      </c>
      <c r="G23"/>
      <c r="H23"/>
      <c r="I23"/>
      <c r="J23"/>
      <c r="K23"/>
      <c r="L23"/>
      <c r="M23"/>
      <c r="N23"/>
      <c r="O23"/>
      <c r="P23"/>
      <c r="Q23"/>
    </row>
    <row r="24" spans="1:17" ht="13.5" thickBot="1">
      <c r="A24" s="4" t="str">
        <f>singleSpecies!A76</f>
        <v>Orcinus orca</v>
      </c>
      <c r="B24" s="3">
        <f>singleSpecies!Z76</f>
        <v>41</v>
      </c>
      <c r="C24" s="16">
        <f>singleSpecies!AK76</f>
        <v>0.930949031167523</v>
      </c>
      <c r="D24" s="55">
        <v>48.21495986430243</v>
      </c>
      <c r="E24" s="55">
        <v>-7.214959864302429</v>
      </c>
      <c r="F24"/>
      <c r="G24"/>
      <c r="H24"/>
      <c r="I24"/>
      <c r="J24"/>
      <c r="K24"/>
      <c r="L24"/>
      <c r="M24"/>
      <c r="N24"/>
      <c r="O24"/>
      <c r="P24"/>
      <c r="Q24"/>
    </row>
    <row r="25" spans="1:17" ht="12.75">
      <c r="A25" s="4" t="str">
        <f>singleSpecies!A71</f>
        <v>Globicephala macrorhynchus</v>
      </c>
      <c r="B25" s="3">
        <f>singleSpecies!Z71</f>
        <v>40</v>
      </c>
      <c r="C25" s="16">
        <f>singleSpecies!AK71</f>
        <v>0.7403626894942439</v>
      </c>
      <c r="D25" s="55">
        <v>42.62864834703012</v>
      </c>
      <c r="E25" s="55">
        <v>-2.628648347030122</v>
      </c>
      <c r="F25" s="57" t="s">
        <v>160</v>
      </c>
      <c r="G25" s="57" t="s">
        <v>161</v>
      </c>
      <c r="H25" s="57" t="s">
        <v>162</v>
      </c>
      <c r="I25"/>
      <c r="J25"/>
      <c r="K25"/>
      <c r="L25"/>
      <c r="M25"/>
      <c r="N25"/>
      <c r="O25"/>
      <c r="P25"/>
      <c r="Q25"/>
    </row>
    <row r="26" spans="1:17" ht="12.75">
      <c r="A26" s="4" t="str">
        <f>singleSpecies!A74</f>
        <v>Orcaella brevirostris</v>
      </c>
      <c r="B26" s="3">
        <f>singleSpecies!Z74</f>
        <v>28</v>
      </c>
      <c r="C26" s="16">
        <f>singleSpecies!AK74</f>
        <v>0.3692158574101428</v>
      </c>
      <c r="D26" s="55">
        <v>31.74989489351737</v>
      </c>
      <c r="E26" s="55">
        <v>-3.7498948935173715</v>
      </c>
      <c r="F26" s="55">
        <v>1</v>
      </c>
      <c r="G26" s="55">
        <v>54.1531092320064</v>
      </c>
      <c r="H26" s="55">
        <v>-1.1531092320064005</v>
      </c>
      <c r="I26"/>
      <c r="J26"/>
      <c r="K26"/>
      <c r="L26"/>
      <c r="M26"/>
      <c r="N26"/>
      <c r="O26"/>
      <c r="P26"/>
      <c r="Q26"/>
    </row>
    <row r="27" spans="1:17" ht="12.75">
      <c r="A27" s="4" t="str">
        <f>singleSpecies!A79</f>
        <v>Neophocaena phocaenoides</v>
      </c>
      <c r="B27" s="3">
        <f>singleSpecies!Z79</f>
        <v>33</v>
      </c>
      <c r="C27" s="16">
        <f>singleSpecies!AK79</f>
        <v>0.20682587603184974</v>
      </c>
      <c r="D27" s="55">
        <v>26.99005210888418</v>
      </c>
      <c r="E27" s="55">
        <v>6.0099478911158215</v>
      </c>
      <c r="F27" s="55">
        <v>2</v>
      </c>
      <c r="G27" s="55">
        <v>57.2897091009758</v>
      </c>
      <c r="H27" s="55">
        <v>11.710290899024201</v>
      </c>
      <c r="I27"/>
      <c r="J27"/>
      <c r="K27"/>
      <c r="L27"/>
      <c r="M27"/>
      <c r="N27"/>
      <c r="O27"/>
      <c r="P27"/>
      <c r="Q27"/>
    </row>
    <row r="28" spans="1:17" ht="12.75">
      <c r="A28" s="4" t="str">
        <f>singleSpecies!A81</f>
        <v>Phocoena phocoena</v>
      </c>
      <c r="B28" s="3">
        <f>singleSpecies!Z81</f>
        <v>24</v>
      </c>
      <c r="C28" s="16">
        <f>singleSpecies!AK81</f>
        <v>0.21218760440395779</v>
      </c>
      <c r="D28" s="55">
        <v>27.1472107210629</v>
      </c>
      <c r="E28" s="55">
        <v>-3.1472107210629012</v>
      </c>
      <c r="F28" s="55">
        <v>3</v>
      </c>
      <c r="G28" s="55">
        <v>53.38137683853637</v>
      </c>
      <c r="H28" s="55">
        <v>0.6186231614636313</v>
      </c>
      <c r="I28"/>
      <c r="J28"/>
      <c r="K28"/>
      <c r="L28"/>
      <c r="M28"/>
      <c r="N28"/>
      <c r="O28"/>
      <c r="P28"/>
      <c r="Q28"/>
    </row>
    <row r="29" spans="1:17" ht="12.75">
      <c r="A29" s="4" t="str">
        <f>singleSpecies!A82</f>
        <v>Phocoena sinus</v>
      </c>
      <c r="B29" s="3">
        <f>singleSpecies!Z82</f>
        <v>21</v>
      </c>
      <c r="C29" s="16">
        <f>singleSpecies!AK82</f>
        <v>0.14921911265537988</v>
      </c>
      <c r="D29" s="55">
        <v>25.30152961090565</v>
      </c>
      <c r="E29" s="55">
        <v>-4.30152961090565</v>
      </c>
      <c r="F29" s="55">
        <v>4</v>
      </c>
      <c r="G29" s="55">
        <v>48.46616321065713</v>
      </c>
      <c r="H29" s="55">
        <v>-21.46616321065713</v>
      </c>
      <c r="I29"/>
      <c r="J29"/>
      <c r="K29"/>
      <c r="L29"/>
      <c r="M29"/>
      <c r="N29"/>
      <c r="O29"/>
      <c r="P29"/>
      <c r="Q29"/>
    </row>
    <row r="30" spans="1:17" ht="12.75">
      <c r="A30" s="4" t="str">
        <f>singleSpecies!A84</f>
        <v>Phocoenoides dalli</v>
      </c>
      <c r="B30" s="3">
        <f>singleSpecies!Z84</f>
        <v>35</v>
      </c>
      <c r="C30" s="16">
        <f>singleSpecies!AK84</f>
        <v>0.2787536009528289</v>
      </c>
      <c r="D30" s="55">
        <v>29.098338959922444</v>
      </c>
      <c r="E30" s="55">
        <v>5.901661040077556</v>
      </c>
      <c r="F30" s="55">
        <v>5</v>
      </c>
      <c r="G30" s="55">
        <v>38.57483237652054</v>
      </c>
      <c r="H30" s="55">
        <v>-3.57483237652054</v>
      </c>
      <c r="I30"/>
      <c r="J30"/>
      <c r="K30"/>
      <c r="L30"/>
      <c r="M30"/>
      <c r="N30"/>
      <c r="O30"/>
      <c r="P30"/>
      <c r="Q30"/>
    </row>
    <row r="31" spans="1:17" ht="12.75">
      <c r="A31" s="4" t="str">
        <f>singleSpecies!A85</f>
        <v>Platanista gangetica</v>
      </c>
      <c r="B31" s="3">
        <f>singleSpecies!Z85</f>
        <v>28</v>
      </c>
      <c r="C31" s="16">
        <f>singleSpecies!AK85</f>
        <v>0.4014005407815441</v>
      </c>
      <c r="D31" s="55">
        <v>32.693266101647495</v>
      </c>
      <c r="E31" s="55">
        <v>-4.693266101647495</v>
      </c>
      <c r="F31" s="55">
        <v>6</v>
      </c>
      <c r="G31" s="55">
        <v>38.57483237652054</v>
      </c>
      <c r="H31" s="55">
        <v>11.42516762347946</v>
      </c>
      <c r="I31"/>
      <c r="J31"/>
      <c r="K31"/>
      <c r="L31"/>
      <c r="M31"/>
      <c r="N31"/>
      <c r="O31"/>
      <c r="P31"/>
      <c r="Q31"/>
    </row>
    <row r="32" spans="1:17" ht="12.75">
      <c r="A32" s="2" t="str">
        <f>singleSpecies!A87</f>
        <v>Inia geoffrensis</v>
      </c>
      <c r="B32" s="3">
        <f>singleSpecies!Z87</f>
        <v>18</v>
      </c>
      <c r="C32" s="16">
        <f>singleSpecies!AK87</f>
        <v>0.35793484700045375</v>
      </c>
      <c r="D32" s="55">
        <v>31.419235110529627</v>
      </c>
      <c r="E32" s="55">
        <v>-13.419235110529627</v>
      </c>
      <c r="F32" s="55">
        <v>7</v>
      </c>
      <c r="G32" s="55">
        <v>36.125998607318635</v>
      </c>
      <c r="H32" s="55">
        <v>-13.125998607318635</v>
      </c>
      <c r="I32"/>
      <c r="J32"/>
      <c r="K32"/>
      <c r="L32"/>
      <c r="M32"/>
      <c r="N32"/>
      <c r="O32"/>
      <c r="P32"/>
      <c r="Q32"/>
    </row>
    <row r="33" spans="1:17" ht="13.5" thickBot="1">
      <c r="A33" s="2" t="str">
        <f>singleSpecies!A88</f>
        <v>Pontoporia blainvillei</v>
      </c>
      <c r="B33" s="1">
        <f>singleSpecies!Z88</f>
        <v>24</v>
      </c>
      <c r="C33" s="16">
        <f>singleSpecies!AK88</f>
        <v>0.1846914308175988</v>
      </c>
      <c r="D33" s="56">
        <v>26.3412652905676</v>
      </c>
      <c r="E33" s="56">
        <v>-2.3412652905675984</v>
      </c>
      <c r="F33" s="55">
        <v>8</v>
      </c>
      <c r="G33" s="55">
        <v>31.74989489351737</v>
      </c>
      <c r="H33" s="55">
        <v>-9.749894893517371</v>
      </c>
      <c r="I33"/>
      <c r="J33"/>
      <c r="K33"/>
      <c r="L33"/>
      <c r="M33"/>
      <c r="N33"/>
      <c r="O33"/>
      <c r="P33"/>
      <c r="Q33"/>
    </row>
    <row r="34" spans="1:17" ht="12.75">
      <c r="A34" s="2"/>
      <c r="B34" s="1">
        <f>COUNT(B2:B31)</f>
        <v>30</v>
      </c>
      <c r="F34" s="55">
        <v>9</v>
      </c>
      <c r="G34" s="55">
        <v>51.45219423734879</v>
      </c>
      <c r="H34" s="55">
        <v>7.547805762651208</v>
      </c>
      <c r="I34"/>
      <c r="J34"/>
      <c r="K34"/>
      <c r="L34"/>
      <c r="M34"/>
      <c r="N34"/>
      <c r="O34"/>
      <c r="P34"/>
      <c r="Q34"/>
    </row>
    <row r="35" spans="6:17" ht="12.75">
      <c r="F35" s="55">
        <v>10</v>
      </c>
      <c r="G35" s="55">
        <v>30.552935899080147</v>
      </c>
      <c r="H35" s="55">
        <v>-4.552935899080147</v>
      </c>
      <c r="I35"/>
      <c r="J35"/>
      <c r="K35"/>
      <c r="L35"/>
      <c r="M35"/>
      <c r="N35"/>
      <c r="O35"/>
      <c r="P35"/>
      <c r="Q35"/>
    </row>
    <row r="36" spans="6:17" ht="12.75">
      <c r="F36" s="55">
        <v>11</v>
      </c>
      <c r="G36" s="55">
        <v>33.28545128869713</v>
      </c>
      <c r="H36" s="55">
        <v>-15.285451288697132</v>
      </c>
      <c r="I36"/>
      <c r="J36"/>
      <c r="K36"/>
      <c r="L36"/>
      <c r="M36"/>
      <c r="N36"/>
      <c r="O36"/>
      <c r="P36"/>
      <c r="Q36"/>
    </row>
    <row r="37" spans="6:17" ht="12.75">
      <c r="F37" s="55">
        <v>12</v>
      </c>
      <c r="G37" s="55">
        <v>32.23031741446497</v>
      </c>
      <c r="H37" s="55">
        <v>-5.23031741446497</v>
      </c>
      <c r="I37"/>
      <c r="J37"/>
      <c r="K37"/>
      <c r="L37"/>
      <c r="M37"/>
      <c r="N37"/>
      <c r="O37"/>
      <c r="P37"/>
      <c r="Q37"/>
    </row>
    <row r="38" spans="6:17" ht="12.75">
      <c r="F38" s="55">
        <v>13</v>
      </c>
      <c r="G38" s="55">
        <v>31.858233299773875</v>
      </c>
      <c r="H38" s="55">
        <v>14.141766700226125</v>
      </c>
      <c r="I38"/>
      <c r="J38"/>
      <c r="K38"/>
      <c r="L38"/>
      <c r="M38"/>
      <c r="N38"/>
      <c r="O38"/>
      <c r="P38"/>
      <c r="Q38"/>
    </row>
    <row r="39" spans="6:17" ht="12.75">
      <c r="F39" s="55">
        <v>14</v>
      </c>
      <c r="G39" s="55">
        <v>30.00336771165758</v>
      </c>
      <c r="H39" s="55">
        <v>4.996632288342418</v>
      </c>
      <c r="I39"/>
      <c r="J39"/>
      <c r="K39"/>
      <c r="L39"/>
      <c r="M39"/>
      <c r="N39"/>
      <c r="O39"/>
      <c r="P39"/>
      <c r="Q39"/>
    </row>
    <row r="40" spans="6:17" ht="12.75">
      <c r="F40" s="55">
        <v>15</v>
      </c>
      <c r="G40" s="55">
        <v>30.96455513808995</v>
      </c>
      <c r="H40" s="55">
        <v>11.035444861910051</v>
      </c>
      <c r="I40"/>
      <c r="J40"/>
      <c r="K40"/>
      <c r="L40"/>
      <c r="M40"/>
      <c r="N40"/>
      <c r="O40"/>
      <c r="P40"/>
      <c r="Q40"/>
    </row>
    <row r="41" spans="6:17" ht="12.75">
      <c r="F41" s="55">
        <v>16</v>
      </c>
      <c r="G41" s="55">
        <v>29.62334886760715</v>
      </c>
      <c r="H41" s="55">
        <v>0.3766511323928512</v>
      </c>
      <c r="I41"/>
      <c r="J41"/>
      <c r="K41"/>
      <c r="L41"/>
      <c r="M41"/>
      <c r="N41"/>
      <c r="O41"/>
      <c r="P41"/>
      <c r="Q41"/>
    </row>
    <row r="42" spans="6:17" ht="12.75">
      <c r="F42" s="55">
        <v>17</v>
      </c>
      <c r="G42" s="55">
        <v>30.372369951040312</v>
      </c>
      <c r="H42" s="55">
        <v>-0.37236995104031223</v>
      </c>
      <c r="I42"/>
      <c r="J42"/>
      <c r="K42"/>
      <c r="L42"/>
      <c r="M42"/>
      <c r="N42"/>
      <c r="O42"/>
      <c r="P42"/>
      <c r="Q42"/>
    </row>
    <row r="43" spans="6:17" ht="12.75">
      <c r="F43" s="55">
        <v>18</v>
      </c>
      <c r="G43" s="55">
        <v>33.091101164000165</v>
      </c>
      <c r="H43" s="55">
        <v>6.908898835999835</v>
      </c>
      <c r="I43"/>
      <c r="J43"/>
      <c r="K43"/>
      <c r="L43"/>
      <c r="M43"/>
      <c r="N43"/>
      <c r="O43"/>
      <c r="P43"/>
      <c r="Q43"/>
    </row>
    <row r="44" spans="6:17" ht="12.75">
      <c r="F44" s="55">
        <v>19</v>
      </c>
      <c r="G44" s="55">
        <v>32.59183380482338</v>
      </c>
      <c r="H44" s="55">
        <v>12.40816619517662</v>
      </c>
      <c r="I44"/>
      <c r="J44"/>
      <c r="K44"/>
      <c r="L44"/>
      <c r="M44"/>
      <c r="N44"/>
      <c r="O44"/>
      <c r="P44"/>
      <c r="Q44"/>
    </row>
    <row r="45" spans="6:17" ht="12.75">
      <c r="F45" s="55">
        <v>20</v>
      </c>
      <c r="G45" s="55">
        <v>32.59183380482338</v>
      </c>
      <c r="H45" s="55">
        <v>16.40816619517662</v>
      </c>
      <c r="I45"/>
      <c r="J45"/>
      <c r="K45"/>
      <c r="L45"/>
      <c r="M45"/>
      <c r="N45"/>
      <c r="O45"/>
      <c r="P45"/>
      <c r="Q45"/>
    </row>
    <row r="46" spans="6:17" ht="12.75">
      <c r="F46" s="55">
        <v>21</v>
      </c>
      <c r="G46" s="55">
        <v>30.00336771165758</v>
      </c>
      <c r="H46" s="55">
        <v>-4.003367711657582</v>
      </c>
      <c r="I46"/>
      <c r="J46"/>
      <c r="K46"/>
      <c r="L46"/>
      <c r="M46"/>
      <c r="N46"/>
      <c r="O46"/>
      <c r="P46"/>
      <c r="Q46"/>
    </row>
    <row r="47" spans="6:17" ht="12.75">
      <c r="F47" s="55">
        <v>22</v>
      </c>
      <c r="G47" s="55">
        <v>37.47877206251285</v>
      </c>
      <c r="H47" s="55">
        <v>10.521227937487147</v>
      </c>
      <c r="I47"/>
      <c r="J47"/>
      <c r="K47"/>
      <c r="L47"/>
      <c r="M47"/>
      <c r="N47"/>
      <c r="O47"/>
      <c r="P47"/>
      <c r="Q47"/>
    </row>
    <row r="48" spans="6:17" ht="12.75">
      <c r="F48" s="55">
        <v>23</v>
      </c>
      <c r="G48" s="55">
        <v>48.21495986430243</v>
      </c>
      <c r="H48" s="55">
        <v>-7.214959864302429</v>
      </c>
      <c r="I48"/>
      <c r="J48"/>
      <c r="K48"/>
      <c r="L48"/>
      <c r="M48"/>
      <c r="N48"/>
      <c r="O48"/>
      <c r="P48"/>
      <c r="Q48"/>
    </row>
    <row r="49" spans="6:17" ht="12.75">
      <c r="F49" s="55">
        <v>24</v>
      </c>
      <c r="G49" s="55">
        <v>42.62864834703012</v>
      </c>
      <c r="H49" s="55">
        <v>-2.628648347030122</v>
      </c>
      <c r="I49"/>
      <c r="J49"/>
      <c r="K49"/>
      <c r="L49"/>
      <c r="M49"/>
      <c r="N49"/>
      <c r="O49"/>
      <c r="P49"/>
      <c r="Q49"/>
    </row>
    <row r="50" spans="6:17" ht="12.75">
      <c r="F50" s="55">
        <v>25</v>
      </c>
      <c r="G50" s="55">
        <v>31.74989489351737</v>
      </c>
      <c r="H50" s="55">
        <v>-3.7498948935173715</v>
      </c>
      <c r="I50"/>
      <c r="J50"/>
      <c r="K50"/>
      <c r="L50"/>
      <c r="M50"/>
      <c r="N50"/>
      <c r="O50"/>
      <c r="P50"/>
      <c r="Q50"/>
    </row>
    <row r="51" spans="6:17" ht="12.75">
      <c r="F51" s="55">
        <v>26</v>
      </c>
      <c r="G51" s="55">
        <v>26.99005210888418</v>
      </c>
      <c r="H51" s="55">
        <v>6.0099478911158215</v>
      </c>
      <c r="I51"/>
      <c r="J51"/>
      <c r="K51"/>
      <c r="L51"/>
      <c r="M51"/>
      <c r="N51"/>
      <c r="O51"/>
      <c r="P51"/>
      <c r="Q51"/>
    </row>
    <row r="52" spans="6:17" ht="12.75">
      <c r="F52" s="55">
        <v>27</v>
      </c>
      <c r="G52" s="55">
        <v>27.1472107210629</v>
      </c>
      <c r="H52" s="55">
        <v>-3.1472107210629012</v>
      </c>
      <c r="I52"/>
      <c r="J52"/>
      <c r="K52"/>
      <c r="L52"/>
      <c r="M52"/>
      <c r="N52"/>
      <c r="O52"/>
      <c r="P52"/>
      <c r="Q52"/>
    </row>
    <row r="53" spans="6:17" ht="12.75">
      <c r="F53" s="55">
        <v>28</v>
      </c>
      <c r="G53" s="55">
        <v>25.30152961090565</v>
      </c>
      <c r="H53" s="55">
        <v>-4.30152961090565</v>
      </c>
      <c r="I53"/>
      <c r="J53"/>
      <c r="K53"/>
      <c r="L53"/>
      <c r="M53"/>
      <c r="N53"/>
      <c r="O53"/>
      <c r="P53"/>
      <c r="Q53"/>
    </row>
    <row r="54" spans="6:17" ht="12.75">
      <c r="F54" s="55">
        <v>29</v>
      </c>
      <c r="G54" s="55">
        <v>29.098338959922444</v>
      </c>
      <c r="H54" s="55">
        <v>5.901661040077556</v>
      </c>
      <c r="I54"/>
      <c r="J54"/>
      <c r="K54"/>
      <c r="L54"/>
      <c r="M54"/>
      <c r="N54"/>
      <c r="O54"/>
      <c r="P54"/>
      <c r="Q54"/>
    </row>
    <row r="55" spans="6:17" ht="12.75">
      <c r="F55" s="55">
        <v>30</v>
      </c>
      <c r="G55" s="55">
        <v>32.693266101647495</v>
      </c>
      <c r="H55" s="55">
        <v>-4.693266101647495</v>
      </c>
      <c r="I55"/>
      <c r="J55"/>
      <c r="K55"/>
      <c r="L55"/>
      <c r="M55"/>
      <c r="N55"/>
      <c r="O55"/>
      <c r="P55"/>
      <c r="Q55"/>
    </row>
    <row r="56" spans="6:17" ht="12.75">
      <c r="F56" s="55">
        <v>31</v>
      </c>
      <c r="G56" s="55">
        <v>31.419235110529627</v>
      </c>
      <c r="H56" s="55">
        <v>-13.419235110529627</v>
      </c>
      <c r="I56"/>
      <c r="J56"/>
      <c r="K56"/>
      <c r="L56"/>
      <c r="M56"/>
      <c r="N56"/>
      <c r="O56"/>
      <c r="P56"/>
      <c r="Q56"/>
    </row>
    <row r="57" spans="6:17" ht="13.5" thickBot="1">
      <c r="F57" s="56">
        <v>32</v>
      </c>
      <c r="G57" s="56">
        <v>26.3412652905676</v>
      </c>
      <c r="H57" s="56">
        <v>-2.3412652905675984</v>
      </c>
      <c r="I57"/>
      <c r="J57"/>
      <c r="K57"/>
      <c r="L57"/>
      <c r="M57"/>
      <c r="N57"/>
      <c r="O57"/>
      <c r="P57"/>
      <c r="Q57"/>
    </row>
    <row r="58" spans="9:17" ht="12.75">
      <c r="I58" s="55"/>
      <c r="J58" s="55"/>
      <c r="K58" s="55"/>
      <c r="L58"/>
      <c r="M58"/>
      <c r="N58"/>
      <c r="O58"/>
      <c r="P58"/>
      <c r="Q58"/>
    </row>
    <row r="59" spans="9:17" ht="12.75">
      <c r="I59" s="55"/>
      <c r="J59" s="55"/>
      <c r="K59" s="55"/>
      <c r="L59"/>
      <c r="M59"/>
      <c r="N59"/>
      <c r="O59"/>
      <c r="P59"/>
      <c r="Q59"/>
    </row>
    <row r="60" spans="9:17" ht="12.75">
      <c r="I60" s="55"/>
      <c r="J60" s="55"/>
      <c r="K60" s="55"/>
      <c r="L60"/>
      <c r="M60"/>
      <c r="N60"/>
      <c r="O60"/>
      <c r="P60"/>
      <c r="Q60"/>
    </row>
    <row r="61" spans="9:17" ht="12.75">
      <c r="I61" s="55"/>
      <c r="J61" s="55"/>
      <c r="K61" s="55"/>
      <c r="L61"/>
      <c r="M61"/>
      <c r="N61"/>
      <c r="O61"/>
      <c r="P61"/>
      <c r="Q61"/>
    </row>
    <row r="62" spans="9:17" ht="12.75">
      <c r="I62" s="55"/>
      <c r="J62" s="55"/>
      <c r="K62" s="55"/>
      <c r="L62"/>
      <c r="M62"/>
      <c r="N62"/>
      <c r="O62"/>
      <c r="P62"/>
      <c r="Q62"/>
    </row>
    <row r="63" spans="9:17" ht="12.75">
      <c r="I63" s="55"/>
      <c r="J63" s="55"/>
      <c r="K63" s="55"/>
      <c r="L63"/>
      <c r="M63"/>
      <c r="N63"/>
      <c r="O63"/>
      <c r="P63"/>
      <c r="Q63"/>
    </row>
    <row r="64" spans="9:17" ht="12.75">
      <c r="I64" s="55"/>
      <c r="J64" s="55"/>
      <c r="K64" s="55"/>
      <c r="L64"/>
      <c r="M64"/>
      <c r="N64"/>
      <c r="O64"/>
      <c r="P64"/>
      <c r="Q64"/>
    </row>
    <row r="65" spans="9:17" ht="12.75">
      <c r="I65" s="55"/>
      <c r="J65" s="55"/>
      <c r="K65" s="55"/>
      <c r="L65"/>
      <c r="M65"/>
      <c r="N65"/>
      <c r="O65"/>
      <c r="P65"/>
      <c r="Q65"/>
    </row>
    <row r="66" spans="9:17" ht="12.75">
      <c r="I66" s="55"/>
      <c r="J66" s="55"/>
      <c r="K66" s="55"/>
      <c r="L66"/>
      <c r="M66"/>
      <c r="N66"/>
      <c r="O66"/>
      <c r="P66"/>
      <c r="Q66"/>
    </row>
    <row r="67" spans="9:17" ht="13.5" thickBot="1">
      <c r="I67" s="56"/>
      <c r="J67" s="56"/>
      <c r="K67" s="56"/>
      <c r="L67"/>
      <c r="M67"/>
      <c r="N67"/>
      <c r="O67"/>
      <c r="P67"/>
      <c r="Q67"/>
    </row>
  </sheetData>
  <printOptions/>
  <pageMargins left="0.75" right="0.75" top="1" bottom="1" header="0.5" footer="0.5"/>
  <pageSetup fitToHeight="0" horizontalDpi="600" verticalDpi="600" orientation="landscape" scale="55" r:id="rId2"/>
  <headerFooter alignWithMargins="0">
    <oddFooter>&amp;L&amp;F&amp;CPage &amp;P of &amp;N&amp;R&amp;D</oddFooter>
  </headerFooter>
  <drawing r:id="rId1"/>
</worksheet>
</file>

<file path=xl/worksheets/sheet4.xml><?xml version="1.0" encoding="utf-8"?>
<worksheet xmlns="http://schemas.openxmlformats.org/spreadsheetml/2006/main" xmlns:r="http://schemas.openxmlformats.org/officeDocument/2006/relationships">
  <dimension ref="A1:H88"/>
  <sheetViews>
    <sheetView workbookViewId="0" topLeftCell="A62">
      <selection activeCell="K13" sqref="K13"/>
    </sheetView>
  </sheetViews>
  <sheetFormatPr defaultColWidth="9.140625" defaultRowHeight="12.75"/>
  <cols>
    <col min="1" max="1" width="25.57421875" style="0" customWidth="1"/>
    <col min="4" max="4" width="9.57421875" style="0" customWidth="1"/>
    <col min="5" max="5" width="13.00390625" style="0" customWidth="1"/>
    <col min="6" max="6" width="14.140625" style="0" customWidth="1"/>
    <col min="7" max="7" width="18.7109375" style="0" customWidth="1"/>
  </cols>
  <sheetData>
    <row r="1" spans="1:8" ht="12.75">
      <c r="A1" t="str">
        <f>singleSpecies!A1</f>
        <v>Species</v>
      </c>
      <c r="B1" t="str">
        <f>singleSpecies!N1</f>
        <v>AFR</v>
      </c>
      <c r="C1" t="str">
        <f>singleSpecies!S1</f>
        <v>IBI</v>
      </c>
      <c r="D1" t="str">
        <f>singleSpecies!Z1</f>
        <v>oldest age reprod female</v>
      </c>
      <c r="E1" t="str">
        <f>singleSpecies!AD1</f>
        <v>oldest age (est)</v>
      </c>
      <c r="F1" t="str">
        <f>singleSpecies!E1</f>
        <v>calf survival (S0)</v>
      </c>
      <c r="G1" t="str">
        <f>singleSpecies!G1</f>
        <v>Non-calf survival (SA)</v>
      </c>
      <c r="H1" t="s">
        <v>572</v>
      </c>
    </row>
    <row r="2" spans="1:8" ht="12.75">
      <c r="A2" t="str">
        <f>singleSpecies!A2</f>
        <v>Balaenoptera acutorostrata</v>
      </c>
      <c r="B2">
        <f>VALUE(singleSpecies!N2)</f>
        <v>8</v>
      </c>
      <c r="C2">
        <f>VALUE(singleSpecies!S2)</f>
        <v>1</v>
      </c>
      <c r="D2">
        <f>VALUE(singleSpecies!Z2)</f>
        <v>0</v>
      </c>
      <c r="E2">
        <f>VALUE(singleSpecies!AD2)</f>
        <v>51</v>
      </c>
      <c r="F2">
        <f>VALUE(singleSpecies!E2)</f>
        <v>0</v>
      </c>
      <c r="G2">
        <f>singleSpecies!G2</f>
        <v>0</v>
      </c>
      <c r="H2">
        <f>singleSpecies!AB2</f>
        <v>0</v>
      </c>
    </row>
    <row r="3" spans="1:8" ht="12.75">
      <c r="A3" t="str">
        <f>singleSpecies!A3</f>
        <v>Balaenoptera bonaerensis</v>
      </c>
      <c r="B3">
        <f>VALUE(singleSpecies!N3)</f>
        <v>8</v>
      </c>
      <c r="C3">
        <f>VALUE(singleSpecies!S3)</f>
        <v>1.2</v>
      </c>
      <c r="D3">
        <f>VALUE(singleSpecies!Z3)</f>
        <v>0</v>
      </c>
      <c r="E3">
        <f>VALUE(singleSpecies!AD3)</f>
        <v>51</v>
      </c>
      <c r="F3">
        <f>VALUE(singleSpecies!E3)</f>
        <v>0</v>
      </c>
      <c r="G3">
        <f>singleSpecies!G3</f>
        <v>0</v>
      </c>
      <c r="H3">
        <f>singleSpecies!AB3</f>
        <v>0</v>
      </c>
    </row>
    <row r="4" spans="1:8" ht="12.75">
      <c r="A4" t="str">
        <f>singleSpecies!A4</f>
        <v>Balaenoptera borealis</v>
      </c>
      <c r="B4">
        <f>VALUE(singleSpecies!N4)</f>
        <v>9</v>
      </c>
      <c r="C4">
        <f>VALUE(singleSpecies!S4)</f>
        <v>2.5</v>
      </c>
      <c r="D4">
        <f>VALUE(singleSpecies!Z4)</f>
        <v>53</v>
      </c>
      <c r="E4">
        <f>VALUE(singleSpecies!AD4)</f>
        <v>54</v>
      </c>
      <c r="F4">
        <f>VALUE(singleSpecies!E4)</f>
        <v>0</v>
      </c>
      <c r="G4">
        <f>singleSpecies!G4</f>
        <v>0</v>
      </c>
      <c r="H4">
        <f>singleSpecies!AB4</f>
        <v>0</v>
      </c>
    </row>
    <row r="5" spans="1:8" ht="12.75">
      <c r="A5" t="str">
        <f>singleSpecies!A5</f>
        <v>Balaenoptera edeni</v>
      </c>
      <c r="B5">
        <f>VALUE(singleSpecies!N5)</f>
        <v>9</v>
      </c>
      <c r="C5">
        <f>VALUE(singleSpecies!S5)</f>
        <v>2.5</v>
      </c>
      <c r="D5">
        <f>VALUE(singleSpecies!Z5)</f>
        <v>0</v>
      </c>
      <c r="E5">
        <f>VALUE(singleSpecies!AD5)</f>
        <v>53</v>
      </c>
      <c r="F5">
        <f>VALUE(singleSpecies!E5)</f>
        <v>0.84</v>
      </c>
      <c r="G5">
        <f>singleSpecies!G5</f>
        <v>0.925</v>
      </c>
      <c r="H5">
        <f>singleSpecies!AB5</f>
        <v>0</v>
      </c>
    </row>
    <row r="6" spans="1:8" ht="12.75">
      <c r="A6" t="str">
        <f>singleSpecies!A6</f>
        <v>Balaenoptera omurai</v>
      </c>
      <c r="B6">
        <f>VALUE(singleSpecies!N6)</f>
        <v>9</v>
      </c>
      <c r="C6">
        <f>VALUE(singleSpecies!S6)</f>
        <v>2.5</v>
      </c>
      <c r="D6">
        <f>VALUE(singleSpecies!Z6)</f>
        <v>0</v>
      </c>
      <c r="E6">
        <f>VALUE(singleSpecies!AD6)</f>
        <v>54</v>
      </c>
      <c r="F6">
        <f>VALUE(singleSpecies!E6)</f>
        <v>0</v>
      </c>
      <c r="G6">
        <f>singleSpecies!G6</f>
        <v>0</v>
      </c>
      <c r="H6">
        <f>singleSpecies!AB6</f>
        <v>0</v>
      </c>
    </row>
    <row r="7" spans="1:8" ht="12.75">
      <c r="A7" t="str">
        <f>singleSpecies!A7</f>
        <v>Balaenoptera physalus</v>
      </c>
      <c r="B7">
        <f>VALUE(singleSpecies!N7)</f>
        <v>10</v>
      </c>
      <c r="C7">
        <f>VALUE(singleSpecies!S7)</f>
        <v>2.24</v>
      </c>
      <c r="D7">
        <f>VALUE(singleSpecies!Z7)</f>
        <v>0</v>
      </c>
      <c r="E7">
        <f>VALUE(singleSpecies!AD7)</f>
        <v>62</v>
      </c>
      <c r="F7">
        <f>VALUE(singleSpecies!E7)</f>
        <v>0</v>
      </c>
      <c r="G7">
        <f>singleSpecies!G7</f>
        <v>0.96</v>
      </c>
      <c r="H7">
        <f>singleSpecies!AB7</f>
        <v>0</v>
      </c>
    </row>
    <row r="8" spans="1:8" ht="12.75">
      <c r="A8" t="str">
        <f>singleSpecies!A8</f>
        <v>Balaenoptera musculus</v>
      </c>
      <c r="B8">
        <f>VALUE(singleSpecies!N8)</f>
        <v>11</v>
      </c>
      <c r="C8">
        <f>VALUE(singleSpecies!S8)</f>
        <v>2.5</v>
      </c>
      <c r="D8">
        <f>VALUE(singleSpecies!Z8)</f>
        <v>0</v>
      </c>
      <c r="E8">
        <f>VALUE(singleSpecies!AD8)</f>
        <v>65</v>
      </c>
      <c r="F8">
        <f>VALUE(singleSpecies!E8)</f>
        <v>0</v>
      </c>
      <c r="G8">
        <f>singleSpecies!G8</f>
        <v>0.975</v>
      </c>
      <c r="H8">
        <f>singleSpecies!AB8</f>
        <v>0</v>
      </c>
    </row>
    <row r="9" spans="1:8" ht="12.75">
      <c r="A9" t="str">
        <f>singleSpecies!A9</f>
        <v>Megaptera novaeangliae</v>
      </c>
      <c r="B9">
        <f>VALUE(singleSpecies!N9)</f>
        <v>6</v>
      </c>
      <c r="C9">
        <f>VALUE(singleSpecies!S9)</f>
        <v>2.36</v>
      </c>
      <c r="D9">
        <f>VALUE(singleSpecies!Z9)</f>
        <v>0</v>
      </c>
      <c r="E9">
        <f>VALUE(singleSpecies!AD9)</f>
        <v>55</v>
      </c>
      <c r="F9">
        <f>VALUE(singleSpecies!E9)</f>
        <v>0.76</v>
      </c>
      <c r="G9">
        <f>singleSpecies!G9</f>
        <v>0.96</v>
      </c>
      <c r="H9">
        <f>singleSpecies!AB9</f>
        <v>0</v>
      </c>
    </row>
    <row r="10" spans="1:8" ht="12.75">
      <c r="A10" t="str">
        <f>singleSpecies!A10</f>
        <v>Caperea marginata</v>
      </c>
      <c r="B10">
        <f>VALUE(singleSpecies!N10)</f>
        <v>0</v>
      </c>
      <c r="C10">
        <f>VALUE(singleSpecies!S10)</f>
        <v>0</v>
      </c>
      <c r="D10">
        <f>VALUE(singleSpecies!Z10)</f>
        <v>0</v>
      </c>
      <c r="E10">
        <f>VALUE(singleSpecies!AD10)</f>
        <v>45</v>
      </c>
      <c r="F10">
        <f>VALUE(singleSpecies!E10)</f>
        <v>0</v>
      </c>
      <c r="G10">
        <f>singleSpecies!G10</f>
        <v>0</v>
      </c>
      <c r="H10">
        <f>singleSpecies!AB10</f>
        <v>0</v>
      </c>
    </row>
    <row r="11" spans="1:8" ht="12.75">
      <c r="A11" t="str">
        <f>singleSpecies!A11</f>
        <v>Eschrichtius robustus</v>
      </c>
      <c r="B11">
        <f>VALUE(singleSpecies!N11)</f>
        <v>10</v>
      </c>
      <c r="C11">
        <f>VALUE(singleSpecies!S11)</f>
        <v>2</v>
      </c>
      <c r="D11">
        <f>VALUE(singleSpecies!Z11)</f>
        <v>0</v>
      </c>
      <c r="E11">
        <f>VALUE(singleSpecies!AD11)</f>
        <v>55</v>
      </c>
      <c r="F11">
        <f>VALUE(singleSpecies!E11)</f>
        <v>0.7</v>
      </c>
      <c r="G11">
        <f>singleSpecies!G11</f>
        <v>0.95</v>
      </c>
      <c r="H11">
        <f>singleSpecies!AB11</f>
        <v>0</v>
      </c>
    </row>
    <row r="12" spans="1:8" ht="12.75">
      <c r="A12" t="str">
        <f>singleSpecies!A12</f>
        <v>Balaena mysticetus</v>
      </c>
      <c r="B12">
        <f>VALUE(singleSpecies!N12)</f>
        <v>20</v>
      </c>
      <c r="C12">
        <f>VALUE(singleSpecies!S12)</f>
        <v>3.1</v>
      </c>
      <c r="D12">
        <f>VALUE(singleSpecies!Z12)</f>
        <v>118</v>
      </c>
      <c r="E12">
        <f>VALUE(singleSpecies!AD12)</f>
        <v>58</v>
      </c>
      <c r="F12">
        <f>VALUE(singleSpecies!E12)</f>
        <v>0</v>
      </c>
      <c r="G12">
        <f>singleSpecies!G12</f>
        <v>0.98</v>
      </c>
      <c r="H12">
        <f>singleSpecies!AB12</f>
        <v>0</v>
      </c>
    </row>
    <row r="13" spans="1:8" ht="12.75">
      <c r="A13" t="str">
        <f>singleSpecies!A13</f>
        <v>Eubalaena australis</v>
      </c>
      <c r="B13">
        <f>VALUE(singleSpecies!N13)</f>
        <v>8</v>
      </c>
      <c r="C13">
        <f>VALUE(singleSpecies!S13)</f>
        <v>3.12</v>
      </c>
      <c r="D13">
        <f>VALUE(singleSpecies!Z13)</f>
        <v>0</v>
      </c>
      <c r="E13">
        <f>VALUE(singleSpecies!AD13)</f>
        <v>57</v>
      </c>
      <c r="F13">
        <f>VALUE(singleSpecies!E13)</f>
        <v>0.91</v>
      </c>
      <c r="G13">
        <f>singleSpecies!G13</f>
        <v>0.986</v>
      </c>
      <c r="H13">
        <f>singleSpecies!AB13</f>
        <v>0</v>
      </c>
    </row>
    <row r="14" spans="1:8" ht="12.75">
      <c r="A14" t="str">
        <f>singleSpecies!A14</f>
        <v>Eubalaena glacialis</v>
      </c>
      <c r="B14">
        <f>VALUE(singleSpecies!N14)</f>
        <v>10</v>
      </c>
      <c r="C14">
        <f>VALUE(singleSpecies!S14)</f>
        <v>4</v>
      </c>
      <c r="D14">
        <f>VALUE(singleSpecies!Z14)</f>
        <v>69</v>
      </c>
      <c r="E14">
        <f>VALUE(singleSpecies!AD14)</f>
        <v>57</v>
      </c>
      <c r="F14">
        <f>VALUE(singleSpecies!E14)</f>
        <v>0.88</v>
      </c>
      <c r="G14">
        <f>singleSpecies!G14</f>
        <v>0.99</v>
      </c>
      <c r="H14">
        <f>singleSpecies!AB14</f>
        <v>0</v>
      </c>
    </row>
    <row r="15" spans="1:8" ht="12.75">
      <c r="A15" t="str">
        <f>singleSpecies!A15</f>
        <v>Eubalaena japonica</v>
      </c>
      <c r="B15">
        <f>VALUE(singleSpecies!N15)</f>
        <v>9</v>
      </c>
      <c r="C15">
        <f>VALUE(singleSpecies!S15)</f>
        <v>4</v>
      </c>
      <c r="D15">
        <f>VALUE(singleSpecies!Z15)</f>
        <v>0</v>
      </c>
      <c r="E15">
        <f>VALUE(singleSpecies!AD15)</f>
        <v>57</v>
      </c>
      <c r="F15">
        <f>VALUE(singleSpecies!E15)</f>
        <v>0.895</v>
      </c>
      <c r="G15">
        <f>singleSpecies!G15</f>
        <v>0.988</v>
      </c>
      <c r="H15">
        <f>singleSpecies!AB15</f>
        <v>0</v>
      </c>
    </row>
    <row r="16" spans="1:8" ht="12.75">
      <c r="A16" t="str">
        <f>singleSpecies!A16</f>
        <v>Berardius arnuxii</v>
      </c>
      <c r="B16">
        <f>VALUE(singleSpecies!N16)</f>
        <v>14</v>
      </c>
      <c r="C16">
        <f>VALUE(singleSpecies!S16)</f>
        <v>2</v>
      </c>
      <c r="D16">
        <f>VALUE(singleSpecies!Z16)</f>
        <v>0</v>
      </c>
      <c r="E16">
        <f>VALUE(singleSpecies!AD16)</f>
        <v>49</v>
      </c>
      <c r="F16">
        <f>VALUE(singleSpecies!E16)</f>
        <v>0</v>
      </c>
      <c r="G16">
        <f>singleSpecies!G16</f>
        <v>0</v>
      </c>
      <c r="H16">
        <f>singleSpecies!AB16</f>
        <v>0</v>
      </c>
    </row>
    <row r="17" spans="1:8" ht="12.75">
      <c r="A17" t="str">
        <f>singleSpecies!A17</f>
        <v>Berardius bairdii</v>
      </c>
      <c r="B17">
        <f>VALUE(singleSpecies!N17)</f>
        <v>14</v>
      </c>
      <c r="C17">
        <f>VALUE(singleSpecies!S17)</f>
        <v>2</v>
      </c>
      <c r="D17">
        <f>VALUE(singleSpecies!Z17)</f>
        <v>54</v>
      </c>
      <c r="E17">
        <f>VALUE(singleSpecies!AD17)</f>
        <v>53</v>
      </c>
      <c r="F17">
        <f>VALUE(singleSpecies!E17)</f>
        <v>0</v>
      </c>
      <c r="G17">
        <f>singleSpecies!G17</f>
        <v>0</v>
      </c>
      <c r="H17">
        <f>singleSpecies!AB17</f>
        <v>0</v>
      </c>
    </row>
    <row r="18" spans="1:8" ht="12.75">
      <c r="A18" t="str">
        <f>singleSpecies!A18</f>
        <v>Hyperoodon ampullatus</v>
      </c>
      <c r="B18">
        <f>VALUE(singleSpecies!N18)</f>
        <v>14</v>
      </c>
      <c r="C18">
        <f>VALUE(singleSpecies!S18)</f>
        <v>2</v>
      </c>
      <c r="D18">
        <f>VALUE(singleSpecies!Z18)</f>
        <v>27</v>
      </c>
      <c r="E18">
        <f>VALUE(singleSpecies!AD18)</f>
        <v>48</v>
      </c>
      <c r="F18">
        <f>VALUE(singleSpecies!E18)</f>
        <v>0</v>
      </c>
      <c r="G18">
        <f>singleSpecies!G18</f>
        <v>0</v>
      </c>
      <c r="H18">
        <f>singleSpecies!AB18</f>
        <v>0</v>
      </c>
    </row>
    <row r="19" spans="1:8" ht="12.75">
      <c r="A19" t="str">
        <f>singleSpecies!A19</f>
        <v>Hyperoodon planifrons</v>
      </c>
      <c r="B19">
        <f>VALUE(singleSpecies!N19)</f>
        <v>14</v>
      </c>
      <c r="C19">
        <f>VALUE(singleSpecies!S19)</f>
        <v>2</v>
      </c>
      <c r="D19">
        <f>VALUE(singleSpecies!Z19)</f>
        <v>0</v>
      </c>
      <c r="E19">
        <f>VALUE(singleSpecies!AD19)</f>
        <v>46</v>
      </c>
      <c r="F19">
        <f>VALUE(singleSpecies!E19)</f>
        <v>0</v>
      </c>
      <c r="G19">
        <f>singleSpecies!G19</f>
        <v>0</v>
      </c>
      <c r="H19">
        <f>singleSpecies!AB19</f>
        <v>0</v>
      </c>
    </row>
    <row r="20" spans="1:8" ht="12.75">
      <c r="A20" t="str">
        <f>singleSpecies!A20</f>
        <v>Indopacetus pacificus</v>
      </c>
      <c r="B20">
        <f>VALUE(singleSpecies!N20)</f>
        <v>0</v>
      </c>
      <c r="C20">
        <f>VALUE(singleSpecies!S20)</f>
        <v>0</v>
      </c>
      <c r="D20">
        <f>VALUE(singleSpecies!Z20)</f>
        <v>0</v>
      </c>
      <c r="E20">
        <f>VALUE(singleSpecies!AD20)</f>
        <v>21</v>
      </c>
      <c r="F20">
        <f>VALUE(singleSpecies!E20)</f>
        <v>0</v>
      </c>
      <c r="G20">
        <f>singleSpecies!G20</f>
        <v>0</v>
      </c>
      <c r="H20">
        <f>singleSpecies!AB20</f>
        <v>0</v>
      </c>
    </row>
    <row r="21" spans="1:8" ht="12.75">
      <c r="A21" t="str">
        <f>singleSpecies!A21</f>
        <v>Mesoplodon bidens</v>
      </c>
      <c r="B21">
        <f>VALUE(singleSpecies!N21)</f>
        <v>0</v>
      </c>
      <c r="C21">
        <f>VALUE(singleSpecies!S21)</f>
        <v>0</v>
      </c>
      <c r="D21">
        <f>VALUE(singleSpecies!Z21)</f>
        <v>0</v>
      </c>
      <c r="E21">
        <f>VALUE(singleSpecies!AD21)</f>
        <v>41</v>
      </c>
      <c r="F21">
        <f>VALUE(singleSpecies!E21)</f>
        <v>0</v>
      </c>
      <c r="G21">
        <f>singleSpecies!G21</f>
        <v>0</v>
      </c>
      <c r="H21">
        <f>singleSpecies!AB21</f>
        <v>0</v>
      </c>
    </row>
    <row r="22" spans="1:8" ht="12.75">
      <c r="A22" t="str">
        <f>singleSpecies!A22</f>
        <v>Mesoplodon blainvillei</v>
      </c>
      <c r="B22">
        <f>VALUE(singleSpecies!N22)</f>
        <v>0</v>
      </c>
      <c r="C22">
        <f>VALUE(singleSpecies!S22)</f>
        <v>0</v>
      </c>
      <c r="D22">
        <f>VALUE(singleSpecies!Z22)</f>
        <v>0</v>
      </c>
      <c r="E22">
        <f>VALUE(singleSpecies!AD22)</f>
        <v>21</v>
      </c>
      <c r="F22">
        <f>VALUE(singleSpecies!E22)</f>
        <v>0</v>
      </c>
      <c r="G22">
        <f>singleSpecies!G22</f>
        <v>0</v>
      </c>
      <c r="H22">
        <f>singleSpecies!AB22</f>
        <v>0</v>
      </c>
    </row>
    <row r="23" spans="1:8" ht="12.75">
      <c r="A23" t="str">
        <f>singleSpecies!A23</f>
        <v>Mesoplodon bowdoini</v>
      </c>
      <c r="B23">
        <f>VALUE(singleSpecies!N23)</f>
        <v>0</v>
      </c>
      <c r="C23">
        <f>VALUE(singleSpecies!S23)</f>
        <v>0</v>
      </c>
      <c r="D23">
        <f>VALUE(singleSpecies!Z23)</f>
        <v>0</v>
      </c>
      <c r="E23">
        <f>VALUE(singleSpecies!AD23)</f>
        <v>41</v>
      </c>
      <c r="F23">
        <f>VALUE(singleSpecies!E23)</f>
        <v>0</v>
      </c>
      <c r="G23">
        <f>singleSpecies!G23</f>
        <v>0</v>
      </c>
      <c r="H23">
        <f>singleSpecies!AB23</f>
        <v>0</v>
      </c>
    </row>
    <row r="24" spans="1:8" ht="12.75">
      <c r="A24" t="str">
        <f>singleSpecies!A24</f>
        <v>Mesoplodon carlhubbsi</v>
      </c>
      <c r="B24">
        <f>VALUE(singleSpecies!N24)</f>
        <v>0</v>
      </c>
      <c r="C24">
        <f>VALUE(singleSpecies!S24)</f>
        <v>0</v>
      </c>
      <c r="D24">
        <f>VALUE(singleSpecies!Z24)</f>
        <v>0</v>
      </c>
      <c r="E24">
        <f>VALUE(singleSpecies!AD24)</f>
        <v>42</v>
      </c>
      <c r="F24">
        <f>VALUE(singleSpecies!E24)</f>
        <v>0</v>
      </c>
      <c r="G24">
        <f>singleSpecies!G24</f>
        <v>0</v>
      </c>
      <c r="H24">
        <f>singleSpecies!AB24</f>
        <v>0</v>
      </c>
    </row>
    <row r="25" spans="1:8" ht="12.75">
      <c r="A25" t="str">
        <f>singleSpecies!A25</f>
        <v>Mesoplodon densirostris</v>
      </c>
      <c r="B25">
        <f>VALUE(singleSpecies!N25)</f>
        <v>0</v>
      </c>
      <c r="C25">
        <f>VALUE(singleSpecies!S25)</f>
        <v>0</v>
      </c>
      <c r="D25">
        <f>VALUE(singleSpecies!Z25)</f>
        <v>0</v>
      </c>
      <c r="E25">
        <f>VALUE(singleSpecies!AD25)</f>
        <v>40</v>
      </c>
      <c r="F25">
        <f>VALUE(singleSpecies!E25)</f>
        <v>0</v>
      </c>
      <c r="G25">
        <f>singleSpecies!G25</f>
        <v>0</v>
      </c>
      <c r="H25">
        <f>singleSpecies!AB25</f>
        <v>0</v>
      </c>
    </row>
    <row r="26" spans="1:8" ht="12.75">
      <c r="A26" t="str">
        <f>singleSpecies!A26</f>
        <v>Mesoplodon europaeus</v>
      </c>
      <c r="B26">
        <f>VALUE(singleSpecies!N26)</f>
        <v>0</v>
      </c>
      <c r="C26">
        <f>VALUE(singleSpecies!S26)</f>
        <v>0</v>
      </c>
      <c r="D26">
        <f>VALUE(singleSpecies!Z26)</f>
        <v>0</v>
      </c>
      <c r="E26">
        <f>VALUE(singleSpecies!AD26)</f>
        <v>42</v>
      </c>
      <c r="F26">
        <f>VALUE(singleSpecies!E26)</f>
        <v>0</v>
      </c>
      <c r="G26">
        <f>singleSpecies!G26</f>
        <v>0</v>
      </c>
      <c r="H26">
        <f>singleSpecies!AB26</f>
        <v>0</v>
      </c>
    </row>
    <row r="27" spans="1:8" ht="12.75">
      <c r="A27" t="str">
        <f>singleSpecies!A27</f>
        <v>Mesoplodon ginkgodens</v>
      </c>
      <c r="B27">
        <f>VALUE(singleSpecies!N27)</f>
        <v>0</v>
      </c>
      <c r="C27">
        <f>VALUE(singleSpecies!S27)</f>
        <v>0</v>
      </c>
      <c r="D27">
        <f>VALUE(singleSpecies!Z27)</f>
        <v>0</v>
      </c>
      <c r="E27">
        <f>VALUE(singleSpecies!AD27)</f>
        <v>41</v>
      </c>
      <c r="F27">
        <f>VALUE(singleSpecies!E27)</f>
        <v>0</v>
      </c>
      <c r="G27">
        <f>singleSpecies!G27</f>
        <v>0</v>
      </c>
      <c r="H27">
        <f>singleSpecies!AB27</f>
        <v>0</v>
      </c>
    </row>
    <row r="28" spans="1:8" ht="12.75">
      <c r="A28" t="str">
        <f>singleSpecies!A28</f>
        <v>Mesoplodon grayi</v>
      </c>
      <c r="B28">
        <f>VALUE(singleSpecies!N28)</f>
        <v>0</v>
      </c>
      <c r="C28">
        <f>VALUE(singleSpecies!S28)</f>
        <v>0</v>
      </c>
      <c r="D28">
        <f>VALUE(singleSpecies!Z28)</f>
        <v>0</v>
      </c>
      <c r="E28">
        <f>VALUE(singleSpecies!AD28)</f>
        <v>42</v>
      </c>
      <c r="F28">
        <f>VALUE(singleSpecies!E28)</f>
        <v>0</v>
      </c>
      <c r="G28">
        <f>singleSpecies!G28</f>
        <v>0</v>
      </c>
      <c r="H28">
        <f>singleSpecies!AB28</f>
        <v>0</v>
      </c>
    </row>
    <row r="29" spans="1:8" ht="12.75">
      <c r="A29" t="str">
        <f>singleSpecies!A29</f>
        <v>Mesoplodon hectori</v>
      </c>
      <c r="B29">
        <f>VALUE(singleSpecies!N29)</f>
        <v>0</v>
      </c>
      <c r="C29">
        <f>VALUE(singleSpecies!S29)</f>
        <v>0</v>
      </c>
      <c r="D29">
        <f>VALUE(singleSpecies!Z29)</f>
        <v>0</v>
      </c>
      <c r="E29">
        <f>VALUE(singleSpecies!AD29)</f>
        <v>39</v>
      </c>
      <c r="F29">
        <f>VALUE(singleSpecies!E29)</f>
        <v>0</v>
      </c>
      <c r="G29">
        <f>singleSpecies!G29</f>
        <v>0</v>
      </c>
      <c r="H29">
        <f>singleSpecies!AB29</f>
        <v>0</v>
      </c>
    </row>
    <row r="30" spans="1:8" ht="12.75">
      <c r="A30" t="str">
        <f>singleSpecies!A30</f>
        <v>Mesoplodon layardii</v>
      </c>
      <c r="B30">
        <f>VALUE(singleSpecies!N30)</f>
        <v>0</v>
      </c>
      <c r="C30">
        <f>VALUE(singleSpecies!S30)</f>
        <v>0</v>
      </c>
      <c r="D30">
        <f>VALUE(singleSpecies!Z30)</f>
        <v>0</v>
      </c>
      <c r="E30">
        <f>VALUE(singleSpecies!AD30)</f>
        <v>44</v>
      </c>
      <c r="F30">
        <f>VALUE(singleSpecies!E30)</f>
        <v>0</v>
      </c>
      <c r="G30">
        <f>singleSpecies!G30</f>
        <v>0</v>
      </c>
      <c r="H30">
        <f>singleSpecies!AB30</f>
        <v>0</v>
      </c>
    </row>
    <row r="31" spans="1:8" ht="12.75">
      <c r="A31" t="str">
        <f>singleSpecies!A31</f>
        <v>Mesoplodon mirus</v>
      </c>
      <c r="B31">
        <f>VALUE(singleSpecies!N31)</f>
        <v>0</v>
      </c>
      <c r="C31">
        <f>VALUE(singleSpecies!S31)</f>
        <v>0</v>
      </c>
      <c r="D31">
        <f>VALUE(singleSpecies!Z31)</f>
        <v>0</v>
      </c>
      <c r="E31">
        <f>VALUE(singleSpecies!AD31)</f>
        <v>42</v>
      </c>
      <c r="F31">
        <f>VALUE(singleSpecies!E31)</f>
        <v>0</v>
      </c>
      <c r="G31">
        <f>singleSpecies!G31</f>
        <v>0</v>
      </c>
      <c r="H31">
        <f>singleSpecies!AB31</f>
        <v>0</v>
      </c>
    </row>
    <row r="32" spans="1:8" ht="12.75">
      <c r="A32" t="str">
        <f>singleSpecies!A32</f>
        <v>Mesoplodon perrini</v>
      </c>
      <c r="B32">
        <f>VALUE(singleSpecies!N32)</f>
        <v>0</v>
      </c>
      <c r="C32">
        <f>VALUE(singleSpecies!S32)</f>
        <v>0</v>
      </c>
      <c r="D32">
        <f>VALUE(singleSpecies!Z32)</f>
        <v>0</v>
      </c>
      <c r="E32">
        <f>VALUE(singleSpecies!AD32)</f>
        <v>21</v>
      </c>
      <c r="F32">
        <f>VALUE(singleSpecies!E32)</f>
        <v>0</v>
      </c>
      <c r="G32">
        <f>singleSpecies!G32</f>
        <v>0</v>
      </c>
      <c r="H32">
        <f>singleSpecies!AB32</f>
        <v>0</v>
      </c>
    </row>
    <row r="33" spans="1:8" ht="12.75">
      <c r="A33" t="str">
        <f>singleSpecies!A33</f>
        <v>Mesoplodon peruvianus</v>
      </c>
      <c r="B33">
        <f>VALUE(singleSpecies!N33)</f>
        <v>0</v>
      </c>
      <c r="C33">
        <f>VALUE(singleSpecies!S33)</f>
        <v>0</v>
      </c>
      <c r="D33">
        <f>VALUE(singleSpecies!Z33)</f>
        <v>0</v>
      </c>
      <c r="E33">
        <f>VALUE(singleSpecies!AD33)</f>
        <v>38</v>
      </c>
      <c r="F33">
        <f>VALUE(singleSpecies!E33)</f>
        <v>0</v>
      </c>
      <c r="G33">
        <f>singleSpecies!G33</f>
        <v>0</v>
      </c>
      <c r="H33">
        <f>singleSpecies!AB33</f>
        <v>0</v>
      </c>
    </row>
    <row r="34" spans="1:8" ht="12.75">
      <c r="A34" t="str">
        <f>singleSpecies!A34</f>
        <v>Mesoplodon stejnegeri</v>
      </c>
      <c r="B34">
        <f>VALUE(singleSpecies!N34)</f>
        <v>0</v>
      </c>
      <c r="C34">
        <f>VALUE(singleSpecies!S34)</f>
        <v>0</v>
      </c>
      <c r="D34">
        <f>VALUE(singleSpecies!Z34)</f>
        <v>0</v>
      </c>
      <c r="E34">
        <f>VALUE(singleSpecies!AD34)</f>
        <v>43</v>
      </c>
      <c r="F34">
        <f>VALUE(singleSpecies!E34)</f>
        <v>0</v>
      </c>
      <c r="G34">
        <f>singleSpecies!G34</f>
        <v>0</v>
      </c>
      <c r="H34">
        <f>singleSpecies!AB34</f>
        <v>0</v>
      </c>
    </row>
    <row r="35" spans="1:8" ht="12.75">
      <c r="A35" t="str">
        <f>singleSpecies!A35</f>
        <v>Mesoplodon traversii</v>
      </c>
      <c r="B35">
        <f>VALUE(singleSpecies!N35)</f>
        <v>0</v>
      </c>
      <c r="C35">
        <f>VALUE(singleSpecies!S35)</f>
        <v>0</v>
      </c>
      <c r="D35">
        <f>VALUE(singleSpecies!Z35)</f>
        <v>0</v>
      </c>
      <c r="E35">
        <f>VALUE(singleSpecies!AD35)</f>
        <v>21</v>
      </c>
      <c r="F35">
        <f>VALUE(singleSpecies!E35)</f>
        <v>0</v>
      </c>
      <c r="G35">
        <f>singleSpecies!G35</f>
        <v>0</v>
      </c>
      <c r="H35">
        <f>singleSpecies!AB35</f>
        <v>0</v>
      </c>
    </row>
    <row r="36" spans="1:8" ht="12.75">
      <c r="A36" t="str">
        <f>singleSpecies!A36</f>
        <v>Tasmacetus shepherdi</v>
      </c>
      <c r="B36">
        <f>VALUE(singleSpecies!N36)</f>
        <v>0</v>
      </c>
      <c r="C36">
        <f>VALUE(singleSpecies!S36)</f>
        <v>0</v>
      </c>
      <c r="D36">
        <f>VALUE(singleSpecies!Z36)</f>
        <v>0</v>
      </c>
      <c r="E36">
        <f>VALUE(singleSpecies!AD36)</f>
        <v>45</v>
      </c>
      <c r="F36">
        <f>VALUE(singleSpecies!E36)</f>
        <v>0</v>
      </c>
      <c r="G36">
        <f>singleSpecies!G36</f>
        <v>0</v>
      </c>
      <c r="H36">
        <f>singleSpecies!AB36</f>
        <v>0</v>
      </c>
    </row>
    <row r="37" spans="1:8" ht="12.75">
      <c r="A37" t="str">
        <f>singleSpecies!A37</f>
        <v>Ziphius cavirostris</v>
      </c>
      <c r="B37">
        <f>VALUE(singleSpecies!N37)</f>
        <v>0</v>
      </c>
      <c r="C37">
        <f>VALUE(singleSpecies!S37)</f>
        <v>0</v>
      </c>
      <c r="D37">
        <f>VALUE(singleSpecies!Z37)</f>
        <v>0</v>
      </c>
      <c r="E37">
        <f>VALUE(singleSpecies!AD37)</f>
        <v>46</v>
      </c>
      <c r="F37">
        <f>VALUE(singleSpecies!E37)</f>
        <v>0</v>
      </c>
      <c r="G37">
        <f>singleSpecies!G37</f>
        <v>0</v>
      </c>
      <c r="H37">
        <f>singleSpecies!AB37</f>
        <v>0</v>
      </c>
    </row>
    <row r="38" spans="1:8" ht="12.75">
      <c r="A38" t="str">
        <f>singleSpecies!A38</f>
        <v>Delphinapterus leucas</v>
      </c>
      <c r="B38">
        <f>VALUE(singleSpecies!N38)</f>
        <v>7</v>
      </c>
      <c r="C38">
        <f>VALUE(singleSpecies!S38)</f>
        <v>2.875</v>
      </c>
      <c r="D38">
        <f>VALUE(singleSpecies!Z38)</f>
        <v>35</v>
      </c>
      <c r="E38">
        <f>VALUE(singleSpecies!AD38)</f>
        <v>39</v>
      </c>
      <c r="F38">
        <f>VALUE(singleSpecies!E38)</f>
        <v>0</v>
      </c>
      <c r="G38">
        <f>singleSpecies!G38</f>
        <v>0</v>
      </c>
      <c r="H38">
        <f>singleSpecies!AB38</f>
        <v>0</v>
      </c>
    </row>
    <row r="39" spans="1:8" ht="12.75">
      <c r="A39" t="str">
        <f>singleSpecies!A39</f>
        <v>Monodon monoceros</v>
      </c>
      <c r="B39">
        <f>VALUE(singleSpecies!N39)</f>
        <v>8</v>
      </c>
      <c r="C39">
        <f>VALUE(singleSpecies!S39)</f>
        <v>3</v>
      </c>
      <c r="D39">
        <f>VALUE(singleSpecies!Z39)</f>
        <v>50</v>
      </c>
      <c r="E39">
        <f>VALUE(singleSpecies!AD39)</f>
        <v>39</v>
      </c>
      <c r="F39">
        <f>VALUE(singleSpecies!E39)</f>
        <v>0</v>
      </c>
      <c r="G39">
        <f>singleSpecies!G39</f>
        <v>0</v>
      </c>
      <c r="H39">
        <f>singleSpecies!AB39</f>
        <v>0</v>
      </c>
    </row>
    <row r="40" spans="1:8" ht="12.75">
      <c r="A40" t="str">
        <f>singleSpecies!A40</f>
        <v>Kogia breviceps</v>
      </c>
      <c r="B40">
        <f>VALUE(singleSpecies!N40)</f>
        <v>6</v>
      </c>
      <c r="C40">
        <f>VALUE(singleSpecies!S40)</f>
        <v>2</v>
      </c>
      <c r="D40">
        <f>VALUE(singleSpecies!Z40)</f>
        <v>23</v>
      </c>
      <c r="E40">
        <f>VALUE(singleSpecies!AD40)</f>
        <v>36</v>
      </c>
      <c r="F40">
        <f>VALUE(singleSpecies!E40)</f>
        <v>0</v>
      </c>
      <c r="G40">
        <f>singleSpecies!G40</f>
        <v>0</v>
      </c>
      <c r="H40">
        <f>singleSpecies!AB40</f>
        <v>0</v>
      </c>
    </row>
    <row r="41" spans="1:8" ht="12.75">
      <c r="A41" t="str">
        <f>singleSpecies!A41</f>
        <v>Kogia sima</v>
      </c>
      <c r="B41">
        <f>VALUE(singleSpecies!N41)</f>
        <v>6</v>
      </c>
      <c r="C41">
        <f>VALUE(singleSpecies!S41)</f>
        <v>2</v>
      </c>
      <c r="D41">
        <f>VALUE(singleSpecies!Z41)</f>
        <v>22</v>
      </c>
      <c r="E41">
        <f>VALUE(singleSpecies!AD41)</f>
        <v>32</v>
      </c>
      <c r="F41">
        <f>VALUE(singleSpecies!E41)</f>
        <v>0</v>
      </c>
      <c r="G41">
        <f>singleSpecies!G41</f>
        <v>0</v>
      </c>
      <c r="H41">
        <f>singleSpecies!AB41</f>
        <v>0</v>
      </c>
    </row>
    <row r="42" spans="1:8" ht="12.75">
      <c r="A42" t="str">
        <f>singleSpecies!A42</f>
        <v>Physeter macrocephalus</v>
      </c>
      <c r="B42">
        <f>VALUE(singleSpecies!N42)</f>
        <v>12</v>
      </c>
      <c r="C42">
        <f>VALUE(singleSpecies!S42)</f>
        <v>5</v>
      </c>
      <c r="D42">
        <f>VALUE(singleSpecies!Z42)</f>
        <v>59</v>
      </c>
      <c r="E42">
        <f>VALUE(singleSpecies!AD42)</f>
        <v>51</v>
      </c>
      <c r="F42">
        <f>VALUE(singleSpecies!E42)</f>
        <v>0</v>
      </c>
      <c r="G42">
        <f>singleSpecies!G42</f>
        <v>0</v>
      </c>
      <c r="H42">
        <f>singleSpecies!AB42</f>
        <v>75</v>
      </c>
    </row>
    <row r="43" spans="1:8" ht="12.75">
      <c r="A43" t="str">
        <f>singleSpecies!A43</f>
        <v>Cephalorhynchus commersonii</v>
      </c>
      <c r="B43">
        <f>VALUE(singleSpecies!N43)</f>
        <v>7</v>
      </c>
      <c r="C43">
        <f>VALUE(singleSpecies!S43)</f>
        <v>2</v>
      </c>
      <c r="D43">
        <f>VALUE(singleSpecies!Z43)</f>
        <v>0</v>
      </c>
      <c r="E43">
        <f>VALUE(singleSpecies!AD43)</f>
        <v>28</v>
      </c>
      <c r="F43">
        <f>VALUE(singleSpecies!E43)</f>
        <v>0.673</v>
      </c>
      <c r="G43">
        <f>singleSpecies!G43</f>
        <v>0.914</v>
      </c>
      <c r="H43">
        <f>singleSpecies!AB43</f>
        <v>0</v>
      </c>
    </row>
    <row r="44" spans="1:8" ht="12.75">
      <c r="A44" t="str">
        <f>singleSpecies!A44</f>
        <v>Cephalorhynchus eutropia</v>
      </c>
      <c r="B44">
        <f>VALUE(singleSpecies!N44)</f>
        <v>7</v>
      </c>
      <c r="C44">
        <f>VALUE(singleSpecies!S44)</f>
        <v>2</v>
      </c>
      <c r="D44">
        <f>VALUE(singleSpecies!Z44)</f>
        <v>0</v>
      </c>
      <c r="E44">
        <f>VALUE(singleSpecies!AD44)</f>
        <v>27</v>
      </c>
      <c r="F44">
        <f>VALUE(singleSpecies!E44)</f>
        <v>0</v>
      </c>
      <c r="G44">
        <f>singleSpecies!G44</f>
        <v>0</v>
      </c>
      <c r="H44">
        <f>singleSpecies!AB44</f>
        <v>0</v>
      </c>
    </row>
    <row r="45" spans="1:8" ht="12.75">
      <c r="A45" t="str">
        <f>singleSpecies!A45</f>
        <v>Cephalorhynchus heavisidii</v>
      </c>
      <c r="B45">
        <f>VALUE(singleSpecies!N45)</f>
        <v>7</v>
      </c>
      <c r="C45">
        <f>VALUE(singleSpecies!S45)</f>
        <v>2</v>
      </c>
      <c r="D45">
        <f>VALUE(singleSpecies!Z45)</f>
        <v>0</v>
      </c>
      <c r="E45">
        <f>VALUE(singleSpecies!AD45)</f>
        <v>28</v>
      </c>
      <c r="F45">
        <f>VALUE(singleSpecies!E45)</f>
        <v>0</v>
      </c>
      <c r="G45">
        <f>singleSpecies!G45</f>
        <v>0</v>
      </c>
      <c r="H45">
        <f>singleSpecies!AB45</f>
        <v>0</v>
      </c>
    </row>
    <row r="46" spans="1:8" ht="12.75">
      <c r="A46" t="str">
        <f>singleSpecies!A46</f>
        <v>Cephalorhynchus hectori</v>
      </c>
      <c r="B46">
        <f>VALUE(singleSpecies!N46)</f>
        <v>7</v>
      </c>
      <c r="C46">
        <f>VALUE(singleSpecies!S46)</f>
        <v>2</v>
      </c>
      <c r="D46">
        <f>VALUE(singleSpecies!Z46)</f>
        <v>0</v>
      </c>
      <c r="E46">
        <f>VALUE(singleSpecies!AD46)</f>
        <v>27</v>
      </c>
      <c r="F46">
        <f>VALUE(singleSpecies!E46)</f>
        <v>0</v>
      </c>
      <c r="G46">
        <f>singleSpecies!G46</f>
        <v>0.938</v>
      </c>
      <c r="H46">
        <f>singleSpecies!AB46</f>
        <v>0</v>
      </c>
    </row>
    <row r="47" spans="1:8" ht="12.75">
      <c r="A47" t="str">
        <f>singleSpecies!A47</f>
        <v>Delphinus capensis</v>
      </c>
      <c r="B47">
        <f>VALUE(singleSpecies!N47)</f>
        <v>9</v>
      </c>
      <c r="C47">
        <f>VALUE(singleSpecies!S47)</f>
        <v>2.1</v>
      </c>
      <c r="D47">
        <f>VALUE(singleSpecies!Z47)</f>
        <v>0</v>
      </c>
      <c r="E47">
        <f>VALUE(singleSpecies!AD47)</f>
        <v>31</v>
      </c>
      <c r="F47">
        <f>VALUE(singleSpecies!E47)</f>
        <v>0</v>
      </c>
      <c r="G47">
        <f>singleSpecies!G47</f>
        <v>0</v>
      </c>
      <c r="H47">
        <f>singleSpecies!AB47</f>
        <v>0</v>
      </c>
    </row>
    <row r="48" spans="1:8" ht="12.75">
      <c r="A48" t="str">
        <f>singleSpecies!A48</f>
        <v>Delphinus delphis</v>
      </c>
      <c r="B48">
        <f>VALUE(singleSpecies!N48)</f>
        <v>9</v>
      </c>
      <c r="C48">
        <f>VALUE(singleSpecies!S48)</f>
        <v>2.1</v>
      </c>
      <c r="D48">
        <f>VALUE(singleSpecies!Z48)</f>
        <v>26</v>
      </c>
      <c r="E48">
        <f>VALUE(singleSpecies!AD48)</f>
        <v>31</v>
      </c>
      <c r="F48">
        <f>VALUE(singleSpecies!E48)</f>
        <v>0</v>
      </c>
      <c r="G48">
        <f>singleSpecies!G48</f>
        <v>0</v>
      </c>
      <c r="H48">
        <f>singleSpecies!AB48</f>
        <v>0</v>
      </c>
    </row>
    <row r="49" spans="1:8" ht="12.75">
      <c r="A49" t="str">
        <f>singleSpecies!A49</f>
        <v>Lagenodelphis hosei</v>
      </c>
      <c r="B49">
        <f>VALUE(singleSpecies!N49)</f>
        <v>8</v>
      </c>
      <c r="C49">
        <f>VALUE(singleSpecies!S49)</f>
        <v>2</v>
      </c>
      <c r="D49">
        <f>VALUE(singleSpecies!Z49)</f>
        <v>18</v>
      </c>
      <c r="E49">
        <f>VALUE(singleSpecies!AD49)</f>
        <v>33</v>
      </c>
      <c r="F49">
        <f>VALUE(singleSpecies!E49)</f>
        <v>0</v>
      </c>
      <c r="G49">
        <f>singleSpecies!G49</f>
        <v>0</v>
      </c>
      <c r="H49">
        <f>singleSpecies!AB49</f>
        <v>0</v>
      </c>
    </row>
    <row r="50" spans="1:8" ht="12.75">
      <c r="A50" t="str">
        <f>singleSpecies!A50</f>
        <v>Lagenorhynchus acutus</v>
      </c>
      <c r="B50">
        <f>VALUE(singleSpecies!N50)</f>
        <v>10</v>
      </c>
      <c r="C50">
        <f>VALUE(singleSpecies!S50)</f>
        <v>2.5</v>
      </c>
      <c r="D50">
        <f>VALUE(singleSpecies!Z50)</f>
        <v>27</v>
      </c>
      <c r="E50">
        <f>VALUE(singleSpecies!AD50)</f>
        <v>32</v>
      </c>
      <c r="F50">
        <f>VALUE(singleSpecies!E50)</f>
        <v>0</v>
      </c>
      <c r="G50">
        <f>singleSpecies!G50</f>
        <v>0</v>
      </c>
      <c r="H50">
        <f>singleSpecies!AB50</f>
        <v>0</v>
      </c>
    </row>
    <row r="51" spans="1:8" ht="12.75">
      <c r="A51" t="str">
        <f>singleSpecies!A51</f>
        <v>Lagenorhynchus albirostris</v>
      </c>
      <c r="B51">
        <f>VALUE(singleSpecies!N51)</f>
        <v>10</v>
      </c>
      <c r="C51">
        <f>VALUE(singleSpecies!S51)</f>
        <v>2.5</v>
      </c>
      <c r="D51">
        <f>VALUE(singleSpecies!Z51)</f>
        <v>0</v>
      </c>
      <c r="E51">
        <f>VALUE(singleSpecies!AD51)</f>
        <v>34</v>
      </c>
      <c r="F51">
        <f>VALUE(singleSpecies!E51)</f>
        <v>0</v>
      </c>
      <c r="G51">
        <f>singleSpecies!G51</f>
        <v>0</v>
      </c>
      <c r="H51">
        <f>singleSpecies!AB51</f>
        <v>0</v>
      </c>
    </row>
    <row r="52" spans="1:8" ht="12.75">
      <c r="A52" t="str">
        <f>singleSpecies!A52</f>
        <v>Lagenorhynchus australis</v>
      </c>
      <c r="B52">
        <f>VALUE(singleSpecies!N52)</f>
        <v>0</v>
      </c>
      <c r="C52">
        <f>VALUE(singleSpecies!S52)</f>
        <v>0</v>
      </c>
      <c r="D52">
        <f>VALUE(singleSpecies!Z52)</f>
        <v>0</v>
      </c>
      <c r="E52">
        <f>VALUE(singleSpecies!AD52)</f>
        <v>30</v>
      </c>
      <c r="F52">
        <f>VALUE(singleSpecies!E52)</f>
        <v>0</v>
      </c>
      <c r="G52">
        <f>singleSpecies!G52</f>
        <v>0</v>
      </c>
      <c r="H52">
        <f>singleSpecies!AB52</f>
        <v>0</v>
      </c>
    </row>
    <row r="53" spans="1:8" ht="12.75">
      <c r="A53" t="str">
        <f>singleSpecies!A53</f>
        <v>Lagenorhynchus cruciger</v>
      </c>
      <c r="B53">
        <f>VALUE(singleSpecies!N53)</f>
        <v>0</v>
      </c>
      <c r="C53">
        <f>VALUE(singleSpecies!S53)</f>
        <v>0</v>
      </c>
      <c r="D53">
        <f>VALUE(singleSpecies!Z53)</f>
        <v>0</v>
      </c>
      <c r="E53">
        <f>VALUE(singleSpecies!AD53)</f>
        <v>29</v>
      </c>
      <c r="F53">
        <f>VALUE(singleSpecies!E53)</f>
        <v>0</v>
      </c>
      <c r="G53">
        <f>singleSpecies!G53</f>
        <v>0</v>
      </c>
      <c r="H53">
        <f>singleSpecies!AB53</f>
        <v>0</v>
      </c>
    </row>
    <row r="54" spans="1:8" ht="12.75">
      <c r="A54" t="str">
        <f>singleSpecies!A54</f>
        <v>Lagenorhynchus obliquidens</v>
      </c>
      <c r="B54">
        <f>VALUE(singleSpecies!N54)</f>
        <v>10</v>
      </c>
      <c r="C54">
        <f>VALUE(singleSpecies!S54)</f>
        <v>4.7</v>
      </c>
      <c r="D54">
        <f>VALUE(singleSpecies!Z54)</f>
        <v>46</v>
      </c>
      <c r="E54">
        <f>VALUE(singleSpecies!AD54)</f>
        <v>32</v>
      </c>
      <c r="F54">
        <f>VALUE(singleSpecies!E54)</f>
        <v>0</v>
      </c>
      <c r="G54">
        <f>singleSpecies!G54</f>
        <v>0</v>
      </c>
      <c r="H54">
        <f>singleSpecies!AB54</f>
        <v>0</v>
      </c>
    </row>
    <row r="55" spans="1:8" ht="12.75">
      <c r="A55" t="str">
        <f>singleSpecies!A55</f>
        <v>Lagenorhynchus obscurus</v>
      </c>
      <c r="B55">
        <f>VALUE(singleSpecies!N55)</f>
        <v>7</v>
      </c>
      <c r="C55">
        <f>VALUE(singleSpecies!S55)</f>
        <v>2.4</v>
      </c>
      <c r="D55">
        <f>VALUE(singleSpecies!Z55)</f>
        <v>35</v>
      </c>
      <c r="E55">
        <f>VALUE(singleSpecies!AD55)</f>
        <v>30</v>
      </c>
      <c r="F55">
        <f>VALUE(singleSpecies!E55)</f>
        <v>0</v>
      </c>
      <c r="G55">
        <f>singleSpecies!G55</f>
        <v>0</v>
      </c>
      <c r="H55">
        <f>singleSpecies!AB55</f>
        <v>0</v>
      </c>
    </row>
    <row r="56" spans="1:8" ht="12.75">
      <c r="A56" t="str">
        <f>singleSpecies!A56</f>
        <v>Lissodelphis borealis</v>
      </c>
      <c r="B56">
        <f>VALUE(singleSpecies!N56)</f>
        <v>12</v>
      </c>
      <c r="C56">
        <f>VALUE(singleSpecies!S56)</f>
        <v>2</v>
      </c>
      <c r="D56">
        <f>VALUE(singleSpecies!Z56)</f>
        <v>42</v>
      </c>
      <c r="E56">
        <f>VALUE(singleSpecies!AD56)</f>
        <v>31</v>
      </c>
      <c r="F56">
        <f>VALUE(singleSpecies!E56)</f>
        <v>0</v>
      </c>
      <c r="G56">
        <f>singleSpecies!G56</f>
        <v>0</v>
      </c>
      <c r="H56">
        <f>singleSpecies!AB56</f>
        <v>42</v>
      </c>
    </row>
    <row r="57" spans="1:8" ht="12.75">
      <c r="A57" t="str">
        <f>singleSpecies!A57</f>
        <v>Lissodelphis peronii</v>
      </c>
      <c r="B57">
        <f>VALUE(singleSpecies!N57)</f>
        <v>12</v>
      </c>
      <c r="C57">
        <f>VALUE(singleSpecies!S57)</f>
        <v>2</v>
      </c>
      <c r="D57">
        <f>VALUE(singleSpecies!Z57)</f>
        <v>0</v>
      </c>
      <c r="E57">
        <f>VALUE(singleSpecies!AD57)</f>
        <v>31</v>
      </c>
      <c r="F57">
        <f>VALUE(singleSpecies!E57)</f>
        <v>0</v>
      </c>
      <c r="G57">
        <f>singleSpecies!G57</f>
        <v>0</v>
      </c>
      <c r="H57">
        <f>singleSpecies!AB57</f>
        <v>0</v>
      </c>
    </row>
    <row r="58" spans="1:8" ht="12.75">
      <c r="A58" t="str">
        <f>singleSpecies!A58</f>
        <v>Sotalia fluviatilis</v>
      </c>
      <c r="B58">
        <f>VALUE(singleSpecies!N58)</f>
        <v>8</v>
      </c>
      <c r="C58">
        <f>VALUE(singleSpecies!S58)</f>
        <v>2.5</v>
      </c>
      <c r="D58">
        <f>VALUE(singleSpecies!Z58)</f>
        <v>30</v>
      </c>
      <c r="E58">
        <f>VALUE(singleSpecies!AD58)</f>
        <v>30</v>
      </c>
      <c r="F58">
        <f>VALUE(singleSpecies!E58)</f>
        <v>0</v>
      </c>
      <c r="G58">
        <f>singleSpecies!G58</f>
        <v>0</v>
      </c>
      <c r="H58">
        <f>singleSpecies!AB58</f>
        <v>0</v>
      </c>
    </row>
    <row r="59" spans="1:8" ht="12.75">
      <c r="A59" t="str">
        <f>singleSpecies!A59</f>
        <v>Sotalia guianensis</v>
      </c>
      <c r="B59">
        <f>VALUE(singleSpecies!N59)</f>
        <v>8</v>
      </c>
      <c r="C59">
        <f>VALUE(singleSpecies!S59)</f>
        <v>2</v>
      </c>
      <c r="D59">
        <f>VALUE(singleSpecies!Z59)</f>
        <v>30</v>
      </c>
      <c r="E59">
        <f>VALUE(singleSpecies!AD59)</f>
        <v>30</v>
      </c>
      <c r="F59">
        <f>VALUE(singleSpecies!E59)</f>
        <v>0</v>
      </c>
      <c r="G59">
        <f>singleSpecies!G59</f>
        <v>0</v>
      </c>
      <c r="H59">
        <f>singleSpecies!AB59</f>
        <v>0</v>
      </c>
    </row>
    <row r="60" spans="1:8" ht="12.75">
      <c r="A60" t="str">
        <f>singleSpecies!A60</f>
        <v>Sousa chinensis</v>
      </c>
      <c r="B60">
        <f>VALUE(singleSpecies!N60)</f>
        <v>11</v>
      </c>
      <c r="C60">
        <f>VALUE(singleSpecies!S60)</f>
        <v>3</v>
      </c>
      <c r="D60">
        <f>VALUE(singleSpecies!Z60)</f>
        <v>40</v>
      </c>
      <c r="E60">
        <f>VALUE(singleSpecies!AD60)</f>
        <v>33</v>
      </c>
      <c r="F60">
        <f>VALUE(singleSpecies!E60)</f>
        <v>0</v>
      </c>
      <c r="G60">
        <f>singleSpecies!G60</f>
        <v>0</v>
      </c>
      <c r="H60">
        <f>singleSpecies!AB60</f>
        <v>0</v>
      </c>
    </row>
    <row r="61" spans="1:8" ht="12.75">
      <c r="A61" t="str">
        <f>singleSpecies!A61</f>
        <v>Sousa teuszii</v>
      </c>
      <c r="B61">
        <f>VALUE(singleSpecies!N61)</f>
        <v>11</v>
      </c>
      <c r="C61">
        <f>VALUE(singleSpecies!S61)</f>
        <v>3</v>
      </c>
      <c r="D61">
        <f>VALUE(singleSpecies!Z61)</f>
        <v>0</v>
      </c>
      <c r="E61">
        <f>VALUE(singleSpecies!AD61)</f>
        <v>33</v>
      </c>
      <c r="F61">
        <f>VALUE(singleSpecies!E61)</f>
        <v>0</v>
      </c>
      <c r="G61">
        <f>singleSpecies!G61</f>
        <v>0</v>
      </c>
      <c r="H61">
        <f>singleSpecies!AB61</f>
        <v>0</v>
      </c>
    </row>
    <row r="62" spans="1:8" ht="12.75">
      <c r="A62" t="str">
        <f>singleSpecies!A62</f>
        <v>Stenella attenuata</v>
      </c>
      <c r="B62">
        <f>VALUE(singleSpecies!N62)</f>
        <v>13</v>
      </c>
      <c r="C62">
        <f>VALUE(singleSpecies!S62)</f>
        <v>3</v>
      </c>
      <c r="D62">
        <f>VALUE(singleSpecies!Z62)</f>
        <v>45</v>
      </c>
      <c r="E62">
        <f>VALUE(singleSpecies!AD62)</f>
        <v>33</v>
      </c>
      <c r="F62">
        <f>VALUE(singleSpecies!E62)</f>
        <v>0</v>
      </c>
      <c r="G62">
        <f>singleSpecies!G62</f>
        <v>0</v>
      </c>
      <c r="H62">
        <f>singleSpecies!AB62</f>
        <v>0</v>
      </c>
    </row>
    <row r="63" spans="1:8" ht="12.75">
      <c r="A63" t="str">
        <f>singleSpecies!A63</f>
        <v>Stenella coeruleoalba</v>
      </c>
      <c r="B63">
        <f>VALUE(singleSpecies!N63)</f>
        <v>11</v>
      </c>
      <c r="C63">
        <f>VALUE(singleSpecies!S63)</f>
        <v>3.38</v>
      </c>
      <c r="D63">
        <f>VALUE(singleSpecies!Z63)</f>
        <v>49</v>
      </c>
      <c r="E63">
        <f>VALUE(singleSpecies!AD63)</f>
        <v>33</v>
      </c>
      <c r="F63">
        <f>VALUE(singleSpecies!E63)</f>
        <v>0</v>
      </c>
      <c r="G63">
        <f>singleSpecies!G63</f>
        <v>0</v>
      </c>
      <c r="H63">
        <f>singleSpecies!AB63</f>
        <v>0</v>
      </c>
    </row>
    <row r="64" spans="1:8" ht="12.75">
      <c r="A64" t="str">
        <f>singleSpecies!A64</f>
        <v>Stenella clymene</v>
      </c>
      <c r="B64">
        <f>VALUE(singleSpecies!N64)</f>
        <v>7</v>
      </c>
      <c r="C64">
        <f>VALUE(singleSpecies!S64)</f>
        <v>3</v>
      </c>
      <c r="D64">
        <f>VALUE(singleSpecies!Z64)</f>
        <v>0</v>
      </c>
      <c r="E64">
        <f>VALUE(singleSpecies!AD64)</f>
        <v>29</v>
      </c>
      <c r="F64">
        <f>VALUE(singleSpecies!E64)</f>
        <v>0</v>
      </c>
      <c r="G64">
        <f>singleSpecies!G64</f>
        <v>0</v>
      </c>
      <c r="H64">
        <f>singleSpecies!AB64</f>
        <v>0</v>
      </c>
    </row>
    <row r="65" spans="1:8" ht="12.75">
      <c r="A65" t="str">
        <f>singleSpecies!A65</f>
        <v>Stenella frontalis</v>
      </c>
      <c r="B65">
        <f>VALUE(singleSpecies!N65)</f>
        <v>12</v>
      </c>
      <c r="C65">
        <f>VALUE(singleSpecies!S65)</f>
        <v>3</v>
      </c>
      <c r="D65">
        <f>VALUE(singleSpecies!Z65)</f>
        <v>0</v>
      </c>
      <c r="E65">
        <f>VALUE(singleSpecies!AD65)</f>
        <v>31</v>
      </c>
      <c r="F65">
        <f>VALUE(singleSpecies!E65)</f>
        <v>0.76</v>
      </c>
      <c r="G65">
        <f>singleSpecies!G65</f>
        <v>0</v>
      </c>
      <c r="H65">
        <f>singleSpecies!AB65</f>
        <v>0</v>
      </c>
    </row>
    <row r="66" spans="1:8" ht="12.75">
      <c r="A66" t="str">
        <f>singleSpecies!A66</f>
        <v>Stenella longirostris</v>
      </c>
      <c r="B66">
        <f>VALUE(singleSpecies!N66)</f>
        <v>7</v>
      </c>
      <c r="C66">
        <f>VALUE(singleSpecies!S66)</f>
        <v>3</v>
      </c>
      <c r="D66">
        <f>VALUE(singleSpecies!Z66)</f>
        <v>26</v>
      </c>
      <c r="E66">
        <f>VALUE(singleSpecies!AD66)</f>
        <v>30</v>
      </c>
      <c r="F66">
        <f>VALUE(singleSpecies!E66)</f>
        <v>0</v>
      </c>
      <c r="G66">
        <f>singleSpecies!G66</f>
        <v>0</v>
      </c>
      <c r="H66">
        <f>singleSpecies!AB66</f>
        <v>0</v>
      </c>
    </row>
    <row r="67" spans="1:8" ht="12.75">
      <c r="A67" t="str">
        <f>singleSpecies!A67</f>
        <v>Steno bredanensis</v>
      </c>
      <c r="B67">
        <f>VALUE(singleSpecies!N67)</f>
        <v>10</v>
      </c>
      <c r="C67">
        <f>VALUE(singleSpecies!S67)</f>
        <v>0</v>
      </c>
      <c r="D67">
        <f>VALUE(singleSpecies!Z67)</f>
        <v>32</v>
      </c>
      <c r="E67">
        <f>VALUE(singleSpecies!AD67)</f>
        <v>33</v>
      </c>
      <c r="F67">
        <f>VALUE(singleSpecies!E67)</f>
        <v>0</v>
      </c>
      <c r="G67">
        <f>singleSpecies!G67</f>
        <v>0</v>
      </c>
      <c r="H67">
        <f>singleSpecies!AB67</f>
        <v>0</v>
      </c>
    </row>
    <row r="68" spans="1:8" ht="12.75">
      <c r="A68" t="str">
        <f>singleSpecies!A68</f>
        <v>Tursiops aduncus</v>
      </c>
      <c r="B68">
        <f>VALUE(singleSpecies!N68)</f>
        <v>9.48</v>
      </c>
      <c r="C68">
        <f>VALUE(singleSpecies!S68)</f>
        <v>3.8</v>
      </c>
      <c r="D68">
        <f>VALUE(singleSpecies!Z68)</f>
        <v>0</v>
      </c>
      <c r="E68">
        <f>VALUE(singleSpecies!AD68)</f>
        <v>33</v>
      </c>
      <c r="F68">
        <f>VALUE(singleSpecies!E68)</f>
        <v>0.76</v>
      </c>
      <c r="G68">
        <f>singleSpecies!G68</f>
        <v>0.95</v>
      </c>
      <c r="H68">
        <f>singleSpecies!AB68</f>
        <v>0</v>
      </c>
    </row>
    <row r="69" spans="1:8" ht="12.75">
      <c r="A69" t="str">
        <f>singleSpecies!A69</f>
        <v>Tursiops truncatus</v>
      </c>
      <c r="B69">
        <f>VALUE(singleSpecies!N69)</f>
        <v>9.48</v>
      </c>
      <c r="C69">
        <f>VALUE(singleSpecies!S69)</f>
        <v>3.8</v>
      </c>
      <c r="D69">
        <f>VALUE(singleSpecies!Z69)</f>
        <v>48</v>
      </c>
      <c r="E69">
        <f>VALUE(singleSpecies!AD69)</f>
        <v>37</v>
      </c>
      <c r="F69">
        <f>VALUE(singleSpecies!E69)</f>
        <v>0.76</v>
      </c>
      <c r="G69">
        <f>singleSpecies!G69</f>
        <v>0.95</v>
      </c>
      <c r="H69">
        <f>singleSpecies!AB69</f>
        <v>0</v>
      </c>
    </row>
    <row r="70" spans="1:8" ht="12.75">
      <c r="A70" t="str">
        <f>singleSpecies!A70</f>
        <v>Feresa attenuata</v>
      </c>
      <c r="B70">
        <f>VALUE(singleSpecies!N70)</f>
        <v>0</v>
      </c>
      <c r="C70">
        <f>VALUE(singleSpecies!S70)</f>
        <v>0</v>
      </c>
      <c r="D70">
        <f>VALUE(singleSpecies!Z70)</f>
        <v>0</v>
      </c>
      <c r="E70">
        <f>VALUE(singleSpecies!AD70)</f>
        <v>32</v>
      </c>
      <c r="F70">
        <f>VALUE(singleSpecies!E70)</f>
        <v>0</v>
      </c>
      <c r="G70">
        <f>singleSpecies!G70</f>
        <v>0</v>
      </c>
      <c r="H70">
        <f>singleSpecies!AB70</f>
        <v>0</v>
      </c>
    </row>
    <row r="71" spans="1:8" ht="12.75">
      <c r="A71" t="str">
        <f>singleSpecies!A71</f>
        <v>Globicephala macrorhynchus</v>
      </c>
      <c r="B71">
        <f>VALUE(singleSpecies!N71)</f>
        <v>11</v>
      </c>
      <c r="C71">
        <f>VALUE(singleSpecies!S71)</f>
        <v>6.9</v>
      </c>
      <c r="D71">
        <f>VALUE(singleSpecies!Z71)</f>
        <v>40</v>
      </c>
      <c r="E71">
        <f>VALUE(singleSpecies!AD71)</f>
        <v>43</v>
      </c>
      <c r="F71">
        <f>VALUE(singleSpecies!E71)</f>
        <v>0</v>
      </c>
      <c r="G71">
        <f>singleSpecies!G71</f>
        <v>0</v>
      </c>
      <c r="H71">
        <f>singleSpecies!AB71</f>
        <v>60</v>
      </c>
    </row>
    <row r="72" spans="1:8" ht="12.75">
      <c r="A72" t="str">
        <f>singleSpecies!A72</f>
        <v>Globicephala melas</v>
      </c>
      <c r="B72">
        <f>VALUE(singleSpecies!N72)</f>
        <v>12</v>
      </c>
      <c r="C72">
        <f>VALUE(singleSpecies!S72)</f>
        <v>3.3</v>
      </c>
      <c r="D72">
        <f>VALUE(singleSpecies!Z72)</f>
        <v>40</v>
      </c>
      <c r="E72">
        <f>VALUE(singleSpecies!AD72)</f>
        <v>43</v>
      </c>
      <c r="F72">
        <f>VALUE(singleSpecies!E72)</f>
        <v>0</v>
      </c>
      <c r="G72">
        <f>singleSpecies!G72</f>
        <v>0</v>
      </c>
      <c r="H72">
        <f>singleSpecies!AB72</f>
        <v>60</v>
      </c>
    </row>
    <row r="73" spans="1:8" ht="12.75">
      <c r="A73" t="str">
        <f>singleSpecies!A73</f>
        <v>Grampus griseus</v>
      </c>
      <c r="B73">
        <f>VALUE(singleSpecies!N73)</f>
        <v>11</v>
      </c>
      <c r="C73">
        <f>VALUE(singleSpecies!S73)</f>
        <v>2.4</v>
      </c>
      <c r="D73">
        <f>VALUE(singleSpecies!Z73)</f>
        <v>0</v>
      </c>
      <c r="E73">
        <f>VALUE(singleSpecies!AD73)</f>
        <v>37</v>
      </c>
      <c r="F73">
        <f>VALUE(singleSpecies!E73)</f>
        <v>0</v>
      </c>
      <c r="G73">
        <f>singleSpecies!G73</f>
        <v>0</v>
      </c>
      <c r="H73">
        <f>singleSpecies!AB73</f>
        <v>0</v>
      </c>
    </row>
    <row r="74" spans="1:8" ht="12.75">
      <c r="A74" t="str">
        <f>singleSpecies!A74</f>
        <v>Orcaella brevirostris</v>
      </c>
      <c r="B74">
        <f>VALUE(singleSpecies!N74)</f>
        <v>9</v>
      </c>
      <c r="C74">
        <f>VALUE(singleSpecies!S74)</f>
        <v>0</v>
      </c>
      <c r="D74">
        <f>VALUE(singleSpecies!Z74)</f>
        <v>28</v>
      </c>
      <c r="E74">
        <f>VALUE(singleSpecies!AD74)</f>
        <v>32</v>
      </c>
      <c r="F74">
        <f>VALUE(singleSpecies!E74)</f>
        <v>0</v>
      </c>
      <c r="G74">
        <f>singleSpecies!G74</f>
        <v>0</v>
      </c>
      <c r="H74">
        <f>singleSpecies!AB74</f>
        <v>0</v>
      </c>
    </row>
    <row r="75" spans="1:8" ht="12.75">
      <c r="A75" t="str">
        <f>singleSpecies!A75</f>
        <v>Orcaella heinsohni</v>
      </c>
      <c r="B75">
        <f>VALUE(singleSpecies!N75)</f>
        <v>9</v>
      </c>
      <c r="C75">
        <f>VALUE(singleSpecies!S75)</f>
        <v>0</v>
      </c>
      <c r="D75">
        <f>VALUE(singleSpecies!Z75)</f>
        <v>0</v>
      </c>
      <c r="E75">
        <f>VALUE(singleSpecies!AD75)</f>
        <v>21</v>
      </c>
      <c r="F75">
        <f>VALUE(singleSpecies!E75)</f>
        <v>0</v>
      </c>
      <c r="G75">
        <f>singleSpecies!G75</f>
        <v>0</v>
      </c>
      <c r="H75">
        <f>singleSpecies!AB75</f>
        <v>0</v>
      </c>
    </row>
    <row r="76" spans="1:8" ht="12.75">
      <c r="A76" t="str">
        <f>singleSpecies!A76</f>
        <v>Orcinus orca</v>
      </c>
      <c r="B76">
        <f>VALUE(singleSpecies!N76)</f>
        <v>14.4</v>
      </c>
      <c r="C76">
        <f>VALUE(singleSpecies!S76)</f>
        <v>5.02</v>
      </c>
      <c r="D76">
        <f>VALUE(singleSpecies!Z76)</f>
        <v>41</v>
      </c>
      <c r="E76">
        <f>VALUE(singleSpecies!AD76)</f>
        <v>48</v>
      </c>
      <c r="F76">
        <f>VALUE(singleSpecies!E76)</f>
        <v>0.91</v>
      </c>
      <c r="G76">
        <f>singleSpecies!G76</f>
        <v>0.99</v>
      </c>
      <c r="H76">
        <f>singleSpecies!AB76</f>
        <v>75</v>
      </c>
    </row>
    <row r="77" spans="1:8" ht="12.75">
      <c r="A77" t="str">
        <f>singleSpecies!A77</f>
        <v>Peponocephala electra</v>
      </c>
      <c r="B77">
        <f>VALUE(singleSpecies!N77)</f>
        <v>13</v>
      </c>
      <c r="C77">
        <f>VALUE(singleSpecies!S77)</f>
        <v>0</v>
      </c>
      <c r="D77">
        <f>VALUE(singleSpecies!Z77)</f>
        <v>0</v>
      </c>
      <c r="E77">
        <f>VALUE(singleSpecies!AD77)</f>
        <v>34</v>
      </c>
      <c r="F77">
        <f>VALUE(singleSpecies!E77)</f>
        <v>0</v>
      </c>
      <c r="G77">
        <f>singleSpecies!G77</f>
        <v>0</v>
      </c>
      <c r="H77">
        <f>singleSpecies!AB77</f>
        <v>0</v>
      </c>
    </row>
    <row r="78" spans="1:8" ht="12.75">
      <c r="A78" t="str">
        <f>singleSpecies!A78</f>
        <v>Pseudorca crassidens</v>
      </c>
      <c r="B78">
        <f>VALUE(singleSpecies!N78)</f>
        <v>12</v>
      </c>
      <c r="C78">
        <f>VALUE(singleSpecies!S78)</f>
        <v>0</v>
      </c>
      <c r="D78">
        <f>VALUE(singleSpecies!Z78)</f>
        <v>0</v>
      </c>
      <c r="E78">
        <f>VALUE(singleSpecies!AD78)</f>
        <v>41</v>
      </c>
      <c r="F78">
        <f>VALUE(singleSpecies!E78)</f>
        <v>0</v>
      </c>
      <c r="G78">
        <f>singleSpecies!G78</f>
        <v>0</v>
      </c>
      <c r="H78">
        <f>singleSpecies!AB78</f>
        <v>0</v>
      </c>
    </row>
    <row r="79" spans="1:8" ht="12.75">
      <c r="A79" t="str">
        <f>singleSpecies!A79</f>
        <v>Neophocaena phocaenoides</v>
      </c>
      <c r="B79">
        <f>VALUE(singleSpecies!N79)</f>
        <v>8</v>
      </c>
      <c r="C79">
        <f>VALUE(singleSpecies!S79)</f>
        <v>2</v>
      </c>
      <c r="D79">
        <f>VALUE(singleSpecies!Z79)</f>
        <v>33</v>
      </c>
      <c r="E79">
        <f>VALUE(singleSpecies!AD79)</f>
        <v>27</v>
      </c>
      <c r="F79">
        <f>VALUE(singleSpecies!E79)</f>
        <v>0</v>
      </c>
      <c r="G79">
        <f>singleSpecies!G79</f>
        <v>0</v>
      </c>
      <c r="H79">
        <f>singleSpecies!AB79</f>
        <v>0</v>
      </c>
    </row>
    <row r="80" spans="1:8" ht="12.75">
      <c r="A80" t="str">
        <f>singleSpecies!A80</f>
        <v>Phocoena dioptrica</v>
      </c>
      <c r="B80">
        <f>VALUE(singleSpecies!N80)</f>
        <v>6</v>
      </c>
      <c r="C80">
        <f>VALUE(singleSpecies!S80)</f>
        <v>1.5</v>
      </c>
      <c r="D80">
        <f>VALUE(singleSpecies!Z80)</f>
        <v>0</v>
      </c>
      <c r="E80">
        <f>VALUE(singleSpecies!AD80)</f>
        <v>30</v>
      </c>
      <c r="F80">
        <f>VALUE(singleSpecies!E80)</f>
        <v>0</v>
      </c>
      <c r="G80">
        <f>singleSpecies!G80</f>
        <v>0</v>
      </c>
      <c r="H80">
        <f>singleSpecies!AB80</f>
        <v>0</v>
      </c>
    </row>
    <row r="81" spans="1:8" ht="12.75">
      <c r="A81" t="str">
        <f>singleSpecies!A81</f>
        <v>Phocoena phocoena</v>
      </c>
      <c r="B81">
        <f>VALUE(singleSpecies!N81)</f>
        <v>5</v>
      </c>
      <c r="C81">
        <f>VALUE(singleSpecies!S81)</f>
        <v>1</v>
      </c>
      <c r="D81">
        <f>VALUE(singleSpecies!Z81)</f>
        <v>24</v>
      </c>
      <c r="E81">
        <f>VALUE(singleSpecies!AD81)</f>
        <v>27</v>
      </c>
      <c r="F81">
        <f>VALUE(singleSpecies!E81)</f>
        <v>0</v>
      </c>
      <c r="G81">
        <f>singleSpecies!G81</f>
        <v>0</v>
      </c>
      <c r="H81">
        <f>singleSpecies!AB81</f>
        <v>0</v>
      </c>
    </row>
    <row r="82" spans="1:8" ht="12.75">
      <c r="A82" t="str">
        <f>singleSpecies!A82</f>
        <v>Phocoena sinus</v>
      </c>
      <c r="B82">
        <f>VALUE(singleSpecies!N82)</f>
        <v>6</v>
      </c>
      <c r="C82">
        <f>VALUE(singleSpecies!S82)</f>
        <v>2</v>
      </c>
      <c r="D82">
        <f>VALUE(singleSpecies!Z82)</f>
        <v>21</v>
      </c>
      <c r="E82">
        <f>VALUE(singleSpecies!AD82)</f>
        <v>25</v>
      </c>
      <c r="F82">
        <f>VALUE(singleSpecies!E82)</f>
        <v>0</v>
      </c>
      <c r="G82">
        <f>singleSpecies!G82</f>
        <v>0</v>
      </c>
      <c r="H82">
        <f>singleSpecies!AB82</f>
        <v>0</v>
      </c>
    </row>
    <row r="83" spans="1:8" ht="12.75">
      <c r="A83" t="str">
        <f>singleSpecies!A83</f>
        <v>Phocoena spinipinnis</v>
      </c>
      <c r="B83">
        <f>VALUE(singleSpecies!N83)</f>
        <v>6</v>
      </c>
      <c r="C83">
        <f>VALUE(singleSpecies!S83)</f>
        <v>1.5</v>
      </c>
      <c r="D83">
        <f>VALUE(singleSpecies!Z83)</f>
        <v>0</v>
      </c>
      <c r="E83">
        <f>VALUE(singleSpecies!AD83)</f>
        <v>30</v>
      </c>
      <c r="F83">
        <f>VALUE(singleSpecies!E83)</f>
        <v>0</v>
      </c>
      <c r="G83">
        <f>singleSpecies!G83</f>
        <v>0</v>
      </c>
      <c r="H83">
        <f>singleSpecies!AB83</f>
        <v>0</v>
      </c>
    </row>
    <row r="84" spans="1:8" ht="12.75">
      <c r="A84" t="str">
        <f>singleSpecies!A84</f>
        <v>Phocoenoides dalli</v>
      </c>
      <c r="B84">
        <f>VALUE(singleSpecies!N84)</f>
        <v>5</v>
      </c>
      <c r="C84">
        <f>VALUE(singleSpecies!S84)</f>
        <v>1</v>
      </c>
      <c r="D84">
        <f>VALUE(singleSpecies!Z84)</f>
        <v>35</v>
      </c>
      <c r="E84">
        <f>VALUE(singleSpecies!AD84)</f>
        <v>29</v>
      </c>
      <c r="F84">
        <f>VALUE(singleSpecies!E84)</f>
        <v>0</v>
      </c>
      <c r="G84">
        <f>singleSpecies!G84</f>
        <v>0</v>
      </c>
      <c r="H84">
        <f>singleSpecies!AB84</f>
        <v>0</v>
      </c>
    </row>
    <row r="85" spans="1:8" ht="12.75">
      <c r="A85" t="str">
        <f>singleSpecies!A85</f>
        <v>Platanista gangetica</v>
      </c>
      <c r="B85">
        <f>VALUE(singleSpecies!N85)</f>
        <v>9</v>
      </c>
      <c r="C85">
        <f>VALUE(singleSpecies!S85)</f>
        <v>0</v>
      </c>
      <c r="D85">
        <f>VALUE(singleSpecies!Z85)</f>
        <v>28</v>
      </c>
      <c r="E85">
        <f>VALUE(singleSpecies!AD85)</f>
        <v>33</v>
      </c>
      <c r="F85">
        <f>VALUE(singleSpecies!E85)</f>
        <v>0</v>
      </c>
      <c r="G85">
        <f>singleSpecies!G85</f>
        <v>0</v>
      </c>
      <c r="H85">
        <f>singleSpecies!AB85</f>
        <v>0</v>
      </c>
    </row>
    <row r="86" spans="1:8" ht="12.75">
      <c r="A86" t="str">
        <f>singleSpecies!A86</f>
        <v>Lipotes vexillifer</v>
      </c>
      <c r="B86">
        <f>VALUE(singleSpecies!N86)</f>
        <v>6</v>
      </c>
      <c r="C86">
        <f>VALUE(singleSpecies!S86)</f>
        <v>0</v>
      </c>
      <c r="D86">
        <f>VALUE(singleSpecies!Z86)</f>
        <v>0</v>
      </c>
      <c r="E86">
        <f>VALUE(singleSpecies!AD86)</f>
        <v>33</v>
      </c>
      <c r="F86">
        <f>VALUE(singleSpecies!E86)</f>
        <v>0</v>
      </c>
      <c r="G86">
        <f>singleSpecies!G86</f>
        <v>0</v>
      </c>
      <c r="H86">
        <f>singleSpecies!AB86</f>
        <v>0</v>
      </c>
    </row>
    <row r="87" spans="1:8" ht="12.75">
      <c r="A87" t="str">
        <f>singleSpecies!A87</f>
        <v>Inia geoffrensis</v>
      </c>
      <c r="B87">
        <f>VALUE(singleSpecies!N87)</f>
        <v>6</v>
      </c>
      <c r="C87">
        <f>VALUE(singleSpecies!S87)</f>
        <v>1.5</v>
      </c>
      <c r="D87">
        <f>VALUE(singleSpecies!Z87)</f>
        <v>18</v>
      </c>
      <c r="E87">
        <f>VALUE(singleSpecies!AD87)</f>
        <v>31</v>
      </c>
      <c r="F87">
        <f>VALUE(singleSpecies!E87)</f>
        <v>0</v>
      </c>
      <c r="G87">
        <f>singleSpecies!G87</f>
        <v>0</v>
      </c>
      <c r="H87">
        <f>singleSpecies!AB87</f>
        <v>0</v>
      </c>
    </row>
    <row r="88" spans="1:8" ht="12.75">
      <c r="A88" t="str">
        <f>singleSpecies!A88</f>
        <v>Pontoporia blainvillei</v>
      </c>
      <c r="B88">
        <f>VALUE(singleSpecies!N88)</f>
        <v>5</v>
      </c>
      <c r="C88">
        <f>VALUE(singleSpecies!S88)</f>
        <v>1.5</v>
      </c>
      <c r="D88">
        <f>VALUE(singleSpecies!Z88)</f>
        <v>24</v>
      </c>
      <c r="E88">
        <f>VALUE(singleSpecies!AD88)</f>
        <v>26</v>
      </c>
      <c r="F88">
        <f>VALUE(singleSpecies!E88)</f>
        <v>0</v>
      </c>
      <c r="G88">
        <f>singleSpecies!G88</f>
        <v>0</v>
      </c>
      <c r="H88">
        <f>singleSpecies!AB88</f>
        <v>0</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Q90"/>
  <sheetViews>
    <sheetView workbookViewId="0" topLeftCell="J38">
      <selection activeCell="O43" sqref="O43:P50"/>
    </sheetView>
  </sheetViews>
  <sheetFormatPr defaultColWidth="9.140625" defaultRowHeight="12.75"/>
  <cols>
    <col min="1" max="1" width="24.140625" style="0" customWidth="1"/>
    <col min="2" max="2" width="9.00390625" style="0" customWidth="1"/>
    <col min="3" max="3" width="7.00390625" style="0" customWidth="1"/>
    <col min="4" max="4" width="7.28125" style="0" customWidth="1"/>
    <col min="7" max="7" width="12.28125" style="0" customWidth="1"/>
    <col min="8" max="8" width="13.140625" style="0" customWidth="1"/>
    <col min="9" max="9" width="14.57421875" style="0" customWidth="1"/>
  </cols>
  <sheetData>
    <row r="1" spans="1:17" ht="12.75">
      <c r="A1" t="s">
        <v>587</v>
      </c>
      <c r="B1" t="s">
        <v>757</v>
      </c>
      <c r="C1" t="s">
        <v>588</v>
      </c>
      <c r="D1" t="s">
        <v>795</v>
      </c>
      <c r="E1" t="s">
        <v>572</v>
      </c>
      <c r="F1" t="s">
        <v>796</v>
      </c>
      <c r="G1" t="s">
        <v>807</v>
      </c>
      <c r="H1" t="s">
        <v>347</v>
      </c>
      <c r="I1" t="s">
        <v>711</v>
      </c>
      <c r="J1" t="s">
        <v>713</v>
      </c>
      <c r="K1" t="s">
        <v>712</v>
      </c>
      <c r="L1" t="s">
        <v>714</v>
      </c>
      <c r="M1" t="s">
        <v>715</v>
      </c>
      <c r="P1" s="57" t="s">
        <v>199</v>
      </c>
      <c r="Q1" s="57" t="s">
        <v>201</v>
      </c>
    </row>
    <row r="2" spans="1:17" ht="12.75">
      <c r="A2" t="s">
        <v>590</v>
      </c>
      <c r="B2">
        <v>0</v>
      </c>
      <c r="C2">
        <v>8</v>
      </c>
      <c r="D2">
        <v>1</v>
      </c>
      <c r="E2">
        <v>0</v>
      </c>
      <c r="F2">
        <v>54</v>
      </c>
      <c r="G2">
        <v>0.8832</v>
      </c>
      <c r="H2">
        <v>0.96</v>
      </c>
      <c r="I2">
        <v>0.1</v>
      </c>
      <c r="J2">
        <v>12.7</v>
      </c>
      <c r="K2">
        <v>37</v>
      </c>
      <c r="L2">
        <v>22.8</v>
      </c>
      <c r="M2">
        <v>72</v>
      </c>
      <c r="O2" t="s">
        <v>428</v>
      </c>
      <c r="P2" s="54">
        <v>-0.03</v>
      </c>
      <c r="Q2" s="55">
        <v>2</v>
      </c>
    </row>
    <row r="3" spans="1:17" ht="12.75">
      <c r="A3" t="s">
        <v>591</v>
      </c>
      <c r="B3">
        <v>0</v>
      </c>
      <c r="C3">
        <v>8</v>
      </c>
      <c r="D3">
        <v>1.2</v>
      </c>
      <c r="E3">
        <v>0</v>
      </c>
      <c r="F3">
        <v>54</v>
      </c>
      <c r="G3">
        <v>0.8832</v>
      </c>
      <c r="H3">
        <v>0.96</v>
      </c>
      <c r="I3">
        <v>0.09</v>
      </c>
      <c r="J3">
        <v>13.4</v>
      </c>
      <c r="K3">
        <v>40</v>
      </c>
      <c r="L3">
        <v>22.8</v>
      </c>
      <c r="M3">
        <v>72</v>
      </c>
      <c r="O3">
        <v>-0.03</v>
      </c>
      <c r="P3" s="54">
        <v>-0.02</v>
      </c>
      <c r="Q3" s="55">
        <v>0</v>
      </c>
    </row>
    <row r="4" spans="1:17" ht="12.75">
      <c r="A4" t="s">
        <v>601</v>
      </c>
      <c r="B4">
        <v>0</v>
      </c>
      <c r="C4">
        <v>9</v>
      </c>
      <c r="D4">
        <v>2.5</v>
      </c>
      <c r="E4">
        <v>53</v>
      </c>
      <c r="F4">
        <v>57</v>
      </c>
      <c r="G4">
        <v>0.8832</v>
      </c>
      <c r="H4">
        <v>0.96</v>
      </c>
      <c r="I4">
        <v>0.04</v>
      </c>
      <c r="J4">
        <v>18</v>
      </c>
      <c r="K4">
        <v>51</v>
      </c>
      <c r="L4">
        <v>23.3</v>
      </c>
      <c r="M4">
        <v>68</v>
      </c>
      <c r="O4">
        <v>-0.02</v>
      </c>
      <c r="P4" s="54">
        <v>-0.01</v>
      </c>
      <c r="Q4" s="55">
        <v>3</v>
      </c>
    </row>
    <row r="5" spans="1:17" ht="12.75">
      <c r="A5" t="s">
        <v>602</v>
      </c>
      <c r="B5">
        <v>0</v>
      </c>
      <c r="C5">
        <v>9</v>
      </c>
      <c r="D5">
        <v>2.5</v>
      </c>
      <c r="E5">
        <v>0</v>
      </c>
      <c r="F5">
        <v>56</v>
      </c>
      <c r="G5">
        <v>0.84</v>
      </c>
      <c r="H5">
        <v>0.925</v>
      </c>
      <c r="I5">
        <v>0</v>
      </c>
      <c r="J5">
        <v>18.2</v>
      </c>
      <c r="K5">
        <v>51</v>
      </c>
      <c r="L5">
        <v>18.6</v>
      </c>
      <c r="M5">
        <v>53</v>
      </c>
      <c r="O5">
        <v>-0.01</v>
      </c>
      <c r="P5" s="54">
        <v>0</v>
      </c>
      <c r="Q5" s="55">
        <v>11</v>
      </c>
    </row>
    <row r="6" spans="1:17" ht="12.75">
      <c r="A6" t="s">
        <v>603</v>
      </c>
      <c r="B6">
        <v>0</v>
      </c>
      <c r="C6">
        <v>9</v>
      </c>
      <c r="D6">
        <v>2.5</v>
      </c>
      <c r="E6">
        <v>0</v>
      </c>
      <c r="F6">
        <v>56</v>
      </c>
      <c r="G6">
        <v>0.84</v>
      </c>
      <c r="H6">
        <v>0.925</v>
      </c>
      <c r="I6">
        <v>0</v>
      </c>
      <c r="J6">
        <v>18.2</v>
      </c>
      <c r="K6">
        <v>51</v>
      </c>
      <c r="L6">
        <v>18.6</v>
      </c>
      <c r="M6">
        <v>53</v>
      </c>
      <c r="O6">
        <v>0</v>
      </c>
      <c r="P6" s="54">
        <v>0.01</v>
      </c>
      <c r="Q6" s="55">
        <v>9</v>
      </c>
    </row>
    <row r="7" spans="1:17" ht="12.75">
      <c r="A7" t="s">
        <v>604</v>
      </c>
      <c r="B7">
        <v>0</v>
      </c>
      <c r="C7">
        <v>10</v>
      </c>
      <c r="D7">
        <v>2.24</v>
      </c>
      <c r="E7">
        <v>0</v>
      </c>
      <c r="F7">
        <v>66</v>
      </c>
      <c r="G7">
        <v>0.8832</v>
      </c>
      <c r="H7">
        <v>0.96</v>
      </c>
      <c r="I7">
        <v>0.04</v>
      </c>
      <c r="J7">
        <v>19.2</v>
      </c>
      <c r="K7">
        <v>46</v>
      </c>
      <c r="L7">
        <v>26.6</v>
      </c>
      <c r="M7">
        <v>67</v>
      </c>
      <c r="O7">
        <v>0.01</v>
      </c>
      <c r="P7" s="54">
        <v>0.02</v>
      </c>
      <c r="Q7" s="55">
        <v>9</v>
      </c>
    </row>
    <row r="8" spans="1:17" ht="12.75">
      <c r="A8" t="s">
        <v>607</v>
      </c>
      <c r="B8">
        <v>0</v>
      </c>
      <c r="C8">
        <v>11</v>
      </c>
      <c r="D8">
        <v>2.5</v>
      </c>
      <c r="E8">
        <v>0</v>
      </c>
      <c r="F8">
        <v>69</v>
      </c>
      <c r="G8">
        <v>0.897</v>
      </c>
      <c r="H8">
        <v>0.975</v>
      </c>
      <c r="I8">
        <v>0.05</v>
      </c>
      <c r="J8">
        <v>21.3</v>
      </c>
      <c r="K8">
        <v>46</v>
      </c>
      <c r="L8">
        <v>31.9</v>
      </c>
      <c r="M8">
        <v>73</v>
      </c>
      <c r="O8">
        <v>0.02</v>
      </c>
      <c r="P8" s="54">
        <v>0.03</v>
      </c>
      <c r="Q8" s="55">
        <v>4</v>
      </c>
    </row>
    <row r="9" spans="1:17" ht="12.75">
      <c r="A9" t="s">
        <v>609</v>
      </c>
      <c r="B9">
        <v>0</v>
      </c>
      <c r="C9">
        <v>6</v>
      </c>
      <c r="D9">
        <v>2.36</v>
      </c>
      <c r="E9">
        <v>0</v>
      </c>
      <c r="F9">
        <v>58</v>
      </c>
      <c r="G9">
        <v>0.76</v>
      </c>
      <c r="H9">
        <v>0.96</v>
      </c>
      <c r="I9">
        <v>0.05</v>
      </c>
      <c r="J9">
        <v>14.6</v>
      </c>
      <c r="K9">
        <v>62</v>
      </c>
      <c r="L9">
        <v>22.1</v>
      </c>
      <c r="M9">
        <v>79</v>
      </c>
      <c r="O9">
        <v>0.03</v>
      </c>
      <c r="P9" s="54">
        <v>0.04</v>
      </c>
      <c r="Q9" s="55">
        <v>7</v>
      </c>
    </row>
    <row r="10" spans="1:17" ht="12.75">
      <c r="A10" t="s">
        <v>624</v>
      </c>
      <c r="B10">
        <v>0</v>
      </c>
      <c r="C10">
        <v>0</v>
      </c>
      <c r="D10">
        <v>0</v>
      </c>
      <c r="E10">
        <v>0</v>
      </c>
      <c r="F10">
        <v>46</v>
      </c>
      <c r="G10">
        <v>0.76</v>
      </c>
      <c r="H10">
        <v>0.96</v>
      </c>
      <c r="O10">
        <v>0.04</v>
      </c>
      <c r="P10" s="54">
        <v>0.05</v>
      </c>
      <c r="Q10" s="55">
        <v>5</v>
      </c>
    </row>
    <row r="11" spans="1:17" ht="12.75">
      <c r="A11" t="s">
        <v>625</v>
      </c>
      <c r="B11">
        <v>0</v>
      </c>
      <c r="C11">
        <v>10</v>
      </c>
      <c r="D11">
        <v>2</v>
      </c>
      <c r="E11">
        <v>0</v>
      </c>
      <c r="F11">
        <v>58</v>
      </c>
      <c r="G11">
        <v>0.7</v>
      </c>
      <c r="H11">
        <v>0.95</v>
      </c>
      <c r="I11">
        <v>0.03</v>
      </c>
      <c r="J11">
        <v>19.5</v>
      </c>
      <c r="K11">
        <v>47</v>
      </c>
      <c r="L11">
        <v>23.3</v>
      </c>
      <c r="M11">
        <v>60</v>
      </c>
      <c r="O11">
        <v>0.05</v>
      </c>
      <c r="P11" s="54">
        <v>0.06</v>
      </c>
      <c r="Q11" s="55">
        <v>3</v>
      </c>
    </row>
    <row r="12" spans="1:17" ht="12.75">
      <c r="A12" t="s">
        <v>627</v>
      </c>
      <c r="B12">
        <v>0</v>
      </c>
      <c r="C12">
        <v>20</v>
      </c>
      <c r="D12">
        <v>3.1</v>
      </c>
      <c r="E12">
        <v>118</v>
      </c>
      <c r="F12">
        <v>61</v>
      </c>
      <c r="G12">
        <v>0.9016</v>
      </c>
      <c r="H12">
        <v>0.98</v>
      </c>
      <c r="I12">
        <v>0.03</v>
      </c>
      <c r="J12">
        <v>36.4</v>
      </c>
      <c r="K12">
        <v>37</v>
      </c>
      <c r="L12">
        <v>52.3</v>
      </c>
      <c r="M12">
        <v>65</v>
      </c>
      <c r="O12">
        <v>0.06</v>
      </c>
      <c r="P12" s="54">
        <v>0.07</v>
      </c>
      <c r="Q12" s="55">
        <v>0</v>
      </c>
    </row>
    <row r="13" spans="1:17" ht="12.75">
      <c r="A13" t="s">
        <v>628</v>
      </c>
      <c r="B13">
        <v>0</v>
      </c>
      <c r="C13">
        <v>8</v>
      </c>
      <c r="D13">
        <v>3.12</v>
      </c>
      <c r="E13">
        <v>0</v>
      </c>
      <c r="F13">
        <v>60</v>
      </c>
      <c r="G13">
        <v>0.91</v>
      </c>
      <c r="H13">
        <v>0.986</v>
      </c>
      <c r="I13">
        <v>0.06</v>
      </c>
      <c r="J13">
        <v>18.2</v>
      </c>
      <c r="K13">
        <v>58</v>
      </c>
      <c r="L13">
        <v>29.9</v>
      </c>
      <c r="M13">
        <v>84</v>
      </c>
      <c r="O13">
        <v>0.07</v>
      </c>
      <c r="P13" s="54">
        <v>0.08</v>
      </c>
      <c r="Q13" s="55">
        <v>0</v>
      </c>
    </row>
    <row r="14" spans="1:17" ht="12.75">
      <c r="A14" t="s">
        <v>629</v>
      </c>
      <c r="B14">
        <v>0</v>
      </c>
      <c r="C14">
        <v>10</v>
      </c>
      <c r="D14">
        <v>4</v>
      </c>
      <c r="E14">
        <v>69</v>
      </c>
      <c r="F14">
        <v>61</v>
      </c>
      <c r="G14">
        <v>0.88</v>
      </c>
      <c r="H14">
        <v>0.99</v>
      </c>
      <c r="I14">
        <v>0.05</v>
      </c>
      <c r="J14">
        <v>23.3</v>
      </c>
      <c r="K14">
        <v>58</v>
      </c>
      <c r="L14">
        <v>35.7</v>
      </c>
      <c r="M14">
        <v>83</v>
      </c>
      <c r="O14">
        <v>0.08</v>
      </c>
      <c r="P14" s="54">
        <v>0.09</v>
      </c>
      <c r="Q14" s="55">
        <v>2</v>
      </c>
    </row>
    <row r="15" spans="1:17" ht="12.75">
      <c r="A15" t="s">
        <v>630</v>
      </c>
      <c r="B15">
        <v>0</v>
      </c>
      <c r="C15">
        <v>9</v>
      </c>
      <c r="D15">
        <v>4</v>
      </c>
      <c r="E15">
        <v>0</v>
      </c>
      <c r="F15">
        <v>60</v>
      </c>
      <c r="G15">
        <v>0.90712</v>
      </c>
      <c r="H15">
        <v>0.986</v>
      </c>
      <c r="I15">
        <v>0.05</v>
      </c>
      <c r="J15">
        <v>21.2</v>
      </c>
      <c r="K15">
        <v>60</v>
      </c>
      <c r="L15">
        <v>30.5</v>
      </c>
      <c r="M15">
        <v>81</v>
      </c>
      <c r="O15">
        <v>0.09</v>
      </c>
      <c r="P15" s="54">
        <v>0.1</v>
      </c>
      <c r="Q15" s="55">
        <v>1</v>
      </c>
    </row>
    <row r="16" spans="1:17" ht="12.75">
      <c r="A16" t="s">
        <v>631</v>
      </c>
      <c r="B16">
        <v>0</v>
      </c>
      <c r="C16">
        <v>14</v>
      </c>
      <c r="D16">
        <v>2</v>
      </c>
      <c r="E16">
        <v>0</v>
      </c>
      <c r="F16">
        <v>52</v>
      </c>
      <c r="G16">
        <v>0.8832</v>
      </c>
      <c r="H16">
        <v>0.96</v>
      </c>
      <c r="I16">
        <v>0.03</v>
      </c>
      <c r="J16">
        <v>22.8</v>
      </c>
      <c r="K16">
        <v>37</v>
      </c>
      <c r="L16">
        <v>26.6</v>
      </c>
      <c r="M16">
        <v>53</v>
      </c>
      <c r="O16">
        <v>0.1</v>
      </c>
      <c r="P16" s="54">
        <v>0.11</v>
      </c>
      <c r="Q16" s="55">
        <v>1</v>
      </c>
    </row>
    <row r="17" spans="1:17" ht="13.5" thickBot="1">
      <c r="A17" t="s">
        <v>632</v>
      </c>
      <c r="B17">
        <v>0</v>
      </c>
      <c r="C17">
        <v>14</v>
      </c>
      <c r="D17">
        <v>2</v>
      </c>
      <c r="E17">
        <v>71</v>
      </c>
      <c r="F17">
        <v>56</v>
      </c>
      <c r="G17">
        <v>0.90712</v>
      </c>
      <c r="H17">
        <v>0.986</v>
      </c>
      <c r="I17">
        <v>0.06</v>
      </c>
      <c r="J17">
        <v>24.1</v>
      </c>
      <c r="K17">
        <v>37</v>
      </c>
      <c r="L17">
        <v>37.6</v>
      </c>
      <c r="M17">
        <v>74</v>
      </c>
      <c r="O17">
        <v>0.11</v>
      </c>
      <c r="P17" s="56" t="s">
        <v>200</v>
      </c>
      <c r="Q17" s="56">
        <v>0</v>
      </c>
    </row>
    <row r="18" spans="1:13" ht="12.75">
      <c r="A18" t="s">
        <v>633</v>
      </c>
      <c r="B18">
        <v>0</v>
      </c>
      <c r="C18">
        <v>14</v>
      </c>
      <c r="D18">
        <v>2</v>
      </c>
      <c r="E18">
        <v>27</v>
      </c>
      <c r="F18">
        <v>51</v>
      </c>
      <c r="G18">
        <v>0.8075</v>
      </c>
      <c r="H18">
        <v>0.95</v>
      </c>
      <c r="I18">
        <v>0</v>
      </c>
      <c r="J18">
        <v>17.8</v>
      </c>
      <c r="K18">
        <v>36</v>
      </c>
      <c r="L18">
        <v>17.8</v>
      </c>
      <c r="M18">
        <v>36</v>
      </c>
    </row>
    <row r="19" spans="1:13" ht="12.75">
      <c r="A19" t="s">
        <v>634</v>
      </c>
      <c r="B19">
        <v>0</v>
      </c>
      <c r="C19">
        <v>14</v>
      </c>
      <c r="D19">
        <v>2</v>
      </c>
      <c r="E19">
        <v>0</v>
      </c>
      <c r="F19">
        <v>47</v>
      </c>
      <c r="G19">
        <v>0.8075</v>
      </c>
      <c r="H19">
        <v>0.95</v>
      </c>
      <c r="I19">
        <v>0.02</v>
      </c>
      <c r="J19">
        <v>22.5</v>
      </c>
      <c r="K19">
        <v>38</v>
      </c>
      <c r="L19">
        <v>24.2</v>
      </c>
      <c r="M19">
        <v>46</v>
      </c>
    </row>
    <row r="20" spans="1:8" ht="12.75">
      <c r="A20" t="s">
        <v>635</v>
      </c>
      <c r="B20">
        <v>0</v>
      </c>
      <c r="C20">
        <v>0</v>
      </c>
      <c r="D20">
        <v>0</v>
      </c>
      <c r="E20">
        <v>0</v>
      </c>
      <c r="F20">
        <v>20</v>
      </c>
      <c r="G20">
        <v>0.8075</v>
      </c>
      <c r="H20">
        <v>0.95</v>
      </c>
    </row>
    <row r="21" spans="1:8" ht="12.75">
      <c r="A21" t="s">
        <v>636</v>
      </c>
      <c r="B21">
        <v>0</v>
      </c>
      <c r="C21">
        <v>0</v>
      </c>
      <c r="D21">
        <v>0</v>
      </c>
      <c r="E21">
        <v>0</v>
      </c>
      <c r="F21">
        <v>43</v>
      </c>
      <c r="G21">
        <v>0.8075</v>
      </c>
      <c r="H21">
        <v>0.95</v>
      </c>
    </row>
    <row r="22" spans="1:8" ht="12.75">
      <c r="A22" t="s">
        <v>637</v>
      </c>
      <c r="B22">
        <v>0</v>
      </c>
      <c r="C22">
        <v>0</v>
      </c>
      <c r="D22">
        <v>0</v>
      </c>
      <c r="E22">
        <v>0</v>
      </c>
      <c r="F22">
        <v>20</v>
      </c>
      <c r="G22">
        <v>0.8075</v>
      </c>
      <c r="H22">
        <v>0.95</v>
      </c>
    </row>
    <row r="23" spans="1:8" ht="12.75">
      <c r="A23" t="s">
        <v>638</v>
      </c>
      <c r="B23">
        <v>0</v>
      </c>
      <c r="C23">
        <v>0</v>
      </c>
      <c r="D23">
        <v>0</v>
      </c>
      <c r="E23">
        <v>0</v>
      </c>
      <c r="F23">
        <v>42</v>
      </c>
      <c r="G23">
        <v>0.8075</v>
      </c>
      <c r="H23">
        <v>0.95</v>
      </c>
    </row>
    <row r="24" spans="1:8" ht="12.75">
      <c r="A24" t="s">
        <v>639</v>
      </c>
      <c r="B24">
        <v>0</v>
      </c>
      <c r="C24">
        <v>0</v>
      </c>
      <c r="D24">
        <v>0</v>
      </c>
      <c r="E24">
        <v>0</v>
      </c>
      <c r="F24">
        <v>44</v>
      </c>
      <c r="G24">
        <v>0.8075</v>
      </c>
      <c r="H24">
        <v>0.95</v>
      </c>
    </row>
    <row r="25" spans="1:8" ht="12.75">
      <c r="A25" t="s">
        <v>640</v>
      </c>
      <c r="B25">
        <v>0</v>
      </c>
      <c r="C25">
        <v>0</v>
      </c>
      <c r="D25">
        <v>0</v>
      </c>
      <c r="E25">
        <v>0</v>
      </c>
      <c r="F25">
        <v>42</v>
      </c>
      <c r="G25">
        <v>0.8075</v>
      </c>
      <c r="H25">
        <v>0.95</v>
      </c>
    </row>
    <row r="26" spans="1:8" ht="12.75">
      <c r="A26" t="s">
        <v>641</v>
      </c>
      <c r="B26">
        <v>0</v>
      </c>
      <c r="C26">
        <v>0</v>
      </c>
      <c r="D26">
        <v>0</v>
      </c>
      <c r="E26">
        <v>0</v>
      </c>
      <c r="F26">
        <v>43</v>
      </c>
      <c r="G26">
        <v>0.8075</v>
      </c>
      <c r="H26">
        <v>0.95</v>
      </c>
    </row>
    <row r="27" spans="1:8" ht="12.75">
      <c r="A27" t="s">
        <v>642</v>
      </c>
      <c r="B27">
        <v>0</v>
      </c>
      <c r="C27">
        <v>0</v>
      </c>
      <c r="D27">
        <v>0</v>
      </c>
      <c r="E27">
        <v>0</v>
      </c>
      <c r="F27">
        <v>42</v>
      </c>
      <c r="G27">
        <v>0.8075</v>
      </c>
      <c r="H27">
        <v>0.95</v>
      </c>
    </row>
    <row r="28" spans="1:8" ht="12.75">
      <c r="A28" t="s">
        <v>643</v>
      </c>
      <c r="B28">
        <v>0</v>
      </c>
      <c r="C28">
        <v>0</v>
      </c>
      <c r="D28">
        <v>0</v>
      </c>
      <c r="E28">
        <v>0</v>
      </c>
      <c r="F28">
        <v>44</v>
      </c>
      <c r="G28">
        <v>0.8075</v>
      </c>
      <c r="H28">
        <v>0.95</v>
      </c>
    </row>
    <row r="29" spans="1:8" ht="12.75">
      <c r="A29" t="s">
        <v>644</v>
      </c>
      <c r="B29">
        <v>0</v>
      </c>
      <c r="C29">
        <v>0</v>
      </c>
      <c r="D29">
        <v>0</v>
      </c>
      <c r="E29">
        <v>0</v>
      </c>
      <c r="F29">
        <v>40</v>
      </c>
      <c r="G29">
        <v>0.8075</v>
      </c>
      <c r="H29">
        <v>0.95</v>
      </c>
    </row>
    <row r="30" spans="1:8" ht="12.75">
      <c r="A30" t="s">
        <v>645</v>
      </c>
      <c r="B30">
        <v>0</v>
      </c>
      <c r="C30">
        <v>0</v>
      </c>
      <c r="D30">
        <v>0</v>
      </c>
      <c r="E30">
        <v>0</v>
      </c>
      <c r="F30">
        <v>46</v>
      </c>
      <c r="G30">
        <v>0.8075</v>
      </c>
      <c r="H30">
        <v>0.95</v>
      </c>
    </row>
    <row r="31" spans="1:8" ht="12.75">
      <c r="A31" t="s">
        <v>646</v>
      </c>
      <c r="B31">
        <v>0</v>
      </c>
      <c r="C31">
        <v>0</v>
      </c>
      <c r="D31">
        <v>0</v>
      </c>
      <c r="E31">
        <v>0</v>
      </c>
      <c r="F31">
        <v>44</v>
      </c>
      <c r="G31">
        <v>0.8075</v>
      </c>
      <c r="H31">
        <v>0.95</v>
      </c>
    </row>
    <row r="32" spans="1:8" ht="12.75">
      <c r="A32" t="s">
        <v>647</v>
      </c>
      <c r="B32">
        <v>0</v>
      </c>
      <c r="C32">
        <v>0</v>
      </c>
      <c r="D32">
        <v>0</v>
      </c>
      <c r="E32">
        <v>0</v>
      </c>
      <c r="F32">
        <v>20</v>
      </c>
      <c r="G32">
        <v>0.8075</v>
      </c>
      <c r="H32">
        <v>0.95</v>
      </c>
    </row>
    <row r="33" spans="1:8" ht="12.75">
      <c r="A33" t="s">
        <v>648</v>
      </c>
      <c r="B33">
        <v>0</v>
      </c>
      <c r="C33">
        <v>0</v>
      </c>
      <c r="D33">
        <v>0</v>
      </c>
      <c r="E33">
        <v>0</v>
      </c>
      <c r="F33">
        <v>39</v>
      </c>
      <c r="G33">
        <v>0.8075</v>
      </c>
      <c r="H33">
        <v>0.95</v>
      </c>
    </row>
    <row r="34" spans="1:8" ht="12.75">
      <c r="A34" t="s">
        <v>649</v>
      </c>
      <c r="B34">
        <v>0</v>
      </c>
      <c r="C34">
        <v>0</v>
      </c>
      <c r="D34">
        <v>0</v>
      </c>
      <c r="E34">
        <v>0</v>
      </c>
      <c r="F34">
        <v>44</v>
      </c>
      <c r="G34">
        <v>0.8075</v>
      </c>
      <c r="H34">
        <v>0.95</v>
      </c>
    </row>
    <row r="35" spans="1:8" ht="12.75">
      <c r="A35" t="s">
        <v>650</v>
      </c>
      <c r="B35">
        <v>0</v>
      </c>
      <c r="C35">
        <v>0</v>
      </c>
      <c r="D35">
        <v>0</v>
      </c>
      <c r="E35">
        <v>0</v>
      </c>
      <c r="F35">
        <v>20</v>
      </c>
      <c r="G35">
        <v>0.8075</v>
      </c>
      <c r="H35">
        <v>0.95</v>
      </c>
    </row>
    <row r="36" spans="1:8" ht="12.75">
      <c r="A36" t="s">
        <v>651</v>
      </c>
      <c r="B36">
        <v>0</v>
      </c>
      <c r="C36">
        <v>0</v>
      </c>
      <c r="D36">
        <v>0</v>
      </c>
      <c r="E36">
        <v>0</v>
      </c>
      <c r="F36">
        <v>46</v>
      </c>
      <c r="G36">
        <v>0.8075</v>
      </c>
      <c r="H36">
        <v>0.95</v>
      </c>
    </row>
    <row r="37" spans="1:8" ht="12.75">
      <c r="A37" t="s">
        <v>652</v>
      </c>
      <c r="B37">
        <v>0</v>
      </c>
      <c r="C37">
        <v>0</v>
      </c>
      <c r="D37">
        <v>0</v>
      </c>
      <c r="E37">
        <v>0</v>
      </c>
      <c r="F37">
        <v>48</v>
      </c>
      <c r="G37">
        <v>0.8075</v>
      </c>
      <c r="H37">
        <v>0.95</v>
      </c>
    </row>
    <row r="38" spans="1:13" ht="12.75">
      <c r="A38" t="s">
        <v>653</v>
      </c>
      <c r="B38">
        <v>16</v>
      </c>
      <c r="C38">
        <v>7</v>
      </c>
      <c r="D38">
        <v>2.875</v>
      </c>
      <c r="E38">
        <v>35</v>
      </c>
      <c r="F38">
        <v>40</v>
      </c>
      <c r="G38">
        <v>0.874</v>
      </c>
      <c r="H38">
        <v>0.95</v>
      </c>
      <c r="I38">
        <v>0.03</v>
      </c>
      <c r="J38">
        <v>14.5</v>
      </c>
      <c r="K38">
        <v>59</v>
      </c>
      <c r="L38">
        <v>16.4</v>
      </c>
      <c r="M38">
        <v>68</v>
      </c>
    </row>
    <row r="39" spans="1:13" ht="12.75">
      <c r="A39" t="s">
        <v>654</v>
      </c>
      <c r="B39">
        <v>0</v>
      </c>
      <c r="C39">
        <v>11</v>
      </c>
      <c r="D39">
        <v>3</v>
      </c>
      <c r="E39">
        <v>50</v>
      </c>
      <c r="F39">
        <v>40</v>
      </c>
      <c r="G39">
        <v>0.8832</v>
      </c>
      <c r="H39">
        <v>0.96</v>
      </c>
      <c r="I39">
        <v>0.03</v>
      </c>
      <c r="J39">
        <v>21</v>
      </c>
      <c r="K39">
        <v>49</v>
      </c>
      <c r="L39">
        <v>24</v>
      </c>
      <c r="M39">
        <v>61</v>
      </c>
    </row>
    <row r="40" spans="1:13" ht="12.75">
      <c r="A40" t="s">
        <v>655</v>
      </c>
      <c r="B40">
        <v>0</v>
      </c>
      <c r="C40">
        <v>6</v>
      </c>
      <c r="D40">
        <v>2</v>
      </c>
      <c r="E40">
        <v>23</v>
      </c>
      <c r="F40">
        <v>37</v>
      </c>
      <c r="G40">
        <v>0.8075</v>
      </c>
      <c r="H40">
        <v>0.95</v>
      </c>
      <c r="I40">
        <v>0.04</v>
      </c>
      <c r="J40">
        <v>10.8</v>
      </c>
      <c r="K40">
        <v>57</v>
      </c>
      <c r="L40">
        <v>12.1</v>
      </c>
      <c r="M40">
        <v>67</v>
      </c>
    </row>
    <row r="41" spans="1:13" ht="12.75">
      <c r="A41" t="s">
        <v>656</v>
      </c>
      <c r="B41">
        <v>0</v>
      </c>
      <c r="C41">
        <v>6</v>
      </c>
      <c r="D41">
        <v>2</v>
      </c>
      <c r="E41">
        <v>22</v>
      </c>
      <c r="F41">
        <v>32</v>
      </c>
      <c r="G41">
        <v>0.8075</v>
      </c>
      <c r="H41">
        <v>0.95</v>
      </c>
      <c r="I41">
        <v>0.04</v>
      </c>
      <c r="J41">
        <v>10.6</v>
      </c>
      <c r="K41">
        <v>57</v>
      </c>
      <c r="L41">
        <v>11.7</v>
      </c>
      <c r="M41">
        <v>66</v>
      </c>
    </row>
    <row r="42" spans="1:13" ht="13.5" thickBot="1">
      <c r="A42" t="s">
        <v>658</v>
      </c>
      <c r="B42">
        <v>0</v>
      </c>
      <c r="C42">
        <v>9</v>
      </c>
      <c r="D42">
        <v>4.5</v>
      </c>
      <c r="E42">
        <v>60</v>
      </c>
      <c r="F42">
        <v>54</v>
      </c>
      <c r="G42">
        <v>0.84088</v>
      </c>
      <c r="H42">
        <v>0.914</v>
      </c>
      <c r="I42">
        <v>-0.03</v>
      </c>
      <c r="J42">
        <v>21.9</v>
      </c>
      <c r="K42">
        <v>62</v>
      </c>
      <c r="L42">
        <v>17.5</v>
      </c>
      <c r="M42">
        <v>48</v>
      </c>
    </row>
    <row r="43" spans="1:17" ht="12.75">
      <c r="A43" t="s">
        <v>659</v>
      </c>
      <c r="B43">
        <v>0</v>
      </c>
      <c r="C43">
        <v>7</v>
      </c>
      <c r="D43">
        <v>2.5</v>
      </c>
      <c r="E43">
        <v>18</v>
      </c>
      <c r="F43">
        <v>28</v>
      </c>
      <c r="G43">
        <v>0.673</v>
      </c>
      <c r="H43">
        <v>0.914</v>
      </c>
      <c r="I43">
        <v>-0.05</v>
      </c>
      <c r="J43">
        <v>10.8</v>
      </c>
      <c r="K43">
        <v>58</v>
      </c>
      <c r="L43">
        <v>10</v>
      </c>
      <c r="M43">
        <v>47</v>
      </c>
      <c r="O43" t="s">
        <v>429</v>
      </c>
      <c r="P43" s="57" t="s">
        <v>199</v>
      </c>
      <c r="Q43" s="57" t="s">
        <v>201</v>
      </c>
    </row>
    <row r="44" spans="1:17" ht="12.75">
      <c r="A44" t="s">
        <v>660</v>
      </c>
      <c r="B44">
        <v>0</v>
      </c>
      <c r="C44">
        <v>8</v>
      </c>
      <c r="D44">
        <v>2.5</v>
      </c>
      <c r="E44">
        <v>0</v>
      </c>
      <c r="F44">
        <v>27</v>
      </c>
      <c r="G44">
        <v>0.874</v>
      </c>
      <c r="H44">
        <v>0.95</v>
      </c>
      <c r="I44">
        <v>0.02</v>
      </c>
      <c r="J44">
        <v>13.7</v>
      </c>
      <c r="K44">
        <v>53</v>
      </c>
      <c r="L44">
        <v>14.6</v>
      </c>
      <c r="M44">
        <v>60</v>
      </c>
      <c r="O44">
        <v>30</v>
      </c>
      <c r="P44" s="54" t="s">
        <v>430</v>
      </c>
      <c r="Q44" s="55">
        <v>2</v>
      </c>
    </row>
    <row r="45" spans="1:17" ht="12.75">
      <c r="A45" t="s">
        <v>661</v>
      </c>
      <c r="B45">
        <v>0</v>
      </c>
      <c r="C45">
        <v>8</v>
      </c>
      <c r="D45">
        <v>2.5</v>
      </c>
      <c r="E45">
        <v>0</v>
      </c>
      <c r="F45">
        <v>28</v>
      </c>
      <c r="G45">
        <v>0.874</v>
      </c>
      <c r="H45">
        <v>0.95</v>
      </c>
      <c r="I45">
        <v>0.03</v>
      </c>
      <c r="J45">
        <v>13.9</v>
      </c>
      <c r="K45">
        <v>53</v>
      </c>
      <c r="L45">
        <v>15</v>
      </c>
      <c r="M45">
        <v>61</v>
      </c>
      <c r="O45">
        <v>35</v>
      </c>
      <c r="P45" s="54" t="s">
        <v>431</v>
      </c>
      <c r="Q45" s="55">
        <v>5</v>
      </c>
    </row>
    <row r="46" spans="1:17" ht="12.75">
      <c r="A46" t="s">
        <v>662</v>
      </c>
      <c r="B46">
        <v>0</v>
      </c>
      <c r="C46">
        <v>8</v>
      </c>
      <c r="D46">
        <v>2.5</v>
      </c>
      <c r="E46">
        <v>19</v>
      </c>
      <c r="F46">
        <v>25</v>
      </c>
      <c r="G46">
        <v>0.88</v>
      </c>
      <c r="H46">
        <v>0.938</v>
      </c>
      <c r="I46">
        <v>-0.01</v>
      </c>
      <c r="J46">
        <v>11.5</v>
      </c>
      <c r="K46">
        <v>51</v>
      </c>
      <c r="L46">
        <v>11.3</v>
      </c>
      <c r="M46">
        <v>50</v>
      </c>
      <c r="O46">
        <v>40</v>
      </c>
      <c r="P46" s="54" t="s">
        <v>432</v>
      </c>
      <c r="Q46" s="55">
        <v>20</v>
      </c>
    </row>
    <row r="47" spans="1:17" ht="12.75">
      <c r="A47" t="s">
        <v>663</v>
      </c>
      <c r="B47">
        <v>0</v>
      </c>
      <c r="C47">
        <v>9</v>
      </c>
      <c r="D47">
        <v>2.1</v>
      </c>
      <c r="E47">
        <v>0</v>
      </c>
      <c r="F47">
        <v>31</v>
      </c>
      <c r="G47">
        <v>0.874</v>
      </c>
      <c r="H47">
        <v>0.95</v>
      </c>
      <c r="I47">
        <v>0.03</v>
      </c>
      <c r="J47">
        <v>15</v>
      </c>
      <c r="K47">
        <v>47</v>
      </c>
      <c r="L47">
        <v>16.5</v>
      </c>
      <c r="M47">
        <v>58</v>
      </c>
      <c r="O47">
        <v>45</v>
      </c>
      <c r="P47" s="54" t="s">
        <v>436</v>
      </c>
      <c r="Q47" s="55">
        <v>13</v>
      </c>
    </row>
    <row r="48" spans="1:17" ht="12.75">
      <c r="A48" t="s">
        <v>664</v>
      </c>
      <c r="B48">
        <v>12.8</v>
      </c>
      <c r="C48">
        <v>9</v>
      </c>
      <c r="D48">
        <v>2.1</v>
      </c>
      <c r="E48">
        <v>26</v>
      </c>
      <c r="F48">
        <v>30</v>
      </c>
      <c r="G48">
        <v>0.874</v>
      </c>
      <c r="H48">
        <v>0.95</v>
      </c>
      <c r="I48">
        <v>0.03</v>
      </c>
      <c r="J48">
        <v>13.9</v>
      </c>
      <c r="K48">
        <v>47</v>
      </c>
      <c r="L48">
        <v>14.8</v>
      </c>
      <c r="M48">
        <v>55</v>
      </c>
      <c r="O48">
        <v>50</v>
      </c>
      <c r="P48" s="54" t="s">
        <v>433</v>
      </c>
      <c r="Q48" s="55">
        <v>10</v>
      </c>
    </row>
    <row r="49" spans="1:17" ht="12.75">
      <c r="A49" t="s">
        <v>665</v>
      </c>
      <c r="B49">
        <v>0</v>
      </c>
      <c r="C49">
        <v>8</v>
      </c>
      <c r="D49">
        <v>2</v>
      </c>
      <c r="E49">
        <v>18</v>
      </c>
      <c r="F49">
        <v>34</v>
      </c>
      <c r="G49">
        <v>0.8075</v>
      </c>
      <c r="H49">
        <v>0.95</v>
      </c>
      <c r="I49">
        <v>0.01</v>
      </c>
      <c r="J49">
        <v>11</v>
      </c>
      <c r="K49">
        <v>48</v>
      </c>
      <c r="L49">
        <v>11.1</v>
      </c>
      <c r="M49">
        <v>51</v>
      </c>
      <c r="O49">
        <v>55</v>
      </c>
      <c r="P49" s="54" t="s">
        <v>434</v>
      </c>
      <c r="Q49" s="55">
        <v>5</v>
      </c>
    </row>
    <row r="50" spans="1:17" ht="12.75">
      <c r="A50" t="s">
        <v>666</v>
      </c>
      <c r="B50">
        <v>0</v>
      </c>
      <c r="C50">
        <v>10</v>
      </c>
      <c r="D50">
        <v>2.5</v>
      </c>
      <c r="E50">
        <v>27</v>
      </c>
      <c r="F50">
        <v>32</v>
      </c>
      <c r="G50">
        <v>0.874</v>
      </c>
      <c r="H50">
        <v>0.95</v>
      </c>
      <c r="I50">
        <v>0.01</v>
      </c>
      <c r="J50">
        <v>15.3</v>
      </c>
      <c r="K50">
        <v>47</v>
      </c>
      <c r="L50">
        <v>15.8</v>
      </c>
      <c r="M50">
        <v>51</v>
      </c>
      <c r="O50">
        <v>60</v>
      </c>
      <c r="P50" s="54" t="s">
        <v>435</v>
      </c>
      <c r="Q50" s="55">
        <v>1</v>
      </c>
    </row>
    <row r="51" spans="1:17" ht="13.5" thickBot="1">
      <c r="A51" t="s">
        <v>667</v>
      </c>
      <c r="B51">
        <v>0</v>
      </c>
      <c r="C51">
        <v>10</v>
      </c>
      <c r="D51">
        <v>2.5</v>
      </c>
      <c r="E51">
        <v>0</v>
      </c>
      <c r="F51">
        <v>34</v>
      </c>
      <c r="G51">
        <v>0.874</v>
      </c>
      <c r="H51">
        <v>0.95</v>
      </c>
      <c r="I51">
        <v>0.02</v>
      </c>
      <c r="J51">
        <v>16.9</v>
      </c>
      <c r="K51">
        <v>48</v>
      </c>
      <c r="L51">
        <v>18.1</v>
      </c>
      <c r="M51">
        <v>55</v>
      </c>
      <c r="P51" s="56" t="s">
        <v>200</v>
      </c>
      <c r="Q51" s="56">
        <v>0</v>
      </c>
    </row>
    <row r="52" spans="1:8" ht="12.75">
      <c r="A52" t="s">
        <v>668</v>
      </c>
      <c r="B52">
        <v>0</v>
      </c>
      <c r="C52">
        <v>0</v>
      </c>
      <c r="D52">
        <v>0</v>
      </c>
      <c r="E52">
        <v>0</v>
      </c>
      <c r="F52">
        <v>30</v>
      </c>
      <c r="G52">
        <v>0.874</v>
      </c>
      <c r="H52">
        <v>0.95</v>
      </c>
    </row>
    <row r="53" spans="1:8" ht="12.75">
      <c r="A53" t="s">
        <v>669</v>
      </c>
      <c r="B53">
        <v>0</v>
      </c>
      <c r="C53">
        <v>0</v>
      </c>
      <c r="D53">
        <v>0</v>
      </c>
      <c r="E53">
        <v>0</v>
      </c>
      <c r="F53">
        <v>28</v>
      </c>
      <c r="G53">
        <v>0.874</v>
      </c>
      <c r="H53">
        <v>0.95</v>
      </c>
    </row>
    <row r="54" spans="1:13" ht="12.75">
      <c r="A54" t="s">
        <v>670</v>
      </c>
      <c r="B54">
        <v>0</v>
      </c>
      <c r="C54">
        <v>10</v>
      </c>
      <c r="D54">
        <v>4.7</v>
      </c>
      <c r="E54">
        <v>46</v>
      </c>
      <c r="F54">
        <v>32</v>
      </c>
      <c r="G54">
        <v>0.874</v>
      </c>
      <c r="H54">
        <v>0.95</v>
      </c>
      <c r="I54">
        <v>0</v>
      </c>
      <c r="J54">
        <v>21.4</v>
      </c>
      <c r="K54">
        <v>60</v>
      </c>
      <c r="L54">
        <v>21.2</v>
      </c>
      <c r="M54">
        <v>59</v>
      </c>
    </row>
    <row r="55" spans="1:13" ht="12.75">
      <c r="A55" t="s">
        <v>671</v>
      </c>
      <c r="B55">
        <v>0</v>
      </c>
      <c r="C55">
        <v>8</v>
      </c>
      <c r="D55">
        <v>2.4</v>
      </c>
      <c r="E55">
        <v>35</v>
      </c>
      <c r="F55">
        <v>30</v>
      </c>
      <c r="G55">
        <v>0.874</v>
      </c>
      <c r="H55">
        <v>0.95</v>
      </c>
      <c r="I55">
        <v>0.03</v>
      </c>
      <c r="J55">
        <v>15</v>
      </c>
      <c r="K55">
        <v>53</v>
      </c>
      <c r="L55">
        <v>17.1</v>
      </c>
      <c r="M55">
        <v>64</v>
      </c>
    </row>
    <row r="56" spans="1:13" ht="12.75">
      <c r="A56" t="s">
        <v>672</v>
      </c>
      <c r="B56">
        <v>0</v>
      </c>
      <c r="C56">
        <v>12</v>
      </c>
      <c r="D56">
        <v>2</v>
      </c>
      <c r="E56">
        <v>42</v>
      </c>
      <c r="F56">
        <v>30</v>
      </c>
      <c r="G56">
        <v>0.8075</v>
      </c>
      <c r="H56">
        <v>0.95</v>
      </c>
      <c r="I56">
        <v>0.02</v>
      </c>
      <c r="J56">
        <v>19.8</v>
      </c>
      <c r="K56">
        <v>41</v>
      </c>
      <c r="L56">
        <v>21.6</v>
      </c>
      <c r="M56">
        <v>51</v>
      </c>
    </row>
    <row r="57" spans="1:13" ht="12.75">
      <c r="A57" t="s">
        <v>673</v>
      </c>
      <c r="B57">
        <v>0</v>
      </c>
      <c r="C57">
        <v>12</v>
      </c>
      <c r="D57">
        <v>2</v>
      </c>
      <c r="E57">
        <v>0</v>
      </c>
      <c r="F57">
        <v>31</v>
      </c>
      <c r="G57">
        <v>0.8075</v>
      </c>
      <c r="H57">
        <v>0.95</v>
      </c>
      <c r="I57">
        <v>0.02</v>
      </c>
      <c r="J57">
        <v>17.7</v>
      </c>
      <c r="K57">
        <v>40</v>
      </c>
      <c r="L57">
        <v>18.3</v>
      </c>
      <c r="M57">
        <v>46</v>
      </c>
    </row>
    <row r="58" spans="1:13" ht="12.75">
      <c r="A58" t="s">
        <v>674</v>
      </c>
      <c r="B58">
        <v>0</v>
      </c>
      <c r="C58">
        <v>8</v>
      </c>
      <c r="D58">
        <v>2.5</v>
      </c>
      <c r="E58">
        <v>30</v>
      </c>
      <c r="F58">
        <v>29</v>
      </c>
      <c r="G58">
        <v>0.874</v>
      </c>
      <c r="H58">
        <v>0.95</v>
      </c>
      <c r="I58">
        <v>0.03</v>
      </c>
      <c r="J58">
        <v>14.3</v>
      </c>
      <c r="K58">
        <v>53</v>
      </c>
      <c r="L58">
        <v>15.6</v>
      </c>
      <c r="M58">
        <v>62</v>
      </c>
    </row>
    <row r="59" spans="1:13" ht="12.75">
      <c r="A59" t="s">
        <v>675</v>
      </c>
      <c r="B59">
        <v>0</v>
      </c>
      <c r="C59">
        <v>8</v>
      </c>
      <c r="D59">
        <v>2</v>
      </c>
      <c r="E59">
        <v>30</v>
      </c>
      <c r="F59">
        <v>30</v>
      </c>
      <c r="G59">
        <v>0.8075</v>
      </c>
      <c r="H59">
        <v>0.95</v>
      </c>
      <c r="I59">
        <v>0.04</v>
      </c>
      <c r="J59">
        <v>13.9</v>
      </c>
      <c r="K59">
        <v>50</v>
      </c>
      <c r="L59">
        <v>15.6</v>
      </c>
      <c r="M59">
        <v>61</v>
      </c>
    </row>
    <row r="60" spans="1:13" ht="12.75">
      <c r="A60" t="s">
        <v>676</v>
      </c>
      <c r="B60">
        <v>0</v>
      </c>
      <c r="C60">
        <v>11</v>
      </c>
      <c r="D60">
        <v>3</v>
      </c>
      <c r="E60">
        <v>40</v>
      </c>
      <c r="F60">
        <v>33</v>
      </c>
      <c r="G60">
        <v>0.874</v>
      </c>
      <c r="H60">
        <v>0.95</v>
      </c>
      <c r="I60">
        <v>0.01</v>
      </c>
      <c r="J60">
        <v>19.5</v>
      </c>
      <c r="K60">
        <v>49</v>
      </c>
      <c r="L60">
        <v>20.4</v>
      </c>
      <c r="M60">
        <v>54</v>
      </c>
    </row>
    <row r="61" spans="1:13" ht="12.75">
      <c r="A61" t="s">
        <v>677</v>
      </c>
      <c r="B61">
        <v>0</v>
      </c>
      <c r="C61">
        <v>11</v>
      </c>
      <c r="D61">
        <v>3</v>
      </c>
      <c r="E61">
        <v>0</v>
      </c>
      <c r="F61">
        <v>33</v>
      </c>
      <c r="G61">
        <v>0.874</v>
      </c>
      <c r="H61">
        <v>0.95</v>
      </c>
      <c r="I61">
        <v>0.01</v>
      </c>
      <c r="J61">
        <v>18.1</v>
      </c>
      <c r="K61">
        <v>49</v>
      </c>
      <c r="L61">
        <v>18.4</v>
      </c>
      <c r="M61">
        <v>51</v>
      </c>
    </row>
    <row r="62" spans="1:13" ht="12.75">
      <c r="A62" t="s">
        <v>678</v>
      </c>
      <c r="B62">
        <v>19.9</v>
      </c>
      <c r="C62">
        <v>13</v>
      </c>
      <c r="D62">
        <v>3</v>
      </c>
      <c r="E62">
        <v>45</v>
      </c>
      <c r="F62">
        <v>33</v>
      </c>
      <c r="G62">
        <v>0.874</v>
      </c>
      <c r="H62">
        <v>0.95</v>
      </c>
      <c r="I62">
        <v>0.01</v>
      </c>
      <c r="J62">
        <v>22.4</v>
      </c>
      <c r="K62">
        <v>45</v>
      </c>
      <c r="L62">
        <v>23.1</v>
      </c>
      <c r="M62">
        <v>49</v>
      </c>
    </row>
    <row r="63" spans="1:13" ht="12.75">
      <c r="A63" t="s">
        <v>680</v>
      </c>
      <c r="B63">
        <v>18.1</v>
      </c>
      <c r="C63">
        <v>11</v>
      </c>
      <c r="D63">
        <v>3.38</v>
      </c>
      <c r="E63">
        <v>49</v>
      </c>
      <c r="F63">
        <v>33</v>
      </c>
      <c r="G63">
        <v>0.874</v>
      </c>
      <c r="H63">
        <v>0.95</v>
      </c>
      <c r="I63">
        <v>0.01</v>
      </c>
      <c r="J63">
        <v>21.4</v>
      </c>
      <c r="K63">
        <v>52</v>
      </c>
      <c r="L63">
        <v>22.5</v>
      </c>
      <c r="M63">
        <v>56</v>
      </c>
    </row>
    <row r="64" spans="1:13" ht="12.75">
      <c r="A64" t="s">
        <v>681</v>
      </c>
      <c r="B64">
        <v>0</v>
      </c>
      <c r="C64">
        <v>7</v>
      </c>
      <c r="D64">
        <v>3</v>
      </c>
      <c r="E64">
        <v>0</v>
      </c>
      <c r="F64">
        <v>29</v>
      </c>
      <c r="G64">
        <v>0.874</v>
      </c>
      <c r="H64">
        <v>0.95</v>
      </c>
      <c r="I64">
        <v>0.02</v>
      </c>
      <c r="J64">
        <v>13.7</v>
      </c>
      <c r="K64">
        <v>60</v>
      </c>
      <c r="L64">
        <v>14.7</v>
      </c>
      <c r="M64">
        <v>66</v>
      </c>
    </row>
    <row r="65" spans="1:13" ht="12.75">
      <c r="A65" t="s">
        <v>682</v>
      </c>
      <c r="B65">
        <v>0</v>
      </c>
      <c r="C65">
        <v>12</v>
      </c>
      <c r="D65">
        <v>3</v>
      </c>
      <c r="E65">
        <v>0</v>
      </c>
      <c r="F65">
        <v>32</v>
      </c>
      <c r="G65">
        <v>0.76</v>
      </c>
      <c r="H65">
        <v>0.95</v>
      </c>
      <c r="I65">
        <v>0</v>
      </c>
      <c r="J65">
        <v>18.9</v>
      </c>
      <c r="K65">
        <v>48</v>
      </c>
      <c r="L65">
        <v>18.7</v>
      </c>
      <c r="M65">
        <v>46</v>
      </c>
    </row>
    <row r="66" spans="1:13" ht="12.75">
      <c r="A66" t="s">
        <v>683</v>
      </c>
      <c r="B66">
        <v>13.18</v>
      </c>
      <c r="C66">
        <v>7</v>
      </c>
      <c r="D66">
        <v>3</v>
      </c>
      <c r="E66">
        <v>26</v>
      </c>
      <c r="F66">
        <v>30</v>
      </c>
      <c r="G66">
        <v>0.874</v>
      </c>
      <c r="H66">
        <v>0.95</v>
      </c>
      <c r="I66">
        <v>0.02</v>
      </c>
      <c r="J66">
        <v>13.1</v>
      </c>
      <c r="K66">
        <v>60</v>
      </c>
      <c r="L66">
        <v>13.7</v>
      </c>
      <c r="M66">
        <v>64</v>
      </c>
    </row>
    <row r="67" spans="1:8" ht="13.5" thickBot="1">
      <c r="A67" t="s">
        <v>684</v>
      </c>
      <c r="B67">
        <v>0</v>
      </c>
      <c r="C67">
        <v>10</v>
      </c>
      <c r="D67">
        <v>0</v>
      </c>
      <c r="E67">
        <v>32</v>
      </c>
      <c r="F67">
        <v>33</v>
      </c>
      <c r="G67">
        <v>0.874</v>
      </c>
      <c r="H67">
        <v>0.95</v>
      </c>
    </row>
    <row r="68" spans="1:17" ht="12.75">
      <c r="A68" t="s">
        <v>685</v>
      </c>
      <c r="B68">
        <v>0</v>
      </c>
      <c r="C68">
        <v>12</v>
      </c>
      <c r="D68">
        <v>3</v>
      </c>
      <c r="E68">
        <v>0</v>
      </c>
      <c r="F68">
        <v>38</v>
      </c>
      <c r="G68">
        <v>0.874</v>
      </c>
      <c r="H68">
        <v>0.95</v>
      </c>
      <c r="I68">
        <v>0.01</v>
      </c>
      <c r="J68">
        <v>20.1</v>
      </c>
      <c r="K68">
        <v>47</v>
      </c>
      <c r="L68">
        <v>20.5</v>
      </c>
      <c r="M68">
        <v>50</v>
      </c>
      <c r="O68" t="s">
        <v>437</v>
      </c>
      <c r="P68" s="57" t="s">
        <v>199</v>
      </c>
      <c r="Q68" s="57" t="s">
        <v>201</v>
      </c>
    </row>
    <row r="69" spans="1:17" ht="12.75">
      <c r="A69" t="s">
        <v>686</v>
      </c>
      <c r="B69">
        <v>0</v>
      </c>
      <c r="C69">
        <v>12</v>
      </c>
      <c r="D69">
        <v>3</v>
      </c>
      <c r="E69">
        <v>48</v>
      </c>
      <c r="F69">
        <v>38</v>
      </c>
      <c r="G69">
        <v>0.76</v>
      </c>
      <c r="H69">
        <v>0.95</v>
      </c>
      <c r="I69">
        <v>0.01</v>
      </c>
      <c r="J69">
        <v>22.4</v>
      </c>
      <c r="K69">
        <v>50</v>
      </c>
      <c r="L69">
        <v>23</v>
      </c>
      <c r="M69">
        <v>52</v>
      </c>
      <c r="O69">
        <v>15</v>
      </c>
      <c r="P69" s="97">
        <v>39370</v>
      </c>
      <c r="Q69" s="55">
        <v>7</v>
      </c>
    </row>
    <row r="70" spans="1:17" ht="12.75">
      <c r="A70" t="s">
        <v>705</v>
      </c>
      <c r="B70">
        <v>0</v>
      </c>
      <c r="C70">
        <v>0</v>
      </c>
      <c r="D70">
        <v>0</v>
      </c>
      <c r="E70">
        <v>0</v>
      </c>
      <c r="F70">
        <v>32</v>
      </c>
      <c r="G70">
        <v>0.76</v>
      </c>
      <c r="H70">
        <v>0.95</v>
      </c>
      <c r="O70">
        <v>20</v>
      </c>
      <c r="P70" s="54" t="s">
        <v>438</v>
      </c>
      <c r="Q70" s="55">
        <v>16</v>
      </c>
    </row>
    <row r="71" spans="1:17" ht="12.75">
      <c r="A71" t="s">
        <v>706</v>
      </c>
      <c r="B71">
        <v>0</v>
      </c>
      <c r="C71">
        <v>11</v>
      </c>
      <c r="D71">
        <v>6.9</v>
      </c>
      <c r="E71">
        <v>40</v>
      </c>
      <c r="F71">
        <v>44</v>
      </c>
      <c r="G71">
        <v>0.874</v>
      </c>
      <c r="H71">
        <v>0.95</v>
      </c>
      <c r="I71">
        <v>-0.02</v>
      </c>
      <c r="J71">
        <v>22.4</v>
      </c>
      <c r="K71">
        <v>64</v>
      </c>
      <c r="L71">
        <v>20.4</v>
      </c>
      <c r="M71">
        <v>54</v>
      </c>
      <c r="O71">
        <v>25</v>
      </c>
      <c r="P71" s="54" t="s">
        <v>441</v>
      </c>
      <c r="Q71" s="55">
        <v>18</v>
      </c>
    </row>
    <row r="72" spans="1:17" ht="12.75">
      <c r="A72" t="s">
        <v>707</v>
      </c>
      <c r="B72">
        <v>0</v>
      </c>
      <c r="C72">
        <v>12</v>
      </c>
      <c r="D72">
        <v>3.3</v>
      </c>
      <c r="E72">
        <v>40</v>
      </c>
      <c r="F72">
        <v>45</v>
      </c>
      <c r="G72">
        <v>0.874</v>
      </c>
      <c r="H72">
        <v>0.95</v>
      </c>
      <c r="I72">
        <v>0</v>
      </c>
      <c r="J72">
        <v>20.8</v>
      </c>
      <c r="K72">
        <v>49</v>
      </c>
      <c r="L72">
        <v>21.1</v>
      </c>
      <c r="M72">
        <v>51</v>
      </c>
      <c r="O72">
        <v>30</v>
      </c>
      <c r="P72" s="54" t="s">
        <v>430</v>
      </c>
      <c r="Q72" s="55">
        <v>13</v>
      </c>
    </row>
    <row r="73" spans="1:17" ht="12.75">
      <c r="A73" t="s">
        <v>708</v>
      </c>
      <c r="B73">
        <v>0</v>
      </c>
      <c r="C73">
        <v>11</v>
      </c>
      <c r="D73">
        <v>2.4</v>
      </c>
      <c r="E73">
        <v>0</v>
      </c>
      <c r="F73">
        <v>38</v>
      </c>
      <c r="G73">
        <v>0.874</v>
      </c>
      <c r="H73">
        <v>0.95</v>
      </c>
      <c r="I73">
        <v>0.02</v>
      </c>
      <c r="J73">
        <v>18.5</v>
      </c>
      <c r="K73">
        <v>45</v>
      </c>
      <c r="L73">
        <v>19.9</v>
      </c>
      <c r="M73">
        <v>53</v>
      </c>
      <c r="O73">
        <v>35</v>
      </c>
      <c r="P73" s="54" t="s">
        <v>431</v>
      </c>
      <c r="Q73" s="55">
        <v>1</v>
      </c>
    </row>
    <row r="74" spans="1:17" ht="12.75">
      <c r="A74" t="s">
        <v>709</v>
      </c>
      <c r="B74">
        <v>0</v>
      </c>
      <c r="C74">
        <v>9</v>
      </c>
      <c r="D74">
        <v>0</v>
      </c>
      <c r="E74">
        <v>28</v>
      </c>
      <c r="F74">
        <v>32</v>
      </c>
      <c r="G74">
        <v>0.874</v>
      </c>
      <c r="H74">
        <v>0.95</v>
      </c>
      <c r="O74">
        <v>40</v>
      </c>
      <c r="P74" s="54" t="s">
        <v>432</v>
      </c>
      <c r="Q74" s="55">
        <v>0</v>
      </c>
    </row>
    <row r="75" spans="1:17" ht="12.75">
      <c r="A75" t="s">
        <v>710</v>
      </c>
      <c r="B75">
        <v>0</v>
      </c>
      <c r="C75">
        <v>9</v>
      </c>
      <c r="D75">
        <v>0</v>
      </c>
      <c r="E75">
        <v>0</v>
      </c>
      <c r="F75">
        <v>20</v>
      </c>
      <c r="G75">
        <v>0.874</v>
      </c>
      <c r="H75">
        <v>0.95</v>
      </c>
      <c r="O75">
        <v>45</v>
      </c>
      <c r="P75" s="54" t="s">
        <v>436</v>
      </c>
      <c r="Q75" s="55">
        <v>0</v>
      </c>
    </row>
    <row r="76" spans="1:17" ht="12.75">
      <c r="A76" t="s">
        <v>716</v>
      </c>
      <c r="B76">
        <v>0</v>
      </c>
      <c r="C76">
        <v>14.4</v>
      </c>
      <c r="D76">
        <v>5.02</v>
      </c>
      <c r="E76">
        <v>41</v>
      </c>
      <c r="F76">
        <v>50</v>
      </c>
      <c r="G76">
        <v>0.91</v>
      </c>
      <c r="H76">
        <v>0.99</v>
      </c>
      <c r="I76">
        <v>0.02</v>
      </c>
      <c r="J76">
        <v>24</v>
      </c>
      <c r="K76">
        <v>52</v>
      </c>
      <c r="L76">
        <v>25.7</v>
      </c>
      <c r="M76">
        <v>62</v>
      </c>
      <c r="O76">
        <v>50</v>
      </c>
      <c r="P76" s="54" t="s">
        <v>433</v>
      </c>
      <c r="Q76" s="55">
        <v>0</v>
      </c>
    </row>
    <row r="77" spans="1:17" ht="12.75">
      <c r="A77" t="s">
        <v>718</v>
      </c>
      <c r="B77">
        <v>0</v>
      </c>
      <c r="C77">
        <v>13</v>
      </c>
      <c r="D77">
        <v>0</v>
      </c>
      <c r="E77">
        <v>0</v>
      </c>
      <c r="F77">
        <v>34</v>
      </c>
      <c r="G77">
        <v>0.91</v>
      </c>
      <c r="H77">
        <v>0.99</v>
      </c>
      <c r="O77">
        <v>55</v>
      </c>
      <c r="P77" s="54" t="s">
        <v>434</v>
      </c>
      <c r="Q77" s="55">
        <v>1</v>
      </c>
    </row>
    <row r="78" spans="1:17" ht="12.75">
      <c r="A78" t="s">
        <v>719</v>
      </c>
      <c r="B78">
        <v>0</v>
      </c>
      <c r="C78">
        <v>12</v>
      </c>
      <c r="D78">
        <v>0</v>
      </c>
      <c r="E78">
        <v>0</v>
      </c>
      <c r="F78">
        <v>43</v>
      </c>
      <c r="G78">
        <v>0.91</v>
      </c>
      <c r="H78">
        <v>0.99</v>
      </c>
      <c r="O78">
        <v>60</v>
      </c>
      <c r="P78" s="54">
        <v>60</v>
      </c>
      <c r="Q78" s="55">
        <v>0</v>
      </c>
    </row>
    <row r="79" spans="1:17" ht="12.75">
      <c r="A79" t="s">
        <v>720</v>
      </c>
      <c r="B79">
        <v>0</v>
      </c>
      <c r="C79">
        <v>8</v>
      </c>
      <c r="D79">
        <v>2</v>
      </c>
      <c r="E79">
        <v>33</v>
      </c>
      <c r="F79">
        <v>26</v>
      </c>
      <c r="G79">
        <v>0.8075</v>
      </c>
      <c r="H79">
        <v>0.95</v>
      </c>
      <c r="I79">
        <v>0.04</v>
      </c>
      <c r="J79">
        <v>14.4</v>
      </c>
      <c r="K79">
        <v>50</v>
      </c>
      <c r="L79">
        <v>16.5</v>
      </c>
      <c r="M79">
        <v>63</v>
      </c>
      <c r="O79">
        <v>65</v>
      </c>
      <c r="P79" s="54">
        <v>65</v>
      </c>
      <c r="Q79" s="55">
        <v>0</v>
      </c>
    </row>
    <row r="80" spans="1:17" ht="12.75">
      <c r="A80" t="s">
        <v>721</v>
      </c>
      <c r="B80">
        <v>0</v>
      </c>
      <c r="C80">
        <v>6</v>
      </c>
      <c r="D80">
        <v>1.5</v>
      </c>
      <c r="E80">
        <v>0</v>
      </c>
      <c r="F80">
        <v>30</v>
      </c>
      <c r="G80">
        <v>0.8075</v>
      </c>
      <c r="H80">
        <v>0.95</v>
      </c>
      <c r="I80">
        <v>0.07</v>
      </c>
      <c r="J80">
        <v>11</v>
      </c>
      <c r="K80">
        <v>52</v>
      </c>
      <c r="L80">
        <v>14.4</v>
      </c>
      <c r="M80">
        <v>71</v>
      </c>
      <c r="O80">
        <v>70</v>
      </c>
      <c r="P80" s="54">
        <v>70</v>
      </c>
      <c r="Q80" s="55">
        <v>0</v>
      </c>
    </row>
    <row r="81" spans="1:17" ht="13.5" thickBot="1">
      <c r="A81" t="s">
        <v>722</v>
      </c>
      <c r="B81">
        <v>0</v>
      </c>
      <c r="C81">
        <v>5</v>
      </c>
      <c r="D81">
        <v>1</v>
      </c>
      <c r="E81">
        <v>24</v>
      </c>
      <c r="F81">
        <v>27</v>
      </c>
      <c r="G81">
        <v>0.8075</v>
      </c>
      <c r="H81">
        <v>0.95</v>
      </c>
      <c r="I81">
        <v>0.11</v>
      </c>
      <c r="J81">
        <v>8.3</v>
      </c>
      <c r="K81">
        <v>50</v>
      </c>
      <c r="L81">
        <v>11.9</v>
      </c>
      <c r="M81">
        <v>73</v>
      </c>
      <c r="P81" s="56" t="s">
        <v>200</v>
      </c>
      <c r="Q81" s="56">
        <v>0</v>
      </c>
    </row>
    <row r="82" spans="1:13" ht="12.75">
      <c r="A82" t="s">
        <v>724</v>
      </c>
      <c r="B82">
        <v>10</v>
      </c>
      <c r="C82">
        <v>6</v>
      </c>
      <c r="D82">
        <v>2</v>
      </c>
      <c r="E82">
        <v>21</v>
      </c>
      <c r="F82">
        <v>25</v>
      </c>
      <c r="G82">
        <v>0.8075</v>
      </c>
      <c r="H82">
        <v>0.95</v>
      </c>
      <c r="I82">
        <v>0.04</v>
      </c>
      <c r="J82">
        <v>10.4</v>
      </c>
      <c r="K82">
        <v>57</v>
      </c>
      <c r="L82">
        <v>11.4</v>
      </c>
      <c r="M82">
        <v>66</v>
      </c>
    </row>
    <row r="83" spans="1:13" ht="12.75">
      <c r="A83" t="s">
        <v>725</v>
      </c>
      <c r="B83">
        <v>0</v>
      </c>
      <c r="C83">
        <v>6</v>
      </c>
      <c r="D83">
        <v>1.5</v>
      </c>
      <c r="E83">
        <v>0</v>
      </c>
      <c r="F83">
        <v>30</v>
      </c>
      <c r="G83">
        <v>0.8075</v>
      </c>
      <c r="H83">
        <v>0.95</v>
      </c>
      <c r="I83">
        <v>0.07</v>
      </c>
      <c r="J83">
        <v>11</v>
      </c>
      <c r="K83">
        <v>52</v>
      </c>
      <c r="L83">
        <v>14.4</v>
      </c>
      <c r="M83">
        <v>71</v>
      </c>
    </row>
    <row r="84" spans="1:13" ht="12.75">
      <c r="A84" t="s">
        <v>726</v>
      </c>
      <c r="B84">
        <v>0</v>
      </c>
      <c r="C84">
        <v>5</v>
      </c>
      <c r="D84">
        <v>1</v>
      </c>
      <c r="E84">
        <v>35</v>
      </c>
      <c r="F84">
        <v>29</v>
      </c>
      <c r="G84">
        <v>0.8075</v>
      </c>
      <c r="H84">
        <v>0.95</v>
      </c>
      <c r="I84">
        <v>0.12</v>
      </c>
      <c r="J84">
        <v>8.7</v>
      </c>
      <c r="K84">
        <v>50</v>
      </c>
      <c r="L84">
        <v>15.1</v>
      </c>
      <c r="M84">
        <v>77</v>
      </c>
    </row>
    <row r="85" spans="1:8" ht="12.75">
      <c r="A85" t="s">
        <v>727</v>
      </c>
      <c r="B85">
        <v>0</v>
      </c>
      <c r="C85">
        <v>9</v>
      </c>
      <c r="D85">
        <v>0</v>
      </c>
      <c r="E85">
        <v>28</v>
      </c>
      <c r="F85">
        <v>33</v>
      </c>
      <c r="G85">
        <v>0.8075</v>
      </c>
      <c r="H85">
        <v>0.95</v>
      </c>
    </row>
    <row r="86" spans="1:8" ht="12.75">
      <c r="A86" t="s">
        <v>728</v>
      </c>
      <c r="B86">
        <v>0</v>
      </c>
      <c r="C86">
        <v>6</v>
      </c>
      <c r="D86">
        <v>0</v>
      </c>
      <c r="E86">
        <v>0</v>
      </c>
      <c r="F86">
        <v>33</v>
      </c>
      <c r="G86">
        <v>0.8075</v>
      </c>
      <c r="H86">
        <v>0.95</v>
      </c>
    </row>
    <row r="87" spans="1:13" ht="12.75">
      <c r="A87" t="s">
        <v>729</v>
      </c>
      <c r="B87">
        <v>0</v>
      </c>
      <c r="C87">
        <v>6</v>
      </c>
      <c r="D87">
        <v>1.5</v>
      </c>
      <c r="E87">
        <v>18</v>
      </c>
      <c r="F87">
        <v>31</v>
      </c>
      <c r="G87">
        <v>0.8075</v>
      </c>
      <c r="H87">
        <v>0.95</v>
      </c>
      <c r="I87">
        <v>0.05</v>
      </c>
      <c r="J87">
        <v>9.2</v>
      </c>
      <c r="K87">
        <v>51</v>
      </c>
      <c r="L87">
        <v>10.2</v>
      </c>
      <c r="M87">
        <v>63</v>
      </c>
    </row>
    <row r="88" spans="1:13" ht="12.75">
      <c r="A88" t="s">
        <v>730</v>
      </c>
      <c r="B88">
        <v>0</v>
      </c>
      <c r="C88">
        <v>4</v>
      </c>
      <c r="D88">
        <v>2</v>
      </c>
      <c r="E88">
        <v>24</v>
      </c>
      <c r="F88">
        <v>26</v>
      </c>
      <c r="G88">
        <v>0.8075</v>
      </c>
      <c r="H88">
        <v>0.95</v>
      </c>
      <c r="I88">
        <v>0.06</v>
      </c>
      <c r="J88">
        <v>8.9</v>
      </c>
      <c r="K88">
        <v>68</v>
      </c>
      <c r="L88">
        <v>11.3</v>
      </c>
      <c r="M88">
        <v>79</v>
      </c>
    </row>
    <row r="89" spans="6:13" ht="12.75">
      <c r="F89">
        <v>87</v>
      </c>
      <c r="J89">
        <v>58</v>
      </c>
      <c r="M89">
        <v>84</v>
      </c>
    </row>
    <row r="90" spans="7:13" ht="12.75">
      <c r="G90" t="s">
        <v>869</v>
      </c>
      <c r="H90">
        <v>29</v>
      </c>
      <c r="M90">
        <v>36</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Q91"/>
  <sheetViews>
    <sheetView workbookViewId="0" topLeftCell="I10">
      <selection activeCell="M28" sqref="M28"/>
    </sheetView>
  </sheetViews>
  <sheetFormatPr defaultColWidth="9.140625" defaultRowHeight="12.75"/>
  <cols>
    <col min="1" max="1" width="24.421875" style="0" customWidth="1"/>
  </cols>
  <sheetData>
    <row r="1" spans="1:17" ht="13.5" thickBot="1">
      <c r="A1" t="str">
        <f>'[1]singleSpecies'!A1</f>
        <v>Species</v>
      </c>
      <c r="B1" t="str">
        <f>'[1]singleSpecies'!N1</f>
        <v>AFR</v>
      </c>
      <c r="C1" t="str">
        <f>'[1]singleSpecies'!S1</f>
        <v>IBI</v>
      </c>
      <c r="D1" t="str">
        <f>'[1]singleSpecies'!Z1</f>
        <v>oldest age reprod female</v>
      </c>
      <c r="E1" t="str">
        <f>'[1]singleSpecies'!AD1</f>
        <v>oldest age (est)</v>
      </c>
      <c r="F1" t="str">
        <f>'[1]singleSpecies'!E1</f>
        <v>calf survival (S0)</v>
      </c>
      <c r="G1" t="str">
        <f>'[1]singleSpecies'!H1</f>
        <v>Non-calf survival (SA) ref</v>
      </c>
      <c r="H1" t="s">
        <v>763</v>
      </c>
      <c r="I1" t="s">
        <v>711</v>
      </c>
      <c r="J1" t="s">
        <v>713</v>
      </c>
      <c r="K1" t="s">
        <v>712</v>
      </c>
      <c r="L1" t="s">
        <v>714</v>
      </c>
      <c r="M1" t="s">
        <v>715</v>
      </c>
      <c r="P1" s="57"/>
      <c r="Q1" s="57"/>
    </row>
    <row r="2" spans="1:17" ht="12.75">
      <c r="A2" t="s">
        <v>590</v>
      </c>
      <c r="B2">
        <v>8</v>
      </c>
      <c r="C2">
        <v>1</v>
      </c>
      <c r="D2">
        <v>0</v>
      </c>
      <c r="E2">
        <v>51</v>
      </c>
      <c r="F2">
        <v>0.8064</v>
      </c>
      <c r="G2">
        <v>0.96</v>
      </c>
      <c r="H2">
        <v>0</v>
      </c>
      <c r="I2">
        <v>0.09</v>
      </c>
      <c r="J2">
        <v>13</v>
      </c>
      <c r="K2">
        <v>38</v>
      </c>
      <c r="L2">
        <v>22.1</v>
      </c>
      <c r="M2">
        <v>71</v>
      </c>
      <c r="O2" t="s">
        <v>428</v>
      </c>
      <c r="P2" s="57" t="s">
        <v>199</v>
      </c>
      <c r="Q2" s="57" t="s">
        <v>201</v>
      </c>
    </row>
    <row r="3" spans="1:17" ht="12.75">
      <c r="A3" t="s">
        <v>591</v>
      </c>
      <c r="B3">
        <v>8</v>
      </c>
      <c r="C3">
        <v>1.2</v>
      </c>
      <c r="D3">
        <v>0</v>
      </c>
      <c r="E3">
        <v>51</v>
      </c>
      <c r="F3">
        <v>0.8064</v>
      </c>
      <c r="G3">
        <v>0.96</v>
      </c>
      <c r="H3">
        <v>0</v>
      </c>
      <c r="I3">
        <v>0.08</v>
      </c>
      <c r="J3">
        <v>13.7</v>
      </c>
      <c r="K3">
        <v>41</v>
      </c>
      <c r="L3">
        <v>22.1</v>
      </c>
      <c r="M3">
        <v>71</v>
      </c>
      <c r="O3">
        <v>-0.01</v>
      </c>
      <c r="P3" s="54">
        <v>-0.01</v>
      </c>
      <c r="Q3" s="55">
        <v>3</v>
      </c>
    </row>
    <row r="4" spans="1:17" ht="12.75">
      <c r="A4" t="s">
        <v>601</v>
      </c>
      <c r="B4">
        <v>9</v>
      </c>
      <c r="C4">
        <v>2.5</v>
      </c>
      <c r="D4">
        <v>53</v>
      </c>
      <c r="E4">
        <v>54</v>
      </c>
      <c r="F4">
        <v>0.8064</v>
      </c>
      <c r="G4">
        <v>0.96</v>
      </c>
      <c r="H4">
        <v>0</v>
      </c>
      <c r="I4">
        <v>0.04</v>
      </c>
      <c r="J4">
        <v>18.4</v>
      </c>
      <c r="K4">
        <v>52</v>
      </c>
      <c r="L4">
        <v>23.3</v>
      </c>
      <c r="M4">
        <v>68</v>
      </c>
      <c r="O4">
        <v>0</v>
      </c>
      <c r="P4" s="54">
        <v>0</v>
      </c>
      <c r="Q4" s="55">
        <v>6</v>
      </c>
    </row>
    <row r="5" spans="1:17" ht="12.75">
      <c r="A5" t="s">
        <v>602</v>
      </c>
      <c r="B5">
        <v>9</v>
      </c>
      <c r="C5">
        <v>2.5</v>
      </c>
      <c r="D5">
        <v>0</v>
      </c>
      <c r="E5">
        <v>53</v>
      </c>
      <c r="F5">
        <v>0.84</v>
      </c>
      <c r="G5">
        <v>0.925</v>
      </c>
      <c r="H5">
        <v>0</v>
      </c>
      <c r="I5">
        <v>0</v>
      </c>
      <c r="J5">
        <v>18</v>
      </c>
      <c r="K5">
        <v>51</v>
      </c>
      <c r="L5">
        <v>18.4</v>
      </c>
      <c r="M5">
        <v>52</v>
      </c>
      <c r="O5">
        <v>0.01</v>
      </c>
      <c r="P5" s="54">
        <v>0.01</v>
      </c>
      <c r="Q5" s="55">
        <v>6</v>
      </c>
    </row>
    <row r="6" spans="1:17" ht="12.75">
      <c r="A6" t="s">
        <v>603</v>
      </c>
      <c r="B6">
        <v>9</v>
      </c>
      <c r="C6">
        <v>2.5</v>
      </c>
      <c r="D6">
        <v>0</v>
      </c>
      <c r="E6">
        <v>54</v>
      </c>
      <c r="F6">
        <v>0.8064</v>
      </c>
      <c r="G6">
        <v>0.96</v>
      </c>
      <c r="H6">
        <v>0</v>
      </c>
      <c r="I6">
        <v>0.04</v>
      </c>
      <c r="J6">
        <v>18.5</v>
      </c>
      <c r="K6">
        <v>52</v>
      </c>
      <c r="L6">
        <v>23.5</v>
      </c>
      <c r="M6">
        <v>68</v>
      </c>
      <c r="O6">
        <v>0.02</v>
      </c>
      <c r="P6" s="54">
        <v>0.02</v>
      </c>
      <c r="Q6" s="55">
        <v>11</v>
      </c>
    </row>
    <row r="7" spans="1:17" ht="12.75">
      <c r="A7" t="s">
        <v>604</v>
      </c>
      <c r="B7">
        <v>10</v>
      </c>
      <c r="C7">
        <v>2.24</v>
      </c>
      <c r="D7">
        <v>0</v>
      </c>
      <c r="E7">
        <v>62</v>
      </c>
      <c r="F7">
        <v>0.8064</v>
      </c>
      <c r="G7">
        <v>0.96</v>
      </c>
      <c r="H7">
        <v>0</v>
      </c>
      <c r="I7">
        <v>0.04</v>
      </c>
      <c r="J7">
        <v>19.6</v>
      </c>
      <c r="K7">
        <v>48</v>
      </c>
      <c r="L7">
        <v>25.9</v>
      </c>
      <c r="M7">
        <v>66</v>
      </c>
      <c r="O7">
        <v>0.03</v>
      </c>
      <c r="P7" s="54">
        <v>0.03</v>
      </c>
      <c r="Q7" s="55">
        <v>8</v>
      </c>
    </row>
    <row r="8" spans="1:17" ht="12.75">
      <c r="A8" t="s">
        <v>607</v>
      </c>
      <c r="B8">
        <v>11</v>
      </c>
      <c r="C8">
        <v>2.5</v>
      </c>
      <c r="D8">
        <v>0</v>
      </c>
      <c r="E8">
        <v>65</v>
      </c>
      <c r="F8">
        <v>0.819</v>
      </c>
      <c r="G8">
        <v>0.975</v>
      </c>
      <c r="H8">
        <v>0</v>
      </c>
      <c r="I8">
        <v>0.05</v>
      </c>
      <c r="J8">
        <v>21.7</v>
      </c>
      <c r="K8">
        <v>48</v>
      </c>
      <c r="L8">
        <v>30.8</v>
      </c>
      <c r="M8">
        <v>72</v>
      </c>
      <c r="O8">
        <v>0.04</v>
      </c>
      <c r="P8" s="54">
        <v>0.04</v>
      </c>
      <c r="Q8" s="55">
        <v>11</v>
      </c>
    </row>
    <row r="9" spans="1:17" ht="12.75">
      <c r="A9" t="s">
        <v>609</v>
      </c>
      <c r="B9">
        <v>6</v>
      </c>
      <c r="C9">
        <v>2.36</v>
      </c>
      <c r="D9">
        <v>0</v>
      </c>
      <c r="E9">
        <v>55</v>
      </c>
      <c r="F9">
        <v>0.76</v>
      </c>
      <c r="G9">
        <v>0.96</v>
      </c>
      <c r="H9">
        <v>0</v>
      </c>
      <c r="I9">
        <v>0.05</v>
      </c>
      <c r="J9">
        <v>14.5</v>
      </c>
      <c r="K9">
        <v>62</v>
      </c>
      <c r="L9">
        <v>21.5</v>
      </c>
      <c r="M9">
        <v>79</v>
      </c>
      <c r="O9">
        <v>0.05</v>
      </c>
      <c r="P9" s="54">
        <v>0.05</v>
      </c>
      <c r="Q9" s="55">
        <v>5</v>
      </c>
    </row>
    <row r="10" spans="1:17" ht="12.75">
      <c r="A10" t="s">
        <v>624</v>
      </c>
      <c r="B10">
        <v>0</v>
      </c>
      <c r="C10">
        <v>0</v>
      </c>
      <c r="D10">
        <v>0</v>
      </c>
      <c r="E10">
        <v>45</v>
      </c>
      <c r="F10">
        <v>0.76</v>
      </c>
      <c r="G10">
        <v>0.96</v>
      </c>
      <c r="O10">
        <v>0.06</v>
      </c>
      <c r="P10" s="54">
        <v>0.06</v>
      </c>
      <c r="Q10" s="55">
        <v>1</v>
      </c>
    </row>
    <row r="11" spans="1:17" ht="12.75">
      <c r="A11" t="s">
        <v>625</v>
      </c>
      <c r="B11">
        <v>10</v>
      </c>
      <c r="C11">
        <v>2</v>
      </c>
      <c r="D11">
        <v>0</v>
      </c>
      <c r="E11">
        <v>55</v>
      </c>
      <c r="F11">
        <v>0.7</v>
      </c>
      <c r="G11">
        <v>0.95</v>
      </c>
      <c r="H11">
        <v>0</v>
      </c>
      <c r="I11">
        <v>0.03</v>
      </c>
      <c r="J11">
        <v>19.3</v>
      </c>
      <c r="K11">
        <v>47</v>
      </c>
      <c r="L11">
        <v>22.9</v>
      </c>
      <c r="M11">
        <v>60</v>
      </c>
      <c r="O11">
        <v>0.07</v>
      </c>
      <c r="P11" s="54">
        <v>0.07</v>
      </c>
      <c r="Q11" s="55">
        <v>2</v>
      </c>
    </row>
    <row r="12" spans="1:17" ht="12.75">
      <c r="A12" t="s">
        <v>627</v>
      </c>
      <c r="B12">
        <v>20</v>
      </c>
      <c r="C12">
        <v>3.1</v>
      </c>
      <c r="D12">
        <v>118</v>
      </c>
      <c r="E12">
        <v>58</v>
      </c>
      <c r="F12">
        <v>0.8232</v>
      </c>
      <c r="G12">
        <v>0.98</v>
      </c>
      <c r="H12">
        <v>0</v>
      </c>
      <c r="I12">
        <v>0.03</v>
      </c>
      <c r="J12">
        <v>37.2</v>
      </c>
      <c r="K12">
        <v>39</v>
      </c>
      <c r="L12">
        <v>52.3</v>
      </c>
      <c r="M12">
        <v>65</v>
      </c>
      <c r="O12">
        <v>0.08</v>
      </c>
      <c r="P12" s="54">
        <v>0.08</v>
      </c>
      <c r="Q12" s="55">
        <v>2</v>
      </c>
    </row>
    <row r="13" spans="1:17" ht="12.75">
      <c r="A13" t="s">
        <v>628</v>
      </c>
      <c r="B13">
        <v>8</v>
      </c>
      <c r="C13">
        <v>3.12</v>
      </c>
      <c r="D13">
        <v>0</v>
      </c>
      <c r="E13">
        <v>57</v>
      </c>
      <c r="F13">
        <v>0.91</v>
      </c>
      <c r="G13">
        <v>0.986</v>
      </c>
      <c r="H13">
        <v>0</v>
      </c>
      <c r="I13">
        <v>0.06</v>
      </c>
      <c r="J13">
        <v>18.1</v>
      </c>
      <c r="K13">
        <v>58</v>
      </c>
      <c r="L13">
        <v>28.8</v>
      </c>
      <c r="M13">
        <v>83</v>
      </c>
      <c r="O13">
        <v>0.09</v>
      </c>
      <c r="P13" s="54">
        <v>0.09</v>
      </c>
      <c r="Q13" s="55">
        <v>1</v>
      </c>
    </row>
    <row r="14" spans="1:17" ht="12.75">
      <c r="A14" t="s">
        <v>629</v>
      </c>
      <c r="B14">
        <v>10</v>
      </c>
      <c r="C14">
        <v>4</v>
      </c>
      <c r="D14">
        <v>69</v>
      </c>
      <c r="E14">
        <v>57</v>
      </c>
      <c r="F14">
        <v>0.88</v>
      </c>
      <c r="G14">
        <v>0.99</v>
      </c>
      <c r="H14">
        <v>0</v>
      </c>
      <c r="I14">
        <v>0.05</v>
      </c>
      <c r="J14">
        <v>23.3</v>
      </c>
      <c r="K14">
        <v>58</v>
      </c>
      <c r="L14">
        <v>35.7</v>
      </c>
      <c r="M14">
        <v>83</v>
      </c>
      <c r="O14">
        <v>0.1</v>
      </c>
      <c r="P14" s="54">
        <v>0.1</v>
      </c>
      <c r="Q14" s="55">
        <v>0</v>
      </c>
    </row>
    <row r="15" spans="1:17" ht="12.75">
      <c r="A15" t="s">
        <v>630</v>
      </c>
      <c r="B15">
        <v>9</v>
      </c>
      <c r="C15">
        <v>4</v>
      </c>
      <c r="D15">
        <v>0</v>
      </c>
      <c r="E15">
        <v>57</v>
      </c>
      <c r="F15">
        <v>0.895</v>
      </c>
      <c r="G15">
        <v>0.988</v>
      </c>
      <c r="H15">
        <v>0</v>
      </c>
      <c r="I15">
        <v>0.05</v>
      </c>
      <c r="J15">
        <v>21</v>
      </c>
      <c r="K15">
        <v>60</v>
      </c>
      <c r="L15">
        <v>29.8</v>
      </c>
      <c r="M15">
        <v>82</v>
      </c>
      <c r="O15">
        <v>0.11</v>
      </c>
      <c r="P15" s="54">
        <v>0.11</v>
      </c>
      <c r="Q15" s="55">
        <v>1</v>
      </c>
    </row>
    <row r="16" spans="1:17" ht="12.75">
      <c r="A16" t="s">
        <v>631</v>
      </c>
      <c r="B16">
        <v>14</v>
      </c>
      <c r="C16">
        <v>2</v>
      </c>
      <c r="D16">
        <v>0</v>
      </c>
      <c r="E16">
        <v>49</v>
      </c>
      <c r="F16">
        <v>0.798</v>
      </c>
      <c r="G16">
        <v>0.95</v>
      </c>
      <c r="H16">
        <v>0</v>
      </c>
      <c r="I16">
        <v>0.02</v>
      </c>
      <c r="J16">
        <v>22.8</v>
      </c>
      <c r="K16">
        <v>38</v>
      </c>
      <c r="L16">
        <v>24.7</v>
      </c>
      <c r="M16">
        <v>47</v>
      </c>
      <c r="O16">
        <v>0.12</v>
      </c>
      <c r="P16" s="54">
        <v>0.12</v>
      </c>
      <c r="Q16" s="55">
        <v>1</v>
      </c>
    </row>
    <row r="17" spans="1:17" ht="13.5" thickBot="1">
      <c r="A17" t="s">
        <v>632</v>
      </c>
      <c r="B17">
        <v>14</v>
      </c>
      <c r="C17">
        <v>2</v>
      </c>
      <c r="D17">
        <v>54</v>
      </c>
      <c r="E17">
        <v>53</v>
      </c>
      <c r="F17">
        <v>0.8064</v>
      </c>
      <c r="G17">
        <v>0.96</v>
      </c>
      <c r="H17">
        <v>0</v>
      </c>
      <c r="I17">
        <v>0.03</v>
      </c>
      <c r="J17">
        <v>23.4</v>
      </c>
      <c r="K17">
        <v>38</v>
      </c>
      <c r="L17">
        <v>27.1</v>
      </c>
      <c r="M17">
        <v>53</v>
      </c>
      <c r="P17" s="56" t="s">
        <v>200</v>
      </c>
      <c r="Q17" s="56">
        <v>0</v>
      </c>
    </row>
    <row r="18" spans="1:13" ht="13.5" thickBot="1">
      <c r="A18" t="s">
        <v>633</v>
      </c>
      <c r="B18">
        <v>14</v>
      </c>
      <c r="C18">
        <v>2</v>
      </c>
      <c r="D18">
        <v>27</v>
      </c>
      <c r="E18">
        <v>48</v>
      </c>
      <c r="F18">
        <v>0.798</v>
      </c>
      <c r="G18">
        <v>0.95</v>
      </c>
      <c r="H18">
        <v>0</v>
      </c>
      <c r="I18">
        <v>0</v>
      </c>
      <c r="J18">
        <v>17.8</v>
      </c>
      <c r="K18">
        <v>36</v>
      </c>
      <c r="L18">
        <v>17.8</v>
      </c>
      <c r="M18">
        <v>36</v>
      </c>
    </row>
    <row r="19" spans="1:17" ht="12.75">
      <c r="A19" t="s">
        <v>634</v>
      </c>
      <c r="B19">
        <v>14</v>
      </c>
      <c r="C19">
        <v>2</v>
      </c>
      <c r="D19">
        <v>0</v>
      </c>
      <c r="E19">
        <v>46</v>
      </c>
      <c r="F19">
        <v>0.798</v>
      </c>
      <c r="G19">
        <v>0.95</v>
      </c>
      <c r="H19">
        <v>0</v>
      </c>
      <c r="I19">
        <v>0.02</v>
      </c>
      <c r="J19">
        <v>22.4</v>
      </c>
      <c r="K19">
        <v>38</v>
      </c>
      <c r="L19">
        <v>24</v>
      </c>
      <c r="M19">
        <v>46</v>
      </c>
      <c r="O19" t="s">
        <v>437</v>
      </c>
      <c r="P19" s="57" t="s">
        <v>199</v>
      </c>
      <c r="Q19" s="57" t="s">
        <v>201</v>
      </c>
    </row>
    <row r="20" spans="1:17" ht="12.75">
      <c r="A20" t="s">
        <v>635</v>
      </c>
      <c r="B20">
        <v>0</v>
      </c>
      <c r="C20">
        <v>0</v>
      </c>
      <c r="D20">
        <v>0</v>
      </c>
      <c r="E20">
        <v>21</v>
      </c>
      <c r="F20">
        <v>0.798</v>
      </c>
      <c r="G20">
        <v>0.95</v>
      </c>
      <c r="N20" s="143" t="s">
        <v>97</v>
      </c>
      <c r="O20">
        <v>15</v>
      </c>
      <c r="P20" s="54">
        <v>15</v>
      </c>
      <c r="Q20" s="55">
        <v>16</v>
      </c>
    </row>
    <row r="21" spans="1:17" ht="12.75">
      <c r="A21" t="s">
        <v>636</v>
      </c>
      <c r="B21">
        <v>0</v>
      </c>
      <c r="C21">
        <v>0</v>
      </c>
      <c r="D21">
        <v>0</v>
      </c>
      <c r="E21">
        <v>41</v>
      </c>
      <c r="F21">
        <v>0.798</v>
      </c>
      <c r="G21">
        <v>0.95</v>
      </c>
      <c r="N21" s="54" t="s">
        <v>438</v>
      </c>
      <c r="O21">
        <v>20</v>
      </c>
      <c r="P21" s="54">
        <v>20</v>
      </c>
      <c r="Q21" s="55">
        <v>15</v>
      </c>
    </row>
    <row r="22" spans="1:17" ht="12.75">
      <c r="A22" t="s">
        <v>637</v>
      </c>
      <c r="B22">
        <v>0</v>
      </c>
      <c r="C22">
        <v>0</v>
      </c>
      <c r="D22">
        <v>0</v>
      </c>
      <c r="E22">
        <v>21</v>
      </c>
      <c r="F22">
        <v>0.798</v>
      </c>
      <c r="G22">
        <v>0.95</v>
      </c>
      <c r="N22" s="54" t="s">
        <v>441</v>
      </c>
      <c r="O22">
        <v>25</v>
      </c>
      <c r="P22" s="54">
        <v>25</v>
      </c>
      <c r="Q22" s="55">
        <v>18</v>
      </c>
    </row>
    <row r="23" spans="1:17" ht="12.75">
      <c r="A23" t="s">
        <v>638</v>
      </c>
      <c r="B23">
        <v>0</v>
      </c>
      <c r="C23">
        <v>0</v>
      </c>
      <c r="D23">
        <v>0</v>
      </c>
      <c r="E23">
        <v>41</v>
      </c>
      <c r="F23">
        <v>0.798</v>
      </c>
      <c r="G23">
        <v>0.95</v>
      </c>
      <c r="N23" s="54" t="s">
        <v>430</v>
      </c>
      <c r="O23">
        <v>30</v>
      </c>
      <c r="P23" s="54">
        <v>30</v>
      </c>
      <c r="Q23" s="55">
        <v>5</v>
      </c>
    </row>
    <row r="24" spans="1:17" ht="12.75">
      <c r="A24" t="s">
        <v>639</v>
      </c>
      <c r="B24">
        <v>0</v>
      </c>
      <c r="C24">
        <v>0</v>
      </c>
      <c r="D24">
        <v>0</v>
      </c>
      <c r="E24">
        <v>42</v>
      </c>
      <c r="F24">
        <v>0.798</v>
      </c>
      <c r="G24">
        <v>0.95</v>
      </c>
      <c r="N24" s="54" t="s">
        <v>431</v>
      </c>
      <c r="O24">
        <v>35</v>
      </c>
      <c r="P24" s="54">
        <v>35</v>
      </c>
      <c r="Q24" s="55">
        <v>2</v>
      </c>
    </row>
    <row r="25" spans="1:17" ht="12.75">
      <c r="A25" t="s">
        <v>640</v>
      </c>
      <c r="B25">
        <v>0</v>
      </c>
      <c r="C25">
        <v>0</v>
      </c>
      <c r="D25">
        <v>0</v>
      </c>
      <c r="E25">
        <v>40</v>
      </c>
      <c r="F25">
        <v>0.798</v>
      </c>
      <c r="G25">
        <v>0.95</v>
      </c>
      <c r="N25" s="54" t="s">
        <v>432</v>
      </c>
      <c r="O25">
        <v>40</v>
      </c>
      <c r="P25" s="54">
        <v>40</v>
      </c>
      <c r="Q25" s="55">
        <v>1</v>
      </c>
    </row>
    <row r="26" spans="1:17" ht="12.75">
      <c r="A26" t="s">
        <v>641</v>
      </c>
      <c r="B26">
        <v>0</v>
      </c>
      <c r="C26">
        <v>0</v>
      </c>
      <c r="D26">
        <v>0</v>
      </c>
      <c r="E26">
        <v>42</v>
      </c>
      <c r="F26">
        <v>0.798</v>
      </c>
      <c r="G26">
        <v>0.95</v>
      </c>
      <c r="N26" s="54" t="s">
        <v>436</v>
      </c>
      <c r="O26">
        <v>45</v>
      </c>
      <c r="P26" s="54">
        <v>45</v>
      </c>
      <c r="Q26" s="55">
        <v>0</v>
      </c>
    </row>
    <row r="27" spans="1:17" ht="12.75">
      <c r="A27" t="s">
        <v>642</v>
      </c>
      <c r="B27">
        <v>0</v>
      </c>
      <c r="C27">
        <v>0</v>
      </c>
      <c r="D27">
        <v>0</v>
      </c>
      <c r="E27">
        <v>41</v>
      </c>
      <c r="F27">
        <v>0.798</v>
      </c>
      <c r="G27">
        <v>0.95</v>
      </c>
      <c r="N27" s="54" t="s">
        <v>433</v>
      </c>
      <c r="O27">
        <v>50</v>
      </c>
      <c r="P27" s="54">
        <v>50</v>
      </c>
      <c r="Q27" s="55">
        <v>0</v>
      </c>
    </row>
    <row r="28" spans="1:17" ht="12.75">
      <c r="A28" t="s">
        <v>643</v>
      </c>
      <c r="B28">
        <v>0</v>
      </c>
      <c r="C28">
        <v>0</v>
      </c>
      <c r="D28">
        <v>0</v>
      </c>
      <c r="E28">
        <v>42</v>
      </c>
      <c r="F28">
        <v>0.798</v>
      </c>
      <c r="G28">
        <v>0.95</v>
      </c>
      <c r="N28" s="54" t="s">
        <v>434</v>
      </c>
      <c r="O28">
        <v>55</v>
      </c>
      <c r="P28" s="54">
        <v>55</v>
      </c>
      <c r="Q28" s="55">
        <v>1</v>
      </c>
    </row>
    <row r="29" spans="1:17" ht="13.5" thickBot="1">
      <c r="A29" t="s">
        <v>644</v>
      </c>
      <c r="B29">
        <v>0</v>
      </c>
      <c r="C29">
        <v>0</v>
      </c>
      <c r="D29">
        <v>0</v>
      </c>
      <c r="E29">
        <v>39</v>
      </c>
      <c r="F29">
        <v>0.798</v>
      </c>
      <c r="G29">
        <v>0.95</v>
      </c>
      <c r="P29" s="56" t="s">
        <v>200</v>
      </c>
      <c r="Q29" s="56">
        <v>0</v>
      </c>
    </row>
    <row r="30" spans="1:16" ht="12.75">
      <c r="A30" t="s">
        <v>645</v>
      </c>
      <c r="B30">
        <v>0</v>
      </c>
      <c r="C30">
        <v>0</v>
      </c>
      <c r="D30">
        <v>0</v>
      </c>
      <c r="E30">
        <v>44</v>
      </c>
      <c r="F30">
        <v>0.798</v>
      </c>
      <c r="G30">
        <v>0.95</v>
      </c>
      <c r="P30" s="54"/>
    </row>
    <row r="31" spans="1:16" ht="12.75">
      <c r="A31" t="s">
        <v>646</v>
      </c>
      <c r="B31">
        <v>0</v>
      </c>
      <c r="C31">
        <v>0</v>
      </c>
      <c r="D31">
        <v>0</v>
      </c>
      <c r="E31">
        <v>42</v>
      </c>
      <c r="F31">
        <v>0.798</v>
      </c>
      <c r="G31">
        <v>0.95</v>
      </c>
      <c r="P31" s="54"/>
    </row>
    <row r="32" spans="1:7" ht="12.75">
      <c r="A32" t="s">
        <v>647</v>
      </c>
      <c r="B32">
        <v>0</v>
      </c>
      <c r="C32">
        <v>0</v>
      </c>
      <c r="D32">
        <v>0</v>
      </c>
      <c r="E32">
        <v>21</v>
      </c>
      <c r="F32">
        <v>0.798</v>
      </c>
      <c r="G32">
        <v>0.95</v>
      </c>
    </row>
    <row r="33" spans="1:7" ht="13.5" thickBot="1">
      <c r="A33" t="s">
        <v>648</v>
      </c>
      <c r="B33">
        <v>0</v>
      </c>
      <c r="C33">
        <v>0</v>
      </c>
      <c r="D33">
        <v>0</v>
      </c>
      <c r="E33">
        <v>38</v>
      </c>
      <c r="F33">
        <v>0.798</v>
      </c>
      <c r="G33">
        <v>0.95</v>
      </c>
    </row>
    <row r="34" spans="1:17" ht="12.75">
      <c r="A34" t="s">
        <v>649</v>
      </c>
      <c r="B34">
        <v>0</v>
      </c>
      <c r="C34">
        <v>0</v>
      </c>
      <c r="D34">
        <v>0</v>
      </c>
      <c r="E34">
        <v>43</v>
      </c>
      <c r="F34">
        <v>0.798</v>
      </c>
      <c r="G34">
        <v>0.95</v>
      </c>
      <c r="O34" t="s">
        <v>429</v>
      </c>
      <c r="P34" s="57" t="s">
        <v>199</v>
      </c>
      <c r="Q34" s="57" t="s">
        <v>201</v>
      </c>
    </row>
    <row r="35" spans="1:17" ht="12.75">
      <c r="A35" t="s">
        <v>650</v>
      </c>
      <c r="B35">
        <v>0</v>
      </c>
      <c r="C35">
        <v>0</v>
      </c>
      <c r="D35">
        <v>0</v>
      </c>
      <c r="E35">
        <v>21</v>
      </c>
      <c r="F35">
        <v>0.798</v>
      </c>
      <c r="G35">
        <v>0.95</v>
      </c>
      <c r="N35" s="54" t="s">
        <v>430</v>
      </c>
      <c r="O35">
        <v>30</v>
      </c>
      <c r="P35" s="54">
        <v>30</v>
      </c>
      <c r="Q35" s="55">
        <v>0</v>
      </c>
    </row>
    <row r="36" spans="1:17" ht="12.75">
      <c r="A36" t="s">
        <v>651</v>
      </c>
      <c r="B36">
        <v>0</v>
      </c>
      <c r="C36">
        <v>0</v>
      </c>
      <c r="D36">
        <v>0</v>
      </c>
      <c r="E36">
        <v>45</v>
      </c>
      <c r="F36">
        <v>0.798</v>
      </c>
      <c r="G36">
        <v>0.95</v>
      </c>
      <c r="N36" s="54" t="s">
        <v>431</v>
      </c>
      <c r="O36">
        <v>35</v>
      </c>
      <c r="P36" s="54">
        <v>35</v>
      </c>
      <c r="Q36" s="55">
        <v>0</v>
      </c>
    </row>
    <row r="37" spans="1:17" ht="12.75">
      <c r="A37" t="s">
        <v>652</v>
      </c>
      <c r="B37">
        <v>0</v>
      </c>
      <c r="C37">
        <v>0</v>
      </c>
      <c r="D37">
        <v>0</v>
      </c>
      <c r="E37">
        <v>46</v>
      </c>
      <c r="F37">
        <v>0.798</v>
      </c>
      <c r="G37">
        <v>0.95</v>
      </c>
      <c r="N37" s="54" t="s">
        <v>432</v>
      </c>
      <c r="O37">
        <v>40</v>
      </c>
      <c r="P37" s="54">
        <v>40</v>
      </c>
      <c r="Q37" s="55">
        <v>7</v>
      </c>
    </row>
    <row r="38" spans="1:17" ht="12.75">
      <c r="A38" t="s">
        <v>653</v>
      </c>
      <c r="B38">
        <v>7</v>
      </c>
      <c r="C38">
        <v>2.875</v>
      </c>
      <c r="D38">
        <v>35</v>
      </c>
      <c r="E38">
        <v>39</v>
      </c>
      <c r="F38">
        <v>0.798</v>
      </c>
      <c r="G38">
        <v>0.95</v>
      </c>
      <c r="H38">
        <v>0</v>
      </c>
      <c r="I38">
        <v>0.02</v>
      </c>
      <c r="J38">
        <v>14.9</v>
      </c>
      <c r="K38">
        <v>61</v>
      </c>
      <c r="L38">
        <v>16.4</v>
      </c>
      <c r="M38">
        <v>68</v>
      </c>
      <c r="N38" s="54" t="s">
        <v>436</v>
      </c>
      <c r="O38">
        <v>45</v>
      </c>
      <c r="P38" s="54">
        <v>45</v>
      </c>
      <c r="Q38" s="55">
        <v>3</v>
      </c>
    </row>
    <row r="39" spans="1:17" ht="12.75">
      <c r="A39" t="s">
        <v>654</v>
      </c>
      <c r="B39">
        <v>8</v>
      </c>
      <c r="C39">
        <v>3</v>
      </c>
      <c r="D39">
        <v>50</v>
      </c>
      <c r="E39">
        <v>39</v>
      </c>
      <c r="F39">
        <v>0.8064</v>
      </c>
      <c r="G39">
        <v>0.96</v>
      </c>
      <c r="H39">
        <v>0</v>
      </c>
      <c r="I39">
        <v>0.03</v>
      </c>
      <c r="J39">
        <v>17.9</v>
      </c>
      <c r="K39">
        <v>58</v>
      </c>
      <c r="L39">
        <v>21.9</v>
      </c>
      <c r="M39">
        <v>71</v>
      </c>
      <c r="N39" s="54" t="s">
        <v>433</v>
      </c>
      <c r="O39">
        <v>50</v>
      </c>
      <c r="P39" s="54">
        <v>50</v>
      </c>
      <c r="Q39" s="55">
        <v>18</v>
      </c>
    </row>
    <row r="40" spans="1:17" ht="12.75">
      <c r="A40" t="s">
        <v>655</v>
      </c>
      <c r="B40">
        <v>6</v>
      </c>
      <c r="C40">
        <v>2</v>
      </c>
      <c r="D40">
        <v>23</v>
      </c>
      <c r="E40">
        <v>36</v>
      </c>
      <c r="F40">
        <v>0.798</v>
      </c>
      <c r="G40">
        <v>0.95</v>
      </c>
      <c r="H40">
        <v>0</v>
      </c>
      <c r="I40">
        <v>0.04</v>
      </c>
      <c r="J40">
        <v>10.8</v>
      </c>
      <c r="K40">
        <v>57</v>
      </c>
      <c r="L40">
        <v>12.1</v>
      </c>
      <c r="M40">
        <v>67</v>
      </c>
      <c r="N40" s="54" t="s">
        <v>434</v>
      </c>
      <c r="O40">
        <v>55</v>
      </c>
      <c r="P40" s="54">
        <v>55</v>
      </c>
      <c r="Q40" s="55">
        <v>13</v>
      </c>
    </row>
    <row r="41" spans="1:17" ht="12.75">
      <c r="A41" t="s">
        <v>656</v>
      </c>
      <c r="B41">
        <v>6</v>
      </c>
      <c r="C41">
        <v>2</v>
      </c>
      <c r="D41">
        <v>22</v>
      </c>
      <c r="E41">
        <v>32</v>
      </c>
      <c r="F41">
        <v>0.798</v>
      </c>
      <c r="G41">
        <v>0.95</v>
      </c>
      <c r="H41">
        <v>0</v>
      </c>
      <c r="I41">
        <v>0.04</v>
      </c>
      <c r="J41">
        <v>10.6</v>
      </c>
      <c r="K41">
        <v>57</v>
      </c>
      <c r="L41">
        <v>11.7</v>
      </c>
      <c r="M41">
        <v>66</v>
      </c>
      <c r="N41" s="54" t="s">
        <v>435</v>
      </c>
      <c r="O41">
        <v>60</v>
      </c>
      <c r="P41" s="54">
        <v>60</v>
      </c>
      <c r="Q41" s="55">
        <v>12</v>
      </c>
    </row>
    <row r="42" spans="1:17" ht="12.75">
      <c r="A42" t="s">
        <v>658</v>
      </c>
      <c r="B42">
        <v>12</v>
      </c>
      <c r="C42">
        <v>5</v>
      </c>
      <c r="D42">
        <v>59</v>
      </c>
      <c r="E42">
        <v>51</v>
      </c>
      <c r="F42">
        <v>0.82824</v>
      </c>
      <c r="G42">
        <v>0.986</v>
      </c>
      <c r="H42">
        <v>75</v>
      </c>
      <c r="I42">
        <v>0.03</v>
      </c>
      <c r="J42">
        <v>26.5</v>
      </c>
      <c r="K42">
        <v>56</v>
      </c>
      <c r="L42">
        <v>31.9</v>
      </c>
      <c r="M42">
        <v>65</v>
      </c>
      <c r="N42" s="54" t="s">
        <v>98</v>
      </c>
      <c r="O42">
        <v>65</v>
      </c>
      <c r="P42" s="54">
        <v>65</v>
      </c>
      <c r="Q42" s="55">
        <v>5</v>
      </c>
    </row>
    <row r="43" spans="1:17" ht="12.75">
      <c r="A43" t="s">
        <v>659</v>
      </c>
      <c r="B43">
        <v>7</v>
      </c>
      <c r="C43">
        <v>2</v>
      </c>
      <c r="D43">
        <v>0</v>
      </c>
      <c r="E43">
        <v>28</v>
      </c>
      <c r="F43">
        <v>0.673</v>
      </c>
      <c r="G43">
        <v>0.914</v>
      </c>
      <c r="H43">
        <v>0</v>
      </c>
      <c r="I43">
        <v>-0.01</v>
      </c>
      <c r="J43">
        <v>13</v>
      </c>
      <c r="K43">
        <v>55</v>
      </c>
      <c r="L43">
        <v>12.7</v>
      </c>
      <c r="M43">
        <v>53</v>
      </c>
      <c r="N43" s="54" t="s">
        <v>876</v>
      </c>
      <c r="O43">
        <v>70</v>
      </c>
      <c r="P43" s="54">
        <v>70</v>
      </c>
      <c r="Q43" s="55">
        <v>0</v>
      </c>
    </row>
    <row r="44" spans="1:17" ht="12.75">
      <c r="A44" t="s">
        <v>660</v>
      </c>
      <c r="B44">
        <v>7</v>
      </c>
      <c r="C44">
        <v>2</v>
      </c>
      <c r="D44">
        <v>0</v>
      </c>
      <c r="E44">
        <v>27</v>
      </c>
      <c r="F44">
        <v>0.798</v>
      </c>
      <c r="G44">
        <v>0.95</v>
      </c>
      <c r="H44">
        <v>0</v>
      </c>
      <c r="I44">
        <v>0.04</v>
      </c>
      <c r="J44">
        <v>12.5</v>
      </c>
      <c r="K44">
        <v>54</v>
      </c>
      <c r="L44">
        <v>14</v>
      </c>
      <c r="M44">
        <v>64</v>
      </c>
      <c r="N44" s="54" t="s">
        <v>877</v>
      </c>
      <c r="O44">
        <v>75</v>
      </c>
      <c r="P44" s="54">
        <v>75</v>
      </c>
      <c r="Q44" s="55">
        <v>0</v>
      </c>
    </row>
    <row r="45" spans="1:17" ht="12.75">
      <c r="A45" t="s">
        <v>661</v>
      </c>
      <c r="B45">
        <v>7</v>
      </c>
      <c r="C45">
        <v>2</v>
      </c>
      <c r="D45">
        <v>0</v>
      </c>
      <c r="E45">
        <v>28</v>
      </c>
      <c r="F45">
        <v>0.798</v>
      </c>
      <c r="G45">
        <v>0.95</v>
      </c>
      <c r="H45">
        <v>0</v>
      </c>
      <c r="I45">
        <v>0.04</v>
      </c>
      <c r="J45">
        <v>12.6</v>
      </c>
      <c r="K45">
        <v>54</v>
      </c>
      <c r="L45">
        <v>14.4</v>
      </c>
      <c r="M45">
        <v>65</v>
      </c>
      <c r="N45" s="54" t="s">
        <v>878</v>
      </c>
      <c r="O45">
        <v>80</v>
      </c>
      <c r="P45" s="54">
        <v>80</v>
      </c>
      <c r="Q45" s="55">
        <v>0</v>
      </c>
    </row>
    <row r="46" spans="1:17" ht="12.75">
      <c r="A46" t="s">
        <v>662</v>
      </c>
      <c r="B46">
        <v>7</v>
      </c>
      <c r="C46">
        <v>2</v>
      </c>
      <c r="D46">
        <v>0</v>
      </c>
      <c r="E46">
        <v>27</v>
      </c>
      <c r="F46">
        <v>0.78792</v>
      </c>
      <c r="G46">
        <v>0.938</v>
      </c>
      <c r="H46">
        <v>0</v>
      </c>
      <c r="I46">
        <v>0.03</v>
      </c>
      <c r="J46">
        <v>12.5</v>
      </c>
      <c r="K46">
        <v>54</v>
      </c>
      <c r="L46">
        <v>13.5</v>
      </c>
      <c r="M46">
        <v>61</v>
      </c>
      <c r="N46" s="54" t="s">
        <v>879</v>
      </c>
      <c r="O46">
        <v>85</v>
      </c>
      <c r="P46" s="54">
        <v>85</v>
      </c>
      <c r="Q46" s="55">
        <v>0</v>
      </c>
    </row>
    <row r="47" spans="1:17" ht="13.5" thickBot="1">
      <c r="A47" t="s">
        <v>663</v>
      </c>
      <c r="B47">
        <v>9</v>
      </c>
      <c r="C47">
        <v>2.1</v>
      </c>
      <c r="D47">
        <v>0</v>
      </c>
      <c r="E47">
        <v>31</v>
      </c>
      <c r="F47">
        <v>0.798</v>
      </c>
      <c r="G47">
        <v>0.95</v>
      </c>
      <c r="H47">
        <v>0</v>
      </c>
      <c r="I47">
        <v>0.03</v>
      </c>
      <c r="J47">
        <v>15.2</v>
      </c>
      <c r="K47">
        <v>48</v>
      </c>
      <c r="L47">
        <v>16.5</v>
      </c>
      <c r="M47">
        <v>58</v>
      </c>
      <c r="P47" s="56" t="s">
        <v>200</v>
      </c>
      <c r="Q47" s="56">
        <v>0</v>
      </c>
    </row>
    <row r="48" spans="1:17" ht="12.75">
      <c r="A48" t="s">
        <v>664</v>
      </c>
      <c r="B48">
        <v>9</v>
      </c>
      <c r="C48">
        <v>2.1</v>
      </c>
      <c r="D48">
        <v>26</v>
      </c>
      <c r="E48">
        <v>31</v>
      </c>
      <c r="F48">
        <v>0.798</v>
      </c>
      <c r="G48">
        <v>0.95</v>
      </c>
      <c r="H48">
        <v>0</v>
      </c>
      <c r="I48">
        <v>0.02</v>
      </c>
      <c r="J48">
        <v>14.1</v>
      </c>
      <c r="K48">
        <v>48</v>
      </c>
      <c r="L48">
        <v>14.8</v>
      </c>
      <c r="M48">
        <v>54</v>
      </c>
      <c r="P48" s="57" t="s">
        <v>199</v>
      </c>
      <c r="Q48" s="57" t="s">
        <v>201</v>
      </c>
    </row>
    <row r="49" spans="1:17" ht="12.75">
      <c r="A49" t="s">
        <v>665</v>
      </c>
      <c r="B49">
        <v>8</v>
      </c>
      <c r="C49">
        <v>2</v>
      </c>
      <c r="D49">
        <v>18</v>
      </c>
      <c r="E49">
        <v>33</v>
      </c>
      <c r="F49">
        <v>0.798</v>
      </c>
      <c r="G49">
        <v>0.95</v>
      </c>
      <c r="H49">
        <v>0</v>
      </c>
      <c r="I49">
        <v>0.01</v>
      </c>
      <c r="J49">
        <v>11</v>
      </c>
      <c r="K49">
        <v>49</v>
      </c>
      <c r="L49">
        <v>11.1</v>
      </c>
      <c r="M49">
        <v>51</v>
      </c>
      <c r="P49" s="54">
        <v>30</v>
      </c>
      <c r="Q49" s="55">
        <v>0</v>
      </c>
    </row>
    <row r="50" spans="1:17" ht="12.75">
      <c r="A50" t="s">
        <v>666</v>
      </c>
      <c r="B50">
        <v>10</v>
      </c>
      <c r="C50">
        <v>2.5</v>
      </c>
      <c r="D50">
        <v>27</v>
      </c>
      <c r="E50">
        <v>32</v>
      </c>
      <c r="F50">
        <v>0.798</v>
      </c>
      <c r="G50">
        <v>0.95</v>
      </c>
      <c r="H50">
        <v>0</v>
      </c>
      <c r="I50">
        <v>0.01</v>
      </c>
      <c r="J50">
        <v>15.5</v>
      </c>
      <c r="K50">
        <v>48</v>
      </c>
      <c r="L50">
        <v>15.8</v>
      </c>
      <c r="M50">
        <v>51</v>
      </c>
      <c r="P50" s="54">
        <v>35</v>
      </c>
      <c r="Q50" s="55">
        <v>0</v>
      </c>
    </row>
    <row r="51" spans="1:17" ht="12.75">
      <c r="A51" t="s">
        <v>667</v>
      </c>
      <c r="B51">
        <v>10</v>
      </c>
      <c r="C51">
        <v>2.5</v>
      </c>
      <c r="D51">
        <v>0</v>
      </c>
      <c r="E51">
        <v>34</v>
      </c>
      <c r="F51">
        <v>0.798</v>
      </c>
      <c r="G51">
        <v>0.95</v>
      </c>
      <c r="H51">
        <v>0</v>
      </c>
      <c r="I51">
        <v>0.02</v>
      </c>
      <c r="J51">
        <v>17.2</v>
      </c>
      <c r="K51">
        <v>49</v>
      </c>
      <c r="L51">
        <v>18.1</v>
      </c>
      <c r="M51">
        <v>55</v>
      </c>
      <c r="P51" s="54">
        <v>40</v>
      </c>
      <c r="Q51" s="55">
        <v>2</v>
      </c>
    </row>
    <row r="52" spans="1:17" ht="12.75">
      <c r="A52" t="s">
        <v>668</v>
      </c>
      <c r="B52">
        <v>0</v>
      </c>
      <c r="C52">
        <v>0</v>
      </c>
      <c r="D52">
        <v>0</v>
      </c>
      <c r="E52">
        <v>30</v>
      </c>
      <c r="F52">
        <v>0.798</v>
      </c>
      <c r="G52">
        <v>0.95</v>
      </c>
      <c r="P52" s="54">
        <v>45</v>
      </c>
      <c r="Q52" s="55">
        <v>0</v>
      </c>
    </row>
    <row r="53" spans="1:17" ht="12.75">
      <c r="A53" t="s">
        <v>669</v>
      </c>
      <c r="B53">
        <v>0</v>
      </c>
      <c r="C53">
        <v>0</v>
      </c>
      <c r="D53">
        <v>0</v>
      </c>
      <c r="E53">
        <v>29</v>
      </c>
      <c r="F53">
        <v>0.798</v>
      </c>
      <c r="G53">
        <v>0.95</v>
      </c>
      <c r="P53" s="54">
        <v>50</v>
      </c>
      <c r="Q53" s="55">
        <v>5</v>
      </c>
    </row>
    <row r="54" spans="1:17" ht="12.75">
      <c r="A54" t="s">
        <v>670</v>
      </c>
      <c r="B54">
        <v>10</v>
      </c>
      <c r="C54">
        <v>4.7</v>
      </c>
      <c r="D54">
        <v>46</v>
      </c>
      <c r="E54">
        <v>32</v>
      </c>
      <c r="F54">
        <v>0.798</v>
      </c>
      <c r="G54">
        <v>0.95</v>
      </c>
      <c r="H54">
        <v>0</v>
      </c>
      <c r="I54">
        <v>-0.01</v>
      </c>
      <c r="J54">
        <v>21.8</v>
      </c>
      <c r="K54">
        <v>61</v>
      </c>
      <c r="L54">
        <v>21.2</v>
      </c>
      <c r="M54">
        <v>59</v>
      </c>
      <c r="P54" s="54">
        <v>55</v>
      </c>
      <c r="Q54" s="55">
        <v>13</v>
      </c>
    </row>
    <row r="55" spans="1:17" ht="12.75">
      <c r="A55" t="s">
        <v>671</v>
      </c>
      <c r="B55">
        <v>7</v>
      </c>
      <c r="C55">
        <v>2.4</v>
      </c>
      <c r="D55">
        <v>35</v>
      </c>
      <c r="E55">
        <v>30</v>
      </c>
      <c r="F55">
        <v>0.798</v>
      </c>
      <c r="G55">
        <v>0.95</v>
      </c>
      <c r="H55">
        <v>0</v>
      </c>
      <c r="I55">
        <v>0.03</v>
      </c>
      <c r="J55">
        <v>14.2</v>
      </c>
      <c r="K55">
        <v>57</v>
      </c>
      <c r="L55">
        <v>16.4</v>
      </c>
      <c r="M55">
        <v>68</v>
      </c>
      <c r="P55" s="54">
        <v>60</v>
      </c>
      <c r="Q55" s="55">
        <v>4</v>
      </c>
    </row>
    <row r="56" spans="1:17" ht="12.75">
      <c r="A56" t="s">
        <v>672</v>
      </c>
      <c r="B56">
        <v>12</v>
      </c>
      <c r="C56">
        <v>2</v>
      </c>
      <c r="D56">
        <v>42</v>
      </c>
      <c r="E56">
        <v>31</v>
      </c>
      <c r="F56">
        <v>0.798</v>
      </c>
      <c r="G56">
        <v>0.95</v>
      </c>
      <c r="H56">
        <v>42</v>
      </c>
      <c r="I56">
        <v>0.02</v>
      </c>
      <c r="J56">
        <v>19.8</v>
      </c>
      <c r="K56">
        <v>41</v>
      </c>
      <c r="L56">
        <v>21.6</v>
      </c>
      <c r="M56">
        <v>51</v>
      </c>
      <c r="P56" s="54">
        <v>65</v>
      </c>
      <c r="Q56" s="55">
        <v>13</v>
      </c>
    </row>
    <row r="57" spans="1:17" ht="12.75">
      <c r="A57" t="s">
        <v>673</v>
      </c>
      <c r="B57">
        <v>12</v>
      </c>
      <c r="C57">
        <v>2</v>
      </c>
      <c r="D57">
        <v>0</v>
      </c>
      <c r="E57">
        <v>31</v>
      </c>
      <c r="F57">
        <v>0.798</v>
      </c>
      <c r="G57">
        <v>0.95</v>
      </c>
      <c r="H57">
        <v>0</v>
      </c>
      <c r="I57">
        <v>0.02</v>
      </c>
      <c r="J57">
        <v>17.7</v>
      </c>
      <c r="K57">
        <v>40</v>
      </c>
      <c r="L57">
        <v>18.3</v>
      </c>
      <c r="M57">
        <v>46</v>
      </c>
      <c r="P57" s="54">
        <v>70</v>
      </c>
      <c r="Q57" s="55">
        <v>8</v>
      </c>
    </row>
    <row r="58" spans="1:17" ht="12.75">
      <c r="A58" t="s">
        <v>674</v>
      </c>
      <c r="B58">
        <v>8</v>
      </c>
      <c r="C58">
        <v>2.5</v>
      </c>
      <c r="D58">
        <v>30</v>
      </c>
      <c r="E58">
        <v>30</v>
      </c>
      <c r="F58">
        <v>0.798</v>
      </c>
      <c r="G58">
        <v>0.95</v>
      </c>
      <c r="H58">
        <v>0</v>
      </c>
      <c r="I58">
        <v>0.02</v>
      </c>
      <c r="J58">
        <v>14.6</v>
      </c>
      <c r="K58">
        <v>54</v>
      </c>
      <c r="L58">
        <v>15.6</v>
      </c>
      <c r="M58">
        <v>61</v>
      </c>
      <c r="P58" s="54">
        <v>75</v>
      </c>
      <c r="Q58" s="55">
        <v>8</v>
      </c>
    </row>
    <row r="59" spans="1:17" ht="12.75">
      <c r="A59" t="s">
        <v>675</v>
      </c>
      <c r="B59">
        <v>8</v>
      </c>
      <c r="C59">
        <v>2</v>
      </c>
      <c r="D59">
        <v>30</v>
      </c>
      <c r="E59">
        <v>30</v>
      </c>
      <c r="F59">
        <v>0.798</v>
      </c>
      <c r="G59">
        <v>0.95</v>
      </c>
      <c r="H59">
        <v>0</v>
      </c>
      <c r="I59">
        <v>0.04</v>
      </c>
      <c r="J59">
        <v>14</v>
      </c>
      <c r="K59">
        <v>50</v>
      </c>
      <c r="L59">
        <v>15.6</v>
      </c>
      <c r="M59">
        <v>61</v>
      </c>
      <c r="P59" s="54">
        <v>80</v>
      </c>
      <c r="Q59" s="55">
        <v>2</v>
      </c>
    </row>
    <row r="60" spans="1:17" ht="12.75">
      <c r="A60" t="s">
        <v>676</v>
      </c>
      <c r="B60">
        <v>11</v>
      </c>
      <c r="C60">
        <v>3</v>
      </c>
      <c r="D60">
        <v>40</v>
      </c>
      <c r="E60">
        <v>33</v>
      </c>
      <c r="F60">
        <v>0.798</v>
      </c>
      <c r="G60">
        <v>0.95</v>
      </c>
      <c r="H60">
        <v>0</v>
      </c>
      <c r="I60">
        <v>0.01</v>
      </c>
      <c r="J60">
        <v>19.8</v>
      </c>
      <c r="K60">
        <v>50</v>
      </c>
      <c r="L60">
        <v>20.4</v>
      </c>
      <c r="M60">
        <v>54</v>
      </c>
      <c r="P60" s="54">
        <v>85</v>
      </c>
      <c r="Q60" s="55">
        <v>3</v>
      </c>
    </row>
    <row r="61" spans="1:17" ht="13.5" thickBot="1">
      <c r="A61" t="s">
        <v>677</v>
      </c>
      <c r="B61">
        <v>11</v>
      </c>
      <c r="C61">
        <v>3</v>
      </c>
      <c r="D61">
        <v>0</v>
      </c>
      <c r="E61">
        <v>33</v>
      </c>
      <c r="F61">
        <v>0.798</v>
      </c>
      <c r="G61">
        <v>0.95</v>
      </c>
      <c r="H61">
        <v>0</v>
      </c>
      <c r="I61">
        <v>0</v>
      </c>
      <c r="J61">
        <v>18.3</v>
      </c>
      <c r="K61">
        <v>50</v>
      </c>
      <c r="L61">
        <v>18.4</v>
      </c>
      <c r="M61">
        <v>51</v>
      </c>
      <c r="P61" s="56" t="s">
        <v>200</v>
      </c>
      <c r="Q61" s="56">
        <v>0</v>
      </c>
    </row>
    <row r="62" spans="1:13" ht="12.75">
      <c r="A62" t="s">
        <v>678</v>
      </c>
      <c r="B62">
        <v>13</v>
      </c>
      <c r="C62">
        <v>3</v>
      </c>
      <c r="D62">
        <v>45</v>
      </c>
      <c r="E62">
        <v>33</v>
      </c>
      <c r="F62">
        <v>0.798</v>
      </c>
      <c r="G62">
        <v>0.95</v>
      </c>
      <c r="H62">
        <v>0</v>
      </c>
      <c r="I62">
        <v>0</v>
      </c>
      <c r="J62">
        <v>22.7</v>
      </c>
      <c r="K62">
        <v>47</v>
      </c>
      <c r="L62">
        <v>23.1</v>
      </c>
      <c r="M62">
        <v>49</v>
      </c>
    </row>
    <row r="63" spans="1:13" ht="12.75">
      <c r="A63" t="s">
        <v>680</v>
      </c>
      <c r="B63">
        <v>11</v>
      </c>
      <c r="C63">
        <v>3.38</v>
      </c>
      <c r="D63">
        <v>49</v>
      </c>
      <c r="E63">
        <v>33</v>
      </c>
      <c r="F63">
        <v>0.798</v>
      </c>
      <c r="G63">
        <v>0.95</v>
      </c>
      <c r="H63">
        <v>0</v>
      </c>
      <c r="I63">
        <v>0.01</v>
      </c>
      <c r="J63">
        <v>21.8</v>
      </c>
      <c r="K63">
        <v>53</v>
      </c>
      <c r="L63">
        <v>22.5</v>
      </c>
      <c r="M63">
        <v>56</v>
      </c>
    </row>
    <row r="64" spans="1:13" ht="12.75">
      <c r="A64" t="s">
        <v>681</v>
      </c>
      <c r="B64">
        <v>7</v>
      </c>
      <c r="C64">
        <v>3</v>
      </c>
      <c r="D64">
        <v>0</v>
      </c>
      <c r="E64">
        <v>29</v>
      </c>
      <c r="F64">
        <v>0.798</v>
      </c>
      <c r="G64">
        <v>0.95</v>
      </c>
      <c r="H64">
        <v>0</v>
      </c>
      <c r="I64">
        <v>0.02</v>
      </c>
      <c r="J64">
        <v>14</v>
      </c>
      <c r="K64">
        <v>61</v>
      </c>
      <c r="L64">
        <v>14.7</v>
      </c>
      <c r="M64">
        <v>65</v>
      </c>
    </row>
    <row r="65" spans="1:13" ht="12.75">
      <c r="A65" t="s">
        <v>682</v>
      </c>
      <c r="B65">
        <v>12</v>
      </c>
      <c r="C65">
        <v>3</v>
      </c>
      <c r="D65">
        <v>0</v>
      </c>
      <c r="E65">
        <v>31</v>
      </c>
      <c r="F65">
        <v>0.76</v>
      </c>
      <c r="G65">
        <v>0.95</v>
      </c>
      <c r="H65">
        <v>0</v>
      </c>
      <c r="I65">
        <v>-0.01</v>
      </c>
      <c r="J65">
        <v>18.6</v>
      </c>
      <c r="K65">
        <v>48</v>
      </c>
      <c r="L65">
        <v>18.3</v>
      </c>
      <c r="M65">
        <v>46</v>
      </c>
    </row>
    <row r="66" spans="1:13" ht="12.75">
      <c r="A66" t="s">
        <v>683</v>
      </c>
      <c r="B66">
        <v>7</v>
      </c>
      <c r="C66">
        <v>3</v>
      </c>
      <c r="D66">
        <v>26</v>
      </c>
      <c r="E66">
        <v>30</v>
      </c>
      <c r="F66">
        <v>0.798</v>
      </c>
      <c r="G66">
        <v>0.95</v>
      </c>
      <c r="H66">
        <v>0</v>
      </c>
      <c r="I66">
        <v>0.01</v>
      </c>
      <c r="J66">
        <v>13.3</v>
      </c>
      <c r="K66">
        <v>61</v>
      </c>
      <c r="L66">
        <v>13.7</v>
      </c>
      <c r="M66">
        <v>64</v>
      </c>
    </row>
    <row r="67" spans="1:7" ht="12.75">
      <c r="A67" t="s">
        <v>684</v>
      </c>
      <c r="B67">
        <v>10</v>
      </c>
      <c r="C67">
        <v>0</v>
      </c>
      <c r="D67">
        <v>32</v>
      </c>
      <c r="E67">
        <v>33</v>
      </c>
      <c r="F67">
        <v>0.798</v>
      </c>
      <c r="G67">
        <v>0.95</v>
      </c>
    </row>
    <row r="68" spans="1:13" ht="12.75">
      <c r="A68" t="s">
        <v>685</v>
      </c>
      <c r="B68">
        <v>9.48</v>
      </c>
      <c r="C68">
        <v>3.8</v>
      </c>
      <c r="D68">
        <v>48</v>
      </c>
      <c r="E68">
        <v>33</v>
      </c>
      <c r="F68">
        <v>0.76</v>
      </c>
      <c r="G68">
        <v>0.95</v>
      </c>
      <c r="H68">
        <v>0</v>
      </c>
      <c r="I68">
        <v>0</v>
      </c>
      <c r="J68">
        <v>20.6</v>
      </c>
      <c r="K68">
        <v>60</v>
      </c>
      <c r="L68">
        <v>21.1</v>
      </c>
      <c r="M68">
        <v>62</v>
      </c>
    </row>
    <row r="69" spans="1:13" ht="12.75">
      <c r="A69" t="s">
        <v>686</v>
      </c>
      <c r="B69">
        <v>9.48</v>
      </c>
      <c r="C69">
        <v>3.8</v>
      </c>
      <c r="D69">
        <v>48</v>
      </c>
      <c r="E69">
        <v>37</v>
      </c>
      <c r="F69">
        <v>0.76</v>
      </c>
      <c r="G69">
        <v>0.95</v>
      </c>
      <c r="H69">
        <v>0</v>
      </c>
      <c r="I69">
        <v>0</v>
      </c>
      <c r="J69">
        <v>20.6</v>
      </c>
      <c r="K69">
        <v>60</v>
      </c>
      <c r="L69">
        <v>21.1</v>
      </c>
      <c r="M69">
        <v>62</v>
      </c>
    </row>
    <row r="70" spans="1:7" ht="12.75">
      <c r="A70" t="s">
        <v>705</v>
      </c>
      <c r="B70">
        <v>0</v>
      </c>
      <c r="C70">
        <v>0</v>
      </c>
      <c r="D70">
        <v>0</v>
      </c>
      <c r="E70">
        <v>32</v>
      </c>
      <c r="F70">
        <v>0.76</v>
      </c>
      <c r="G70">
        <v>0.95</v>
      </c>
    </row>
    <row r="71" spans="1:13" ht="12.75">
      <c r="A71" t="s">
        <v>706</v>
      </c>
      <c r="B71">
        <v>11</v>
      </c>
      <c r="C71">
        <v>6.9</v>
      </c>
      <c r="D71">
        <v>40</v>
      </c>
      <c r="E71">
        <v>43</v>
      </c>
      <c r="F71">
        <v>0.82824</v>
      </c>
      <c r="G71">
        <v>0.986</v>
      </c>
      <c r="H71">
        <v>60</v>
      </c>
      <c r="I71">
        <v>0.01</v>
      </c>
      <c r="J71">
        <v>22.7</v>
      </c>
      <c r="K71">
        <v>53</v>
      </c>
      <c r="L71">
        <v>23.5</v>
      </c>
      <c r="M71">
        <v>53</v>
      </c>
    </row>
    <row r="72" spans="1:13" ht="12.75">
      <c r="A72" t="s">
        <v>707</v>
      </c>
      <c r="B72">
        <v>12</v>
      </c>
      <c r="C72">
        <v>3.3</v>
      </c>
      <c r="D72">
        <v>40</v>
      </c>
      <c r="E72">
        <v>43</v>
      </c>
      <c r="F72">
        <v>0.82824</v>
      </c>
      <c r="G72">
        <v>0.986</v>
      </c>
      <c r="H72">
        <v>60</v>
      </c>
      <c r="I72">
        <v>0.04</v>
      </c>
      <c r="J72">
        <v>21.1</v>
      </c>
      <c r="K72">
        <v>46</v>
      </c>
      <c r="L72">
        <v>24</v>
      </c>
      <c r="M72">
        <v>51</v>
      </c>
    </row>
    <row r="73" spans="1:13" ht="12.75">
      <c r="A73" t="s">
        <v>708</v>
      </c>
      <c r="B73">
        <v>11</v>
      </c>
      <c r="C73">
        <v>2.4</v>
      </c>
      <c r="D73">
        <v>0</v>
      </c>
      <c r="E73">
        <v>37</v>
      </c>
      <c r="F73">
        <v>0.798</v>
      </c>
      <c r="G73">
        <v>0.95</v>
      </c>
      <c r="H73">
        <v>0</v>
      </c>
      <c r="I73">
        <v>0.02</v>
      </c>
      <c r="J73">
        <v>18.6</v>
      </c>
      <c r="K73">
        <v>46</v>
      </c>
      <c r="L73">
        <v>19.6</v>
      </c>
      <c r="M73">
        <v>53</v>
      </c>
    </row>
    <row r="74" spans="1:7" ht="12.75">
      <c r="A74" t="s">
        <v>709</v>
      </c>
      <c r="B74">
        <v>9</v>
      </c>
      <c r="C74">
        <v>0</v>
      </c>
      <c r="D74">
        <v>28</v>
      </c>
      <c r="E74">
        <v>32</v>
      </c>
      <c r="F74">
        <v>0.798</v>
      </c>
      <c r="G74">
        <v>0.95</v>
      </c>
    </row>
    <row r="75" spans="1:7" ht="12.75">
      <c r="A75" t="s">
        <v>710</v>
      </c>
      <c r="B75">
        <v>9</v>
      </c>
      <c r="C75">
        <v>0</v>
      </c>
      <c r="D75">
        <v>0</v>
      </c>
      <c r="E75">
        <v>21</v>
      </c>
      <c r="F75">
        <v>0.798</v>
      </c>
      <c r="G75">
        <v>0.95</v>
      </c>
    </row>
    <row r="76" spans="1:13" ht="12.75">
      <c r="A76" t="s">
        <v>716</v>
      </c>
      <c r="B76">
        <v>14.4</v>
      </c>
      <c r="C76">
        <v>5.02</v>
      </c>
      <c r="D76">
        <v>41</v>
      </c>
      <c r="E76">
        <v>48</v>
      </c>
      <c r="F76">
        <v>0.91</v>
      </c>
      <c r="G76">
        <v>0.99</v>
      </c>
      <c r="H76">
        <v>75</v>
      </c>
      <c r="I76">
        <v>0.02</v>
      </c>
      <c r="J76">
        <v>24</v>
      </c>
      <c r="K76">
        <v>43</v>
      </c>
      <c r="L76">
        <v>25.7</v>
      </c>
      <c r="M76">
        <v>40</v>
      </c>
    </row>
    <row r="77" spans="1:7" ht="12.75">
      <c r="A77" t="s">
        <v>718</v>
      </c>
      <c r="B77">
        <v>13</v>
      </c>
      <c r="C77">
        <v>0</v>
      </c>
      <c r="D77">
        <v>0</v>
      </c>
      <c r="E77">
        <v>34</v>
      </c>
      <c r="F77">
        <v>0.91</v>
      </c>
      <c r="G77">
        <v>0.99</v>
      </c>
    </row>
    <row r="78" spans="1:7" ht="12.75">
      <c r="A78" t="s">
        <v>719</v>
      </c>
      <c r="B78">
        <v>12</v>
      </c>
      <c r="C78">
        <v>0</v>
      </c>
      <c r="D78">
        <v>0</v>
      </c>
      <c r="E78">
        <v>41</v>
      </c>
      <c r="F78">
        <v>0.91</v>
      </c>
      <c r="G78">
        <v>0.99</v>
      </c>
    </row>
    <row r="79" spans="1:13" ht="12.75">
      <c r="A79" t="s">
        <v>720</v>
      </c>
      <c r="B79">
        <v>8</v>
      </c>
      <c r="C79">
        <v>2</v>
      </c>
      <c r="D79">
        <v>33</v>
      </c>
      <c r="E79">
        <v>27</v>
      </c>
      <c r="F79">
        <v>0.798</v>
      </c>
      <c r="G79">
        <v>0.95</v>
      </c>
      <c r="H79">
        <v>0</v>
      </c>
      <c r="I79">
        <v>0.04</v>
      </c>
      <c r="J79">
        <v>14.4</v>
      </c>
      <c r="K79">
        <v>50</v>
      </c>
      <c r="L79">
        <v>16.5</v>
      </c>
      <c r="M79">
        <v>63</v>
      </c>
    </row>
    <row r="80" spans="1:13" ht="12.75">
      <c r="A80" t="s">
        <v>721</v>
      </c>
      <c r="B80">
        <v>6</v>
      </c>
      <c r="C80">
        <v>1.5</v>
      </c>
      <c r="D80">
        <v>0</v>
      </c>
      <c r="E80">
        <v>30</v>
      </c>
      <c r="F80">
        <v>0.798</v>
      </c>
      <c r="G80">
        <v>0.95</v>
      </c>
      <c r="H80">
        <v>0</v>
      </c>
      <c r="I80">
        <v>0.07</v>
      </c>
      <c r="J80">
        <v>11</v>
      </c>
      <c r="K80">
        <v>52</v>
      </c>
      <c r="L80">
        <v>14.4</v>
      </c>
      <c r="M80">
        <v>71</v>
      </c>
    </row>
    <row r="81" spans="1:13" ht="12.75">
      <c r="A81" t="s">
        <v>722</v>
      </c>
      <c r="B81">
        <v>5</v>
      </c>
      <c r="C81">
        <v>1</v>
      </c>
      <c r="D81">
        <v>24</v>
      </c>
      <c r="E81">
        <v>27</v>
      </c>
      <c r="F81">
        <v>0.798</v>
      </c>
      <c r="G81">
        <v>0.95</v>
      </c>
      <c r="H81">
        <v>0</v>
      </c>
      <c r="I81">
        <v>0.11</v>
      </c>
      <c r="J81">
        <v>8.3</v>
      </c>
      <c r="K81">
        <v>50</v>
      </c>
      <c r="L81">
        <v>11.9</v>
      </c>
      <c r="M81">
        <v>73</v>
      </c>
    </row>
    <row r="82" spans="1:13" ht="12.75">
      <c r="A82" t="s">
        <v>724</v>
      </c>
      <c r="B82">
        <v>6</v>
      </c>
      <c r="C82">
        <v>2</v>
      </c>
      <c r="D82">
        <v>21</v>
      </c>
      <c r="E82">
        <v>25</v>
      </c>
      <c r="F82">
        <v>0.798</v>
      </c>
      <c r="G82">
        <v>0.95</v>
      </c>
      <c r="H82">
        <v>0</v>
      </c>
      <c r="I82">
        <v>0.04</v>
      </c>
      <c r="J82">
        <v>10.4</v>
      </c>
      <c r="K82">
        <v>57</v>
      </c>
      <c r="L82">
        <v>11.4</v>
      </c>
      <c r="M82">
        <v>66</v>
      </c>
    </row>
    <row r="83" spans="1:13" ht="12.75">
      <c r="A83" t="s">
        <v>725</v>
      </c>
      <c r="B83">
        <v>6</v>
      </c>
      <c r="C83">
        <v>1.5</v>
      </c>
      <c r="D83">
        <v>0</v>
      </c>
      <c r="E83">
        <v>30</v>
      </c>
      <c r="F83">
        <v>0.798</v>
      </c>
      <c r="G83">
        <v>0.95</v>
      </c>
      <c r="H83">
        <v>0</v>
      </c>
      <c r="I83">
        <v>0.07</v>
      </c>
      <c r="J83">
        <v>11</v>
      </c>
      <c r="K83">
        <v>52</v>
      </c>
      <c r="L83">
        <v>14.4</v>
      </c>
      <c r="M83">
        <v>71</v>
      </c>
    </row>
    <row r="84" spans="1:13" ht="12.75">
      <c r="A84" t="s">
        <v>726</v>
      </c>
      <c r="B84">
        <v>5</v>
      </c>
      <c r="C84">
        <v>1</v>
      </c>
      <c r="D84">
        <v>35</v>
      </c>
      <c r="E84">
        <v>29</v>
      </c>
      <c r="F84">
        <v>0.798</v>
      </c>
      <c r="G84">
        <v>0.95</v>
      </c>
      <c r="H84">
        <v>0</v>
      </c>
      <c r="I84">
        <v>0.12</v>
      </c>
      <c r="J84">
        <v>8.7</v>
      </c>
      <c r="K84">
        <v>50</v>
      </c>
      <c r="L84">
        <v>15.1</v>
      </c>
      <c r="M84">
        <v>77</v>
      </c>
    </row>
    <row r="85" spans="1:7" ht="12.75">
      <c r="A85" t="s">
        <v>727</v>
      </c>
      <c r="B85">
        <v>9</v>
      </c>
      <c r="C85">
        <v>0</v>
      </c>
      <c r="D85">
        <v>28</v>
      </c>
      <c r="E85">
        <v>33</v>
      </c>
      <c r="F85">
        <v>0.798</v>
      </c>
      <c r="G85">
        <v>0.95</v>
      </c>
    </row>
    <row r="86" spans="1:7" ht="12.75">
      <c r="A86" t="s">
        <v>728</v>
      </c>
      <c r="B86">
        <v>6</v>
      </c>
      <c r="C86">
        <v>0</v>
      </c>
      <c r="D86">
        <v>0</v>
      </c>
      <c r="E86">
        <v>33</v>
      </c>
      <c r="F86">
        <v>0.798</v>
      </c>
      <c r="G86">
        <v>0.95</v>
      </c>
    </row>
    <row r="87" spans="1:13" ht="12.75">
      <c r="A87" t="s">
        <v>729</v>
      </c>
      <c r="B87">
        <v>6</v>
      </c>
      <c r="C87">
        <v>1.5</v>
      </c>
      <c r="D87">
        <v>18</v>
      </c>
      <c r="E87">
        <v>31</v>
      </c>
      <c r="F87">
        <v>0.798</v>
      </c>
      <c r="G87">
        <v>0.95</v>
      </c>
      <c r="H87">
        <v>0</v>
      </c>
      <c r="I87">
        <v>0.05</v>
      </c>
      <c r="J87">
        <v>9.2</v>
      </c>
      <c r="K87">
        <v>52</v>
      </c>
      <c r="L87">
        <v>10.2</v>
      </c>
      <c r="M87">
        <v>63</v>
      </c>
    </row>
    <row r="88" spans="1:13" ht="12.75">
      <c r="A88" t="s">
        <v>730</v>
      </c>
      <c r="B88">
        <v>5</v>
      </c>
      <c r="C88">
        <v>1.5</v>
      </c>
      <c r="D88">
        <v>24</v>
      </c>
      <c r="E88">
        <v>26</v>
      </c>
      <c r="F88">
        <v>0.798</v>
      </c>
      <c r="G88">
        <v>0.95</v>
      </c>
      <c r="H88">
        <v>0</v>
      </c>
      <c r="I88">
        <v>0.08</v>
      </c>
      <c r="J88">
        <v>9.3</v>
      </c>
      <c r="K88">
        <v>57</v>
      </c>
      <c r="L88">
        <v>11.9</v>
      </c>
      <c r="M88">
        <v>73</v>
      </c>
    </row>
    <row r="89" spans="3:9" ht="12.75">
      <c r="C89">
        <f>COUNT(C2:C88)</f>
        <v>87</v>
      </c>
      <c r="I89">
        <f>COUNT(I2:I88)</f>
        <v>58</v>
      </c>
    </row>
    <row r="91" spans="3:6" ht="12.75">
      <c r="C91" t="s">
        <v>99</v>
      </c>
      <c r="F91">
        <f>C89-I89</f>
        <v>29</v>
      </c>
    </row>
  </sheetData>
  <printOptions/>
  <pageMargins left="0.75" right="0.75" top="1" bottom="1" header="0.5" footer="0.5"/>
  <pageSetup orientation="portrait" r:id="rId2"/>
  <drawing r:id="rId1"/>
</worksheet>
</file>

<file path=xl/worksheets/sheet7.xml><?xml version="1.0" encoding="utf-8"?>
<worksheet xmlns="http://schemas.openxmlformats.org/spreadsheetml/2006/main" xmlns:r="http://schemas.openxmlformats.org/officeDocument/2006/relationships">
  <dimension ref="A1:W90"/>
  <sheetViews>
    <sheetView workbookViewId="0" topLeftCell="A1">
      <selection activeCell="I19" sqref="I19"/>
    </sheetView>
  </sheetViews>
  <sheetFormatPr defaultColWidth="9.140625" defaultRowHeight="12.75"/>
  <cols>
    <col min="1" max="1" width="24.140625" style="0" customWidth="1"/>
    <col min="2" max="2" width="9.00390625" style="0" customWidth="1"/>
    <col min="3" max="3" width="7.00390625" style="0" customWidth="1"/>
    <col min="4" max="4" width="7.28125" style="0" customWidth="1"/>
    <col min="7" max="7" width="12.28125" style="0" customWidth="1"/>
    <col min="8" max="10" width="13.140625" style="0" customWidth="1"/>
    <col min="11" max="14" width="14.421875" style="0" customWidth="1"/>
    <col min="15" max="15" width="14.57421875" style="0" customWidth="1"/>
  </cols>
  <sheetData>
    <row r="1" spans="1:22" ht="12.75">
      <c r="A1" t="s">
        <v>587</v>
      </c>
      <c r="B1" t="s">
        <v>588</v>
      </c>
      <c r="C1" t="s">
        <v>795</v>
      </c>
      <c r="D1" t="s">
        <v>572</v>
      </c>
      <c r="E1" t="s">
        <v>796</v>
      </c>
      <c r="F1" t="s">
        <v>807</v>
      </c>
      <c r="G1" t="s">
        <v>347</v>
      </c>
      <c r="H1" t="s">
        <v>711</v>
      </c>
      <c r="I1" t="s">
        <v>713</v>
      </c>
      <c r="J1" t="s">
        <v>712</v>
      </c>
      <c r="K1" t="s">
        <v>714</v>
      </c>
      <c r="L1" t="s">
        <v>715</v>
      </c>
      <c r="U1" s="57"/>
      <c r="V1" s="57"/>
    </row>
    <row r="2" spans="1:23" ht="12.75">
      <c r="A2" t="s">
        <v>590</v>
      </c>
      <c r="B2">
        <f>GEN_CET!C2-GEN_CET5!B2</f>
        <v>0</v>
      </c>
      <c r="C2">
        <f>GEN_CET!D2-GEN_CET5!C2</f>
        <v>0</v>
      </c>
      <c r="D2">
        <f>GEN_CET!E2-GEN_CET5!D2</f>
        <v>0</v>
      </c>
      <c r="E2">
        <f>GEN_CET!F2-GEN_CET5!E2</f>
        <v>3</v>
      </c>
      <c r="F2">
        <f>GEN_CET!G2-GEN_CET5!F2</f>
        <v>0.07679999999999998</v>
      </c>
      <c r="G2">
        <f>GEN_CET!H2-GEN_CET5!G2</f>
        <v>0</v>
      </c>
      <c r="H2">
        <f>GEN_CET!I2-GEN_CET5!I2</f>
        <v>0.010000000000000009</v>
      </c>
      <c r="I2">
        <f>GEN_CET!J2-GEN_CET5!J2</f>
        <v>-0.3000000000000007</v>
      </c>
      <c r="J2">
        <f>GEN_CET!K2-GEN_CET5!K2</f>
        <v>-1</v>
      </c>
      <c r="K2">
        <f>GEN_CET!L2-GEN_CET5!L2</f>
        <v>0.6999999999999993</v>
      </c>
      <c r="L2">
        <f>GEN_CET!M2-GEN_CET5!M2</f>
        <v>1</v>
      </c>
      <c r="V2" s="54"/>
      <c r="W2" s="55"/>
    </row>
    <row r="3" spans="1:23" ht="12.75">
      <c r="A3" t="s">
        <v>591</v>
      </c>
      <c r="B3">
        <f>GEN_CET!C3-GEN_CET5!B3</f>
        <v>0</v>
      </c>
      <c r="C3">
        <f>GEN_CET!D3-GEN_CET5!C3</f>
        <v>0</v>
      </c>
      <c r="D3">
        <f>GEN_CET!E3-GEN_CET5!D3</f>
        <v>0</v>
      </c>
      <c r="E3">
        <f>GEN_CET!F3-GEN_CET5!E3</f>
        <v>3</v>
      </c>
      <c r="F3">
        <f>GEN_CET!G3-GEN_CET5!F3</f>
        <v>0.07679999999999998</v>
      </c>
      <c r="G3">
        <f>GEN_CET!H3-GEN_CET5!G3</f>
        <v>0</v>
      </c>
      <c r="H3">
        <f>GEN_CET!I3-GEN_CET5!I3</f>
        <v>0.009999999999999995</v>
      </c>
      <c r="I3">
        <f>GEN_CET!J3-GEN_CET5!J3</f>
        <v>-0.29999999999999893</v>
      </c>
      <c r="J3">
        <f>GEN_CET!K3-GEN_CET5!K3</f>
        <v>-1</v>
      </c>
      <c r="K3">
        <f>GEN_CET!L3-GEN_CET5!L3</f>
        <v>0.6999999999999993</v>
      </c>
      <c r="L3">
        <f>GEN_CET!M3-GEN_CET5!M3</f>
        <v>1</v>
      </c>
      <c r="V3" s="54"/>
      <c r="W3" s="55"/>
    </row>
    <row r="4" spans="1:23" ht="12.75">
      <c r="A4" t="s">
        <v>601</v>
      </c>
      <c r="B4">
        <f>GEN_CET!C4-GEN_CET5!B4</f>
        <v>0</v>
      </c>
      <c r="C4">
        <f>GEN_CET!D4-GEN_CET5!C4</f>
        <v>0</v>
      </c>
      <c r="D4">
        <f>GEN_CET!E4-GEN_CET5!D4</f>
        <v>0</v>
      </c>
      <c r="E4">
        <f>GEN_CET!F4-GEN_CET5!E4</f>
        <v>3</v>
      </c>
      <c r="F4">
        <f>GEN_CET!G4-GEN_CET5!F4</f>
        <v>0.07679999999999998</v>
      </c>
      <c r="G4">
        <f>GEN_CET!H4-GEN_CET5!G4</f>
        <v>0</v>
      </c>
      <c r="H4">
        <f>GEN_CET!I4-GEN_CET5!I4</f>
        <v>0</v>
      </c>
      <c r="I4">
        <f>GEN_CET!J4-GEN_CET5!J4</f>
        <v>-0.3999999999999986</v>
      </c>
      <c r="J4">
        <f>GEN_CET!K4-GEN_CET5!K4</f>
        <v>-1</v>
      </c>
      <c r="K4">
        <f>GEN_CET!L4-GEN_CET5!L4</f>
        <v>0</v>
      </c>
      <c r="L4">
        <f>GEN_CET!M4-GEN_CET5!M4</f>
        <v>0</v>
      </c>
      <c r="V4" s="54"/>
      <c r="W4" s="55"/>
    </row>
    <row r="5" spans="1:23" ht="12.75">
      <c r="A5" t="s">
        <v>602</v>
      </c>
      <c r="B5">
        <f>GEN_CET!C5-GEN_CET5!B5</f>
        <v>0</v>
      </c>
      <c r="C5">
        <f>GEN_CET!D5-GEN_CET5!C5</f>
        <v>0</v>
      </c>
      <c r="D5">
        <f>GEN_CET!E5-GEN_CET5!D5</f>
        <v>0</v>
      </c>
      <c r="E5">
        <f>GEN_CET!F5-GEN_CET5!E5</f>
        <v>3</v>
      </c>
      <c r="F5">
        <f>GEN_CET!G5-GEN_CET5!F5</f>
        <v>0</v>
      </c>
      <c r="G5">
        <f>GEN_CET!H5-GEN_CET5!G5</f>
        <v>0</v>
      </c>
      <c r="H5">
        <f>GEN_CET!I5-GEN_CET5!I5</f>
        <v>0</v>
      </c>
      <c r="I5">
        <f>GEN_CET!J5-GEN_CET5!J5</f>
        <v>0.1999999999999993</v>
      </c>
      <c r="J5">
        <f>GEN_CET!K5-GEN_CET5!K5</f>
        <v>0</v>
      </c>
      <c r="K5">
        <f>GEN_CET!L5-GEN_CET5!L5</f>
        <v>0.20000000000000284</v>
      </c>
      <c r="L5">
        <f>GEN_CET!M5-GEN_CET5!M5</f>
        <v>1</v>
      </c>
      <c r="V5" s="54"/>
      <c r="W5" s="55"/>
    </row>
    <row r="6" spans="1:23" ht="12.75">
      <c r="A6" t="s">
        <v>603</v>
      </c>
      <c r="B6">
        <f>GEN_CET!C6-GEN_CET5!B6</f>
        <v>0</v>
      </c>
      <c r="C6">
        <f>GEN_CET!D6-GEN_CET5!C6</f>
        <v>0</v>
      </c>
      <c r="D6">
        <f>GEN_CET!E6-GEN_CET5!D6</f>
        <v>0</v>
      </c>
      <c r="E6">
        <f>GEN_CET!F6-GEN_CET5!E6</f>
        <v>2</v>
      </c>
      <c r="F6">
        <f>GEN_CET!G6-GEN_CET5!F6</f>
        <v>0.03359999999999996</v>
      </c>
      <c r="G6">
        <f>GEN_CET!H6-GEN_CET5!G6</f>
        <v>-0.03499999999999992</v>
      </c>
      <c r="H6">
        <f>GEN_CET!I6-GEN_CET5!I6</f>
        <v>-0.04</v>
      </c>
      <c r="I6">
        <f>GEN_CET!J6-GEN_CET5!J6</f>
        <v>-0.3000000000000007</v>
      </c>
      <c r="J6">
        <f>GEN_CET!K6-GEN_CET5!K6</f>
        <v>-1</v>
      </c>
      <c r="K6">
        <f>GEN_CET!L6-GEN_CET5!L6</f>
        <v>-4.899999999999999</v>
      </c>
      <c r="L6">
        <f>GEN_CET!M6-GEN_CET5!M6</f>
        <v>-15</v>
      </c>
      <c r="V6" s="54"/>
      <c r="W6" s="55"/>
    </row>
    <row r="7" spans="1:23" ht="12.75">
      <c r="A7" t="s">
        <v>604</v>
      </c>
      <c r="B7">
        <f>GEN_CET!C7-GEN_CET5!B7</f>
        <v>0</v>
      </c>
      <c r="C7">
        <f>GEN_CET!D7-GEN_CET5!C7</f>
        <v>0</v>
      </c>
      <c r="D7">
        <f>GEN_CET!E7-GEN_CET5!D7</f>
        <v>0</v>
      </c>
      <c r="E7">
        <f>GEN_CET!F7-GEN_CET5!E7</f>
        <v>4</v>
      </c>
      <c r="F7">
        <f>GEN_CET!G7-GEN_CET5!F7</f>
        <v>0.07679999999999998</v>
      </c>
      <c r="G7">
        <f>GEN_CET!H7-GEN_CET5!G7</f>
        <v>0</v>
      </c>
      <c r="H7">
        <f>GEN_CET!I7-GEN_CET5!I7</f>
        <v>0</v>
      </c>
      <c r="I7">
        <f>GEN_CET!J7-GEN_CET5!J7</f>
        <v>-0.40000000000000213</v>
      </c>
      <c r="J7">
        <f>GEN_CET!K7-GEN_CET5!K7</f>
        <v>-2</v>
      </c>
      <c r="K7">
        <f>GEN_CET!L7-GEN_CET5!L7</f>
        <v>0.7000000000000028</v>
      </c>
      <c r="L7">
        <f>GEN_CET!M7-GEN_CET5!M7</f>
        <v>1</v>
      </c>
      <c r="V7" s="54"/>
      <c r="W7" s="55"/>
    </row>
    <row r="8" spans="1:23" ht="12.75">
      <c r="A8" t="s">
        <v>607</v>
      </c>
      <c r="B8">
        <f>GEN_CET!C8-GEN_CET5!B8</f>
        <v>0</v>
      </c>
      <c r="C8">
        <f>GEN_CET!D8-GEN_CET5!C8</f>
        <v>0</v>
      </c>
      <c r="D8">
        <f>GEN_CET!E8-GEN_CET5!D8</f>
        <v>0</v>
      </c>
      <c r="E8">
        <f>GEN_CET!F8-GEN_CET5!E8</f>
        <v>4</v>
      </c>
      <c r="F8">
        <f>GEN_CET!G8-GEN_CET5!F8</f>
        <v>0.07800000000000007</v>
      </c>
      <c r="G8">
        <f>GEN_CET!H8-GEN_CET5!G8</f>
        <v>0</v>
      </c>
      <c r="H8">
        <f>GEN_CET!I8-GEN_CET5!I8</f>
        <v>0</v>
      </c>
      <c r="I8">
        <f>GEN_CET!J8-GEN_CET5!J8</f>
        <v>-0.3999999999999986</v>
      </c>
      <c r="J8">
        <f>GEN_CET!K8-GEN_CET5!K8</f>
        <v>-2</v>
      </c>
      <c r="K8">
        <f>GEN_CET!L8-GEN_CET5!L8</f>
        <v>1.0999999999999979</v>
      </c>
      <c r="L8">
        <f>GEN_CET!M8-GEN_CET5!M8</f>
        <v>1</v>
      </c>
      <c r="V8" s="54"/>
      <c r="W8" s="55"/>
    </row>
    <row r="9" spans="1:23" ht="12.75">
      <c r="A9" t="s">
        <v>609</v>
      </c>
      <c r="B9">
        <f>GEN_CET!C9-GEN_CET5!B9</f>
        <v>0</v>
      </c>
      <c r="C9">
        <f>GEN_CET!D9-GEN_CET5!C9</f>
        <v>0</v>
      </c>
      <c r="D9">
        <f>GEN_CET!E9-GEN_CET5!D9</f>
        <v>0</v>
      </c>
      <c r="E9">
        <f>GEN_CET!F9-GEN_CET5!E9</f>
        <v>3</v>
      </c>
      <c r="F9">
        <f>GEN_CET!G9-GEN_CET5!F9</f>
        <v>0</v>
      </c>
      <c r="G9">
        <f>GEN_CET!H9-GEN_CET5!G9</f>
        <v>0</v>
      </c>
      <c r="H9">
        <f>GEN_CET!I9-GEN_CET5!I9</f>
        <v>0</v>
      </c>
      <c r="I9">
        <f>GEN_CET!J9-GEN_CET5!J9</f>
        <v>0.09999999999999964</v>
      </c>
      <c r="J9">
        <f>GEN_CET!K9-GEN_CET5!K9</f>
        <v>0</v>
      </c>
      <c r="K9">
        <f>GEN_CET!L9-GEN_CET5!L9</f>
        <v>0.6000000000000014</v>
      </c>
      <c r="L9">
        <f>GEN_CET!M9-GEN_CET5!M9</f>
        <v>0</v>
      </c>
      <c r="V9" s="54"/>
      <c r="W9" s="55"/>
    </row>
    <row r="10" spans="1:23" ht="12.75">
      <c r="A10" t="s">
        <v>624</v>
      </c>
      <c r="B10">
        <f>GEN_CET!C10-GEN_CET5!B10</f>
        <v>0</v>
      </c>
      <c r="C10">
        <f>GEN_CET!D10-GEN_CET5!C10</f>
        <v>0</v>
      </c>
      <c r="D10">
        <f>GEN_CET!E10-GEN_CET5!D10</f>
        <v>0</v>
      </c>
      <c r="E10">
        <f>GEN_CET!F10-GEN_CET5!E10</f>
        <v>1</v>
      </c>
      <c r="F10">
        <f>GEN_CET!G10-GEN_CET5!F10</f>
        <v>0</v>
      </c>
      <c r="G10">
        <f>GEN_CET!H10-GEN_CET5!G10</f>
        <v>0</v>
      </c>
      <c r="H10">
        <f>GEN_CET!I10-GEN_CET5!I10</f>
        <v>0</v>
      </c>
      <c r="I10">
        <f>GEN_CET!J10-GEN_CET5!J10</f>
        <v>0</v>
      </c>
      <c r="J10">
        <f>GEN_CET!K10-GEN_CET5!K10</f>
        <v>0</v>
      </c>
      <c r="K10">
        <f>GEN_CET!L10-GEN_CET5!L10</f>
        <v>0</v>
      </c>
      <c r="L10">
        <f>GEN_CET!M10-GEN_CET5!M10</f>
        <v>0</v>
      </c>
      <c r="V10" s="54"/>
      <c r="W10" s="55"/>
    </row>
    <row r="11" spans="1:23" ht="12.75">
      <c r="A11" t="s">
        <v>625</v>
      </c>
      <c r="B11">
        <f>GEN_CET!C11-GEN_CET5!B11</f>
        <v>0</v>
      </c>
      <c r="C11">
        <f>GEN_CET!D11-GEN_CET5!C11</f>
        <v>0</v>
      </c>
      <c r="D11">
        <f>GEN_CET!E11-GEN_CET5!D11</f>
        <v>0</v>
      </c>
      <c r="E11">
        <f>GEN_CET!F11-GEN_CET5!E11</f>
        <v>3</v>
      </c>
      <c r="F11">
        <f>GEN_CET!G11-GEN_CET5!F11</f>
        <v>0</v>
      </c>
      <c r="G11">
        <f>GEN_CET!H11-GEN_CET5!G11</f>
        <v>0</v>
      </c>
      <c r="H11">
        <f>GEN_CET!I11-GEN_CET5!I11</f>
        <v>0</v>
      </c>
      <c r="I11">
        <f>GEN_CET!J11-GEN_CET5!J11</f>
        <v>0.1999999999999993</v>
      </c>
      <c r="J11">
        <f>GEN_CET!K11-GEN_CET5!K11</f>
        <v>0</v>
      </c>
      <c r="K11">
        <f>GEN_CET!L11-GEN_CET5!L11</f>
        <v>0.40000000000000213</v>
      </c>
      <c r="L11">
        <f>GEN_CET!M11-GEN_CET5!M11</f>
        <v>0</v>
      </c>
      <c r="V11" s="54"/>
      <c r="W11" s="55"/>
    </row>
    <row r="12" spans="1:23" ht="12.75">
      <c r="A12" t="s">
        <v>627</v>
      </c>
      <c r="B12">
        <f>GEN_CET!C12-GEN_CET5!B12</f>
        <v>0</v>
      </c>
      <c r="C12">
        <f>GEN_CET!D12-GEN_CET5!C12</f>
        <v>0</v>
      </c>
      <c r="D12">
        <f>GEN_CET!E12-GEN_CET5!D12</f>
        <v>0</v>
      </c>
      <c r="E12">
        <f>GEN_CET!F12-GEN_CET5!E12</f>
        <v>3</v>
      </c>
      <c r="F12">
        <f>GEN_CET!G12-GEN_CET5!F12</f>
        <v>0.07839999999999991</v>
      </c>
      <c r="G12">
        <f>GEN_CET!H12-GEN_CET5!G12</f>
        <v>0</v>
      </c>
      <c r="H12">
        <f>GEN_CET!I12-GEN_CET5!I12</f>
        <v>0</v>
      </c>
      <c r="I12">
        <f>GEN_CET!J12-GEN_CET5!J12</f>
        <v>-0.8000000000000043</v>
      </c>
      <c r="J12">
        <f>GEN_CET!K12-GEN_CET5!K12</f>
        <v>-2</v>
      </c>
      <c r="K12">
        <f>GEN_CET!L12-GEN_CET5!L12</f>
        <v>0</v>
      </c>
      <c r="L12">
        <f>GEN_CET!M12-GEN_CET5!M12</f>
        <v>0</v>
      </c>
      <c r="V12" s="54"/>
      <c r="W12" s="55"/>
    </row>
    <row r="13" spans="1:23" ht="12.75">
      <c r="A13" t="s">
        <v>628</v>
      </c>
      <c r="B13">
        <f>GEN_CET!C13-GEN_CET5!B13</f>
        <v>0</v>
      </c>
      <c r="C13">
        <f>GEN_CET!D13-GEN_CET5!C13</f>
        <v>0</v>
      </c>
      <c r="D13">
        <f>GEN_CET!E13-GEN_CET5!D13</f>
        <v>0</v>
      </c>
      <c r="E13">
        <f>GEN_CET!F13-GEN_CET5!E13</f>
        <v>3</v>
      </c>
      <c r="F13">
        <f>GEN_CET!G13-GEN_CET5!F13</f>
        <v>0</v>
      </c>
      <c r="G13">
        <f>GEN_CET!H13-GEN_CET5!G13</f>
        <v>0</v>
      </c>
      <c r="H13">
        <f>GEN_CET!I13-GEN_CET5!I13</f>
        <v>0</v>
      </c>
      <c r="I13">
        <f>GEN_CET!J13-GEN_CET5!J13</f>
        <v>0.09999999999999787</v>
      </c>
      <c r="J13">
        <f>GEN_CET!K13-GEN_CET5!K13</f>
        <v>0</v>
      </c>
      <c r="K13">
        <f>GEN_CET!L13-GEN_CET5!L13</f>
        <v>1.0999999999999979</v>
      </c>
      <c r="L13">
        <f>GEN_CET!M13-GEN_CET5!M13</f>
        <v>1</v>
      </c>
      <c r="V13" s="54"/>
      <c r="W13" s="55"/>
    </row>
    <row r="14" spans="1:23" ht="12.75">
      <c r="A14" t="s">
        <v>629</v>
      </c>
      <c r="B14">
        <f>GEN_CET!C14-GEN_CET5!B14</f>
        <v>0</v>
      </c>
      <c r="C14">
        <f>GEN_CET!D14-GEN_CET5!C14</f>
        <v>0</v>
      </c>
      <c r="D14">
        <f>GEN_CET!E14-GEN_CET5!D14</f>
        <v>0</v>
      </c>
      <c r="E14">
        <f>GEN_CET!F14-GEN_CET5!E14</f>
        <v>4</v>
      </c>
      <c r="F14">
        <f>GEN_CET!G14-GEN_CET5!F14</f>
        <v>0</v>
      </c>
      <c r="G14">
        <f>GEN_CET!H14-GEN_CET5!G14</f>
        <v>0</v>
      </c>
      <c r="H14">
        <f>GEN_CET!I14-GEN_CET5!I14</f>
        <v>0</v>
      </c>
      <c r="I14">
        <f>GEN_CET!J14-GEN_CET5!J14</f>
        <v>0</v>
      </c>
      <c r="J14">
        <f>GEN_CET!K14-GEN_CET5!K14</f>
        <v>0</v>
      </c>
      <c r="K14">
        <f>GEN_CET!L14-GEN_CET5!L14</f>
        <v>0</v>
      </c>
      <c r="L14">
        <f>GEN_CET!M14-GEN_CET5!M14</f>
        <v>0</v>
      </c>
      <c r="V14" s="54"/>
      <c r="W14" s="55"/>
    </row>
    <row r="15" spans="1:23" ht="12.75">
      <c r="A15" t="s">
        <v>630</v>
      </c>
      <c r="B15">
        <f>GEN_CET!C15-GEN_CET5!B15</f>
        <v>0</v>
      </c>
      <c r="C15">
        <f>GEN_CET!D15-GEN_CET5!C15</f>
        <v>0</v>
      </c>
      <c r="D15">
        <f>GEN_CET!E15-GEN_CET5!D15</f>
        <v>0</v>
      </c>
      <c r="E15">
        <f>GEN_CET!F15-GEN_CET5!E15</f>
        <v>3</v>
      </c>
      <c r="F15">
        <f>GEN_CET!G15-GEN_CET5!F15</f>
        <v>0.01212000000000002</v>
      </c>
      <c r="G15">
        <f>GEN_CET!H15-GEN_CET5!G15</f>
        <v>-0.0020000000000000018</v>
      </c>
      <c r="H15">
        <f>GEN_CET!I15-GEN_CET5!I15</f>
        <v>0</v>
      </c>
      <c r="I15">
        <f>GEN_CET!J15-GEN_CET5!J15</f>
        <v>0.1999999999999993</v>
      </c>
      <c r="J15">
        <f>GEN_CET!K15-GEN_CET5!K15</f>
        <v>0</v>
      </c>
      <c r="K15">
        <f>GEN_CET!L15-GEN_CET5!L15</f>
        <v>0.6999999999999993</v>
      </c>
      <c r="L15">
        <f>GEN_CET!M15-GEN_CET5!M15</f>
        <v>-1</v>
      </c>
      <c r="V15" s="54"/>
      <c r="W15" s="55"/>
    </row>
    <row r="16" spans="1:23" ht="12.75">
      <c r="A16" t="s">
        <v>631</v>
      </c>
      <c r="B16">
        <f>GEN_CET!C16-GEN_CET5!B16</f>
        <v>0</v>
      </c>
      <c r="C16">
        <f>GEN_CET!D16-GEN_CET5!C16</f>
        <v>0</v>
      </c>
      <c r="D16">
        <f>GEN_CET!E16-GEN_CET5!D16</f>
        <v>0</v>
      </c>
      <c r="E16">
        <f>GEN_CET!F16-GEN_CET5!E16</f>
        <v>3</v>
      </c>
      <c r="F16">
        <f>GEN_CET!G16-GEN_CET5!F16</f>
        <v>0.08519999999999994</v>
      </c>
      <c r="G16">
        <f>GEN_CET!H16-GEN_CET5!G16</f>
        <v>0.010000000000000009</v>
      </c>
      <c r="H16">
        <f>GEN_CET!I16-GEN_CET5!I16</f>
        <v>0.009999999999999998</v>
      </c>
      <c r="I16">
        <f>GEN_CET!J16-GEN_CET5!J16</f>
        <v>0</v>
      </c>
      <c r="J16">
        <f>GEN_CET!K16-GEN_CET5!K16</f>
        <v>-1</v>
      </c>
      <c r="K16">
        <f>GEN_CET!L16-GEN_CET5!L16</f>
        <v>1.9000000000000021</v>
      </c>
      <c r="L16">
        <f>GEN_CET!M16-GEN_CET5!M16</f>
        <v>6</v>
      </c>
      <c r="V16" s="54"/>
      <c r="W16" s="55"/>
    </row>
    <row r="17" spans="1:23" ht="13.5" thickBot="1">
      <c r="A17" t="s">
        <v>632</v>
      </c>
      <c r="B17">
        <f>GEN_CET!C17-GEN_CET5!B17</f>
        <v>0</v>
      </c>
      <c r="C17">
        <f>GEN_CET!D17-GEN_CET5!C17</f>
        <v>0</v>
      </c>
      <c r="D17">
        <f>GEN_CET!E17-GEN_CET5!D17</f>
        <v>17</v>
      </c>
      <c r="E17">
        <f>GEN_CET!F17-GEN_CET5!E17</f>
        <v>3</v>
      </c>
      <c r="F17">
        <f>GEN_CET!G17-GEN_CET5!F17</f>
        <v>0.10072000000000003</v>
      </c>
      <c r="G17">
        <f>GEN_CET!H17-GEN_CET5!G17</f>
        <v>0.026000000000000023</v>
      </c>
      <c r="H17">
        <f>GEN_CET!I17-GEN_CET5!I17</f>
        <v>0.03</v>
      </c>
      <c r="I17">
        <f>GEN_CET!J17-GEN_CET5!J17</f>
        <v>0.7000000000000028</v>
      </c>
      <c r="J17">
        <f>GEN_CET!K17-GEN_CET5!K17</f>
        <v>-1</v>
      </c>
      <c r="K17">
        <f>GEN_CET!L17-GEN_CET5!L17</f>
        <v>10.5</v>
      </c>
      <c r="L17">
        <f>GEN_CET!M17-GEN_CET5!M17</f>
        <v>21</v>
      </c>
      <c r="V17" s="56"/>
      <c r="W17" s="56"/>
    </row>
    <row r="18" spans="1:12" ht="12.75">
      <c r="A18" t="s">
        <v>633</v>
      </c>
      <c r="B18">
        <f>GEN_CET!C18-GEN_CET5!B18</f>
        <v>0</v>
      </c>
      <c r="C18">
        <f>GEN_CET!D18-GEN_CET5!C18</f>
        <v>0</v>
      </c>
      <c r="D18">
        <f>GEN_CET!E18-GEN_CET5!D18</f>
        <v>0</v>
      </c>
      <c r="E18">
        <f>GEN_CET!F18-GEN_CET5!E18</f>
        <v>3</v>
      </c>
      <c r="F18">
        <f>GEN_CET!G18-GEN_CET5!F18</f>
        <v>0.009499999999999953</v>
      </c>
      <c r="G18">
        <f>GEN_CET!H18-GEN_CET5!G18</f>
        <v>0</v>
      </c>
      <c r="H18">
        <f>GEN_CET!I18-GEN_CET5!I18</f>
        <v>0</v>
      </c>
      <c r="I18">
        <f>GEN_CET!J18-GEN_CET5!J18</f>
        <v>0</v>
      </c>
      <c r="J18">
        <f>GEN_CET!K18-GEN_CET5!K18</f>
        <v>0</v>
      </c>
      <c r="K18">
        <f>GEN_CET!L18-GEN_CET5!L18</f>
        <v>0</v>
      </c>
      <c r="L18">
        <f>GEN_CET!M18-GEN_CET5!M18</f>
        <v>0</v>
      </c>
    </row>
    <row r="19" spans="1:12" ht="12.75">
      <c r="A19" t="s">
        <v>634</v>
      </c>
      <c r="B19">
        <f>GEN_CET!C19-GEN_CET5!B19</f>
        <v>0</v>
      </c>
      <c r="C19">
        <f>GEN_CET!D19-GEN_CET5!C19</f>
        <v>0</v>
      </c>
      <c r="D19">
        <f>GEN_CET!E19-GEN_CET5!D19</f>
        <v>0</v>
      </c>
      <c r="E19">
        <f>GEN_CET!F19-GEN_CET5!E19</f>
        <v>1</v>
      </c>
      <c r="F19">
        <f>GEN_CET!G19-GEN_CET5!F19</f>
        <v>0.009499999999999953</v>
      </c>
      <c r="G19">
        <f>GEN_CET!H19-GEN_CET5!G19</f>
        <v>0</v>
      </c>
      <c r="H19">
        <f>GEN_CET!I19-GEN_CET5!I19</f>
        <v>0</v>
      </c>
      <c r="I19">
        <f>GEN_CET!J19-GEN_CET5!J19</f>
        <v>0.10000000000000142</v>
      </c>
      <c r="J19">
        <f>GEN_CET!K19-GEN_CET5!K19</f>
        <v>0</v>
      </c>
      <c r="K19">
        <f>GEN_CET!L19-GEN_CET5!L19</f>
        <v>0.1999999999999993</v>
      </c>
      <c r="L19">
        <f>GEN_CET!M19-GEN_CET5!M19</f>
        <v>0</v>
      </c>
    </row>
    <row r="20" spans="1:12" ht="12.75">
      <c r="A20" t="s">
        <v>635</v>
      </c>
      <c r="B20">
        <f>GEN_CET!C20-GEN_CET5!B20</f>
        <v>0</v>
      </c>
      <c r="C20">
        <f>GEN_CET!D20-GEN_CET5!C20</f>
        <v>0</v>
      </c>
      <c r="D20">
        <f>GEN_CET!E20-GEN_CET5!D20</f>
        <v>0</v>
      </c>
      <c r="E20">
        <f>GEN_CET!F20-GEN_CET5!E20</f>
        <v>-1</v>
      </c>
      <c r="F20">
        <f>GEN_CET!G20-GEN_CET5!F20</f>
        <v>0.009499999999999953</v>
      </c>
      <c r="G20">
        <f>GEN_CET!H20-GEN_CET5!G20</f>
        <v>0</v>
      </c>
      <c r="H20">
        <f>GEN_CET!I20-GEN_CET5!I20</f>
        <v>0</v>
      </c>
      <c r="I20">
        <f>GEN_CET!J20-GEN_CET5!J20</f>
        <v>0</v>
      </c>
      <c r="J20">
        <f>GEN_CET!K20-GEN_CET5!K20</f>
        <v>0</v>
      </c>
      <c r="K20">
        <f>GEN_CET!L20-GEN_CET5!L20</f>
        <v>0</v>
      </c>
      <c r="L20">
        <f>GEN_CET!M20-GEN_CET5!M20</f>
        <v>0</v>
      </c>
    </row>
    <row r="21" spans="1:12" ht="12.75">
      <c r="A21" t="s">
        <v>636</v>
      </c>
      <c r="B21">
        <f>GEN_CET!C21-GEN_CET5!B21</f>
        <v>0</v>
      </c>
      <c r="C21">
        <f>GEN_CET!D21-GEN_CET5!C21</f>
        <v>0</v>
      </c>
      <c r="D21">
        <f>GEN_CET!E21-GEN_CET5!D21</f>
        <v>0</v>
      </c>
      <c r="E21">
        <f>GEN_CET!F21-GEN_CET5!E21</f>
        <v>2</v>
      </c>
      <c r="F21">
        <f>GEN_CET!G21-GEN_CET5!F21</f>
        <v>0.009499999999999953</v>
      </c>
      <c r="G21">
        <f>GEN_CET!H21-GEN_CET5!G21</f>
        <v>0</v>
      </c>
      <c r="H21">
        <f>GEN_CET!I21-GEN_CET5!I21</f>
        <v>0</v>
      </c>
      <c r="I21">
        <f>GEN_CET!J21-GEN_CET5!J21</f>
        <v>0</v>
      </c>
      <c r="J21">
        <f>GEN_CET!K21-GEN_CET5!K21</f>
        <v>0</v>
      </c>
      <c r="K21">
        <f>GEN_CET!L21-GEN_CET5!L21</f>
        <v>0</v>
      </c>
      <c r="L21">
        <f>GEN_CET!M21-GEN_CET5!M21</f>
        <v>0</v>
      </c>
    </row>
    <row r="22" spans="1:12" ht="12.75">
      <c r="A22" t="s">
        <v>637</v>
      </c>
      <c r="B22">
        <f>GEN_CET!C22-GEN_CET5!B22</f>
        <v>0</v>
      </c>
      <c r="C22">
        <f>GEN_CET!D22-GEN_CET5!C22</f>
        <v>0</v>
      </c>
      <c r="D22">
        <f>GEN_CET!E22-GEN_CET5!D22</f>
        <v>0</v>
      </c>
      <c r="E22">
        <f>GEN_CET!F22-GEN_CET5!E22</f>
        <v>-1</v>
      </c>
      <c r="F22">
        <f>GEN_CET!G22-GEN_CET5!F22</f>
        <v>0.009499999999999953</v>
      </c>
      <c r="G22">
        <f>GEN_CET!H22-GEN_CET5!G22</f>
        <v>0</v>
      </c>
      <c r="H22">
        <f>GEN_CET!I22-GEN_CET5!I22</f>
        <v>0</v>
      </c>
      <c r="I22">
        <f>GEN_CET!J22-GEN_CET5!J22</f>
        <v>0</v>
      </c>
      <c r="J22">
        <f>GEN_CET!K22-GEN_CET5!K22</f>
        <v>0</v>
      </c>
      <c r="K22">
        <f>GEN_CET!L22-GEN_CET5!L22</f>
        <v>0</v>
      </c>
      <c r="L22">
        <f>GEN_CET!M22-GEN_CET5!M22</f>
        <v>0</v>
      </c>
    </row>
    <row r="23" spans="1:12" ht="12.75">
      <c r="A23" t="s">
        <v>638</v>
      </c>
      <c r="B23">
        <f>GEN_CET!C23-GEN_CET5!B23</f>
        <v>0</v>
      </c>
      <c r="C23">
        <f>GEN_CET!D23-GEN_CET5!C23</f>
        <v>0</v>
      </c>
      <c r="D23">
        <f>GEN_CET!E23-GEN_CET5!D23</f>
        <v>0</v>
      </c>
      <c r="E23">
        <f>GEN_CET!F23-GEN_CET5!E23</f>
        <v>1</v>
      </c>
      <c r="F23">
        <f>GEN_CET!G23-GEN_CET5!F23</f>
        <v>0.009499999999999953</v>
      </c>
      <c r="G23">
        <f>GEN_CET!H23-GEN_CET5!G23</f>
        <v>0</v>
      </c>
      <c r="H23">
        <f>GEN_CET!I23-GEN_CET5!I23</f>
        <v>0</v>
      </c>
      <c r="I23">
        <f>GEN_CET!J23-GEN_CET5!J23</f>
        <v>0</v>
      </c>
      <c r="J23">
        <f>GEN_CET!K23-GEN_CET5!K23</f>
        <v>0</v>
      </c>
      <c r="K23">
        <f>GEN_CET!L23-GEN_CET5!L23</f>
        <v>0</v>
      </c>
      <c r="L23">
        <f>GEN_CET!M23-GEN_CET5!M23</f>
        <v>0</v>
      </c>
    </row>
    <row r="24" spans="1:12" ht="12.75">
      <c r="A24" t="s">
        <v>639</v>
      </c>
      <c r="B24">
        <f>GEN_CET!C24-GEN_CET5!B24</f>
        <v>0</v>
      </c>
      <c r="C24">
        <f>GEN_CET!D24-GEN_CET5!C24</f>
        <v>0</v>
      </c>
      <c r="D24">
        <f>GEN_CET!E24-GEN_CET5!D24</f>
        <v>0</v>
      </c>
      <c r="E24">
        <f>GEN_CET!F24-GEN_CET5!E24</f>
        <v>2</v>
      </c>
      <c r="F24">
        <f>GEN_CET!G24-GEN_CET5!F24</f>
        <v>0.009499999999999953</v>
      </c>
      <c r="G24">
        <f>GEN_CET!H24-GEN_CET5!G24</f>
        <v>0</v>
      </c>
      <c r="H24">
        <f>GEN_CET!I24-GEN_CET5!I24</f>
        <v>0</v>
      </c>
      <c r="I24">
        <f>GEN_CET!J24-GEN_CET5!J24</f>
        <v>0</v>
      </c>
      <c r="J24">
        <f>GEN_CET!K24-GEN_CET5!K24</f>
        <v>0</v>
      </c>
      <c r="K24">
        <f>GEN_CET!L24-GEN_CET5!L24</f>
        <v>0</v>
      </c>
      <c r="L24">
        <f>GEN_CET!M24-GEN_CET5!M24</f>
        <v>0</v>
      </c>
    </row>
    <row r="25" spans="1:12" ht="12.75">
      <c r="A25" t="s">
        <v>640</v>
      </c>
      <c r="B25">
        <f>GEN_CET!C25-GEN_CET5!B25</f>
        <v>0</v>
      </c>
      <c r="C25">
        <f>GEN_CET!D25-GEN_CET5!C25</f>
        <v>0</v>
      </c>
      <c r="D25">
        <f>GEN_CET!E25-GEN_CET5!D25</f>
        <v>0</v>
      </c>
      <c r="E25">
        <f>GEN_CET!F25-GEN_CET5!E25</f>
        <v>2</v>
      </c>
      <c r="F25">
        <f>GEN_CET!G25-GEN_CET5!F25</f>
        <v>0.009499999999999953</v>
      </c>
      <c r="G25">
        <f>GEN_CET!H25-GEN_CET5!G25</f>
        <v>0</v>
      </c>
      <c r="H25">
        <f>GEN_CET!I25-GEN_CET5!I25</f>
        <v>0</v>
      </c>
      <c r="I25">
        <f>GEN_CET!J25-GEN_CET5!J25</f>
        <v>0</v>
      </c>
      <c r="J25">
        <f>GEN_CET!K25-GEN_CET5!K25</f>
        <v>0</v>
      </c>
      <c r="K25">
        <f>GEN_CET!L25-GEN_CET5!L25</f>
        <v>0</v>
      </c>
      <c r="L25">
        <f>GEN_CET!M25-GEN_CET5!M25</f>
        <v>0</v>
      </c>
    </row>
    <row r="26" spans="1:12" ht="12.75">
      <c r="A26" t="s">
        <v>641</v>
      </c>
      <c r="B26">
        <f>GEN_CET!C26-GEN_CET5!B26</f>
        <v>0</v>
      </c>
      <c r="C26">
        <f>GEN_CET!D26-GEN_CET5!C26</f>
        <v>0</v>
      </c>
      <c r="D26">
        <f>GEN_CET!E26-GEN_CET5!D26</f>
        <v>0</v>
      </c>
      <c r="E26">
        <f>GEN_CET!F26-GEN_CET5!E26</f>
        <v>1</v>
      </c>
      <c r="F26">
        <f>GEN_CET!G26-GEN_CET5!F26</f>
        <v>0.009499999999999953</v>
      </c>
      <c r="G26">
        <f>GEN_CET!H26-GEN_CET5!G26</f>
        <v>0</v>
      </c>
      <c r="H26">
        <f>GEN_CET!I26-GEN_CET5!I26</f>
        <v>0</v>
      </c>
      <c r="I26">
        <f>GEN_CET!J26-GEN_CET5!J26</f>
        <v>0</v>
      </c>
      <c r="J26">
        <f>GEN_CET!K26-GEN_CET5!K26</f>
        <v>0</v>
      </c>
      <c r="K26">
        <f>GEN_CET!L26-GEN_CET5!L26</f>
        <v>0</v>
      </c>
      <c r="L26">
        <f>GEN_CET!M26-GEN_CET5!M26</f>
        <v>0</v>
      </c>
    </row>
    <row r="27" spans="1:12" ht="12.75">
      <c r="A27" t="s">
        <v>642</v>
      </c>
      <c r="B27">
        <f>GEN_CET!C27-GEN_CET5!B27</f>
        <v>0</v>
      </c>
      <c r="C27">
        <f>GEN_CET!D27-GEN_CET5!C27</f>
        <v>0</v>
      </c>
      <c r="D27">
        <f>GEN_CET!E27-GEN_CET5!D27</f>
        <v>0</v>
      </c>
      <c r="E27">
        <f>GEN_CET!F27-GEN_CET5!E27</f>
        <v>1</v>
      </c>
      <c r="F27">
        <f>GEN_CET!G27-GEN_CET5!F27</f>
        <v>0.009499999999999953</v>
      </c>
      <c r="G27">
        <f>GEN_CET!H27-GEN_CET5!G27</f>
        <v>0</v>
      </c>
      <c r="H27">
        <f>GEN_CET!I27-GEN_CET5!I27</f>
        <v>0</v>
      </c>
      <c r="I27">
        <f>GEN_CET!J27-GEN_CET5!J27</f>
        <v>0</v>
      </c>
      <c r="J27">
        <f>GEN_CET!K27-GEN_CET5!K27</f>
        <v>0</v>
      </c>
      <c r="K27">
        <f>GEN_CET!L27-GEN_CET5!L27</f>
        <v>0</v>
      </c>
      <c r="L27">
        <f>GEN_CET!M27-GEN_CET5!M27</f>
        <v>0</v>
      </c>
    </row>
    <row r="28" spans="1:12" ht="12.75">
      <c r="A28" t="s">
        <v>643</v>
      </c>
      <c r="B28">
        <f>GEN_CET!C28-GEN_CET5!B28</f>
        <v>0</v>
      </c>
      <c r="C28">
        <f>GEN_CET!D28-GEN_CET5!C28</f>
        <v>0</v>
      </c>
      <c r="D28">
        <f>GEN_CET!E28-GEN_CET5!D28</f>
        <v>0</v>
      </c>
      <c r="E28">
        <f>GEN_CET!F28-GEN_CET5!E28</f>
        <v>2</v>
      </c>
      <c r="F28">
        <f>GEN_CET!G28-GEN_CET5!F28</f>
        <v>0.009499999999999953</v>
      </c>
      <c r="G28">
        <f>GEN_CET!H28-GEN_CET5!G28</f>
        <v>0</v>
      </c>
      <c r="H28">
        <f>GEN_CET!I28-GEN_CET5!I28</f>
        <v>0</v>
      </c>
      <c r="I28">
        <f>GEN_CET!J28-GEN_CET5!J28</f>
        <v>0</v>
      </c>
      <c r="J28">
        <f>GEN_CET!K28-GEN_CET5!K28</f>
        <v>0</v>
      </c>
      <c r="K28">
        <f>GEN_CET!L28-GEN_CET5!L28</f>
        <v>0</v>
      </c>
      <c r="L28">
        <f>GEN_CET!M28-GEN_CET5!M28</f>
        <v>0</v>
      </c>
    </row>
    <row r="29" spans="1:12" ht="12.75">
      <c r="A29" t="s">
        <v>644</v>
      </c>
      <c r="B29">
        <f>GEN_CET!C29-GEN_CET5!B29</f>
        <v>0</v>
      </c>
      <c r="C29">
        <f>GEN_CET!D29-GEN_CET5!C29</f>
        <v>0</v>
      </c>
      <c r="D29">
        <f>GEN_CET!E29-GEN_CET5!D29</f>
        <v>0</v>
      </c>
      <c r="E29">
        <f>GEN_CET!F29-GEN_CET5!E29</f>
        <v>1</v>
      </c>
      <c r="F29">
        <f>GEN_CET!G29-GEN_CET5!F29</f>
        <v>0.009499999999999953</v>
      </c>
      <c r="G29">
        <f>GEN_CET!H29-GEN_CET5!G29</f>
        <v>0</v>
      </c>
      <c r="H29">
        <f>GEN_CET!I29-GEN_CET5!I29</f>
        <v>0</v>
      </c>
      <c r="I29">
        <f>GEN_CET!J29-GEN_CET5!J29</f>
        <v>0</v>
      </c>
      <c r="J29">
        <f>GEN_CET!K29-GEN_CET5!K29</f>
        <v>0</v>
      </c>
      <c r="K29">
        <f>GEN_CET!L29-GEN_CET5!L29</f>
        <v>0</v>
      </c>
      <c r="L29">
        <f>GEN_CET!M29-GEN_CET5!M29</f>
        <v>0</v>
      </c>
    </row>
    <row r="30" spans="1:12" ht="12.75">
      <c r="A30" t="s">
        <v>645</v>
      </c>
      <c r="B30">
        <f>GEN_CET!C30-GEN_CET5!B30</f>
        <v>0</v>
      </c>
      <c r="C30">
        <f>GEN_CET!D30-GEN_CET5!C30</f>
        <v>0</v>
      </c>
      <c r="D30">
        <f>GEN_CET!E30-GEN_CET5!D30</f>
        <v>0</v>
      </c>
      <c r="E30">
        <f>GEN_CET!F30-GEN_CET5!E30</f>
        <v>2</v>
      </c>
      <c r="F30">
        <f>GEN_CET!G30-GEN_CET5!F30</f>
        <v>0.009499999999999953</v>
      </c>
      <c r="G30">
        <f>GEN_CET!H30-GEN_CET5!G30</f>
        <v>0</v>
      </c>
      <c r="H30">
        <f>GEN_CET!I30-GEN_CET5!I30</f>
        <v>0</v>
      </c>
      <c r="I30">
        <f>GEN_CET!J30-GEN_CET5!J30</f>
        <v>0</v>
      </c>
      <c r="J30">
        <f>GEN_CET!K30-GEN_CET5!K30</f>
        <v>0</v>
      </c>
      <c r="K30">
        <f>GEN_CET!L30-GEN_CET5!L30</f>
        <v>0</v>
      </c>
      <c r="L30">
        <f>GEN_CET!M30-GEN_CET5!M30</f>
        <v>0</v>
      </c>
    </row>
    <row r="31" spans="1:12" ht="12.75">
      <c r="A31" t="s">
        <v>646</v>
      </c>
      <c r="B31">
        <f>GEN_CET!C31-GEN_CET5!B31</f>
        <v>0</v>
      </c>
      <c r="C31">
        <f>GEN_CET!D31-GEN_CET5!C31</f>
        <v>0</v>
      </c>
      <c r="D31">
        <f>GEN_CET!E31-GEN_CET5!D31</f>
        <v>0</v>
      </c>
      <c r="E31">
        <f>GEN_CET!F31-GEN_CET5!E31</f>
        <v>2</v>
      </c>
      <c r="F31">
        <f>GEN_CET!G31-GEN_CET5!F31</f>
        <v>0.009499999999999953</v>
      </c>
      <c r="G31">
        <f>GEN_CET!H31-GEN_CET5!G31</f>
        <v>0</v>
      </c>
      <c r="H31">
        <f>GEN_CET!I31-GEN_CET5!I31</f>
        <v>0</v>
      </c>
      <c r="I31">
        <f>GEN_CET!J31-GEN_CET5!J31</f>
        <v>0</v>
      </c>
      <c r="J31">
        <f>GEN_CET!K31-GEN_CET5!K31</f>
        <v>0</v>
      </c>
      <c r="K31">
        <f>GEN_CET!L31-GEN_CET5!L31</f>
        <v>0</v>
      </c>
      <c r="L31">
        <f>GEN_CET!M31-GEN_CET5!M31</f>
        <v>0</v>
      </c>
    </row>
    <row r="32" spans="1:12" ht="12.75">
      <c r="A32" t="s">
        <v>647</v>
      </c>
      <c r="B32">
        <f>GEN_CET!C32-GEN_CET5!B32</f>
        <v>0</v>
      </c>
      <c r="C32">
        <f>GEN_CET!D32-GEN_CET5!C32</f>
        <v>0</v>
      </c>
      <c r="D32">
        <f>GEN_CET!E32-GEN_CET5!D32</f>
        <v>0</v>
      </c>
      <c r="E32">
        <f>GEN_CET!F32-GEN_CET5!E32</f>
        <v>-1</v>
      </c>
      <c r="F32">
        <f>GEN_CET!G32-GEN_CET5!F32</f>
        <v>0.009499999999999953</v>
      </c>
      <c r="G32">
        <f>GEN_CET!H32-GEN_CET5!G32</f>
        <v>0</v>
      </c>
      <c r="H32">
        <f>GEN_CET!I32-GEN_CET5!I32</f>
        <v>0</v>
      </c>
      <c r="I32">
        <f>GEN_CET!J32-GEN_CET5!J32</f>
        <v>0</v>
      </c>
      <c r="J32">
        <f>GEN_CET!K32-GEN_CET5!K32</f>
        <v>0</v>
      </c>
      <c r="K32">
        <f>GEN_CET!L32-GEN_CET5!L32</f>
        <v>0</v>
      </c>
      <c r="L32">
        <f>GEN_CET!M32-GEN_CET5!M32</f>
        <v>0</v>
      </c>
    </row>
    <row r="33" spans="1:12" ht="12.75">
      <c r="A33" t="s">
        <v>648</v>
      </c>
      <c r="B33">
        <f>GEN_CET!C33-GEN_CET5!B33</f>
        <v>0</v>
      </c>
      <c r="C33">
        <f>GEN_CET!D33-GEN_CET5!C33</f>
        <v>0</v>
      </c>
      <c r="D33">
        <f>GEN_CET!E33-GEN_CET5!D33</f>
        <v>0</v>
      </c>
      <c r="E33">
        <f>GEN_CET!F33-GEN_CET5!E33</f>
        <v>1</v>
      </c>
      <c r="F33">
        <f>GEN_CET!G33-GEN_CET5!F33</f>
        <v>0.009499999999999953</v>
      </c>
      <c r="G33">
        <f>GEN_CET!H33-GEN_CET5!G33</f>
        <v>0</v>
      </c>
      <c r="H33">
        <f>GEN_CET!I33-GEN_CET5!I33</f>
        <v>0</v>
      </c>
      <c r="I33">
        <f>GEN_CET!J33-GEN_CET5!J33</f>
        <v>0</v>
      </c>
      <c r="J33">
        <f>GEN_CET!K33-GEN_CET5!K33</f>
        <v>0</v>
      </c>
      <c r="K33">
        <f>GEN_CET!L33-GEN_CET5!L33</f>
        <v>0</v>
      </c>
      <c r="L33">
        <f>GEN_CET!M33-GEN_CET5!M33</f>
        <v>0</v>
      </c>
    </row>
    <row r="34" spans="1:12" ht="12.75">
      <c r="A34" t="s">
        <v>649</v>
      </c>
      <c r="B34">
        <f>GEN_CET!C34-GEN_CET5!B34</f>
        <v>0</v>
      </c>
      <c r="C34">
        <f>GEN_CET!D34-GEN_CET5!C34</f>
        <v>0</v>
      </c>
      <c r="D34">
        <f>GEN_CET!E34-GEN_CET5!D34</f>
        <v>0</v>
      </c>
      <c r="E34">
        <f>GEN_CET!F34-GEN_CET5!E34</f>
        <v>1</v>
      </c>
      <c r="F34">
        <f>GEN_CET!G34-GEN_CET5!F34</f>
        <v>0.009499999999999953</v>
      </c>
      <c r="G34">
        <f>GEN_CET!H34-GEN_CET5!G34</f>
        <v>0</v>
      </c>
      <c r="H34">
        <f>GEN_CET!I34-GEN_CET5!I34</f>
        <v>0</v>
      </c>
      <c r="I34">
        <f>GEN_CET!J34-GEN_CET5!J34</f>
        <v>0</v>
      </c>
      <c r="J34">
        <f>GEN_CET!K34-GEN_CET5!K34</f>
        <v>0</v>
      </c>
      <c r="K34">
        <f>GEN_CET!L34-GEN_CET5!L34</f>
        <v>0</v>
      </c>
      <c r="L34">
        <f>GEN_CET!M34-GEN_CET5!M34</f>
        <v>0</v>
      </c>
    </row>
    <row r="35" spans="1:12" ht="12.75">
      <c r="A35" t="s">
        <v>650</v>
      </c>
      <c r="B35">
        <f>GEN_CET!C35-GEN_CET5!B35</f>
        <v>0</v>
      </c>
      <c r="C35">
        <f>GEN_CET!D35-GEN_CET5!C35</f>
        <v>0</v>
      </c>
      <c r="D35">
        <f>GEN_CET!E35-GEN_CET5!D35</f>
        <v>0</v>
      </c>
      <c r="E35">
        <f>GEN_CET!F35-GEN_CET5!E35</f>
        <v>-1</v>
      </c>
      <c r="F35">
        <f>GEN_CET!G35-GEN_CET5!F35</f>
        <v>0.009499999999999953</v>
      </c>
      <c r="G35">
        <f>GEN_CET!H35-GEN_CET5!G35</f>
        <v>0</v>
      </c>
      <c r="H35">
        <f>GEN_CET!I35-GEN_CET5!I35</f>
        <v>0</v>
      </c>
      <c r="I35">
        <f>GEN_CET!J35-GEN_CET5!J35</f>
        <v>0</v>
      </c>
      <c r="J35">
        <f>GEN_CET!K35-GEN_CET5!K35</f>
        <v>0</v>
      </c>
      <c r="K35">
        <f>GEN_CET!L35-GEN_CET5!L35</f>
        <v>0</v>
      </c>
      <c r="L35">
        <f>GEN_CET!M35-GEN_CET5!M35</f>
        <v>0</v>
      </c>
    </row>
    <row r="36" spans="1:12" ht="12.75">
      <c r="A36" t="s">
        <v>651</v>
      </c>
      <c r="B36">
        <f>GEN_CET!C36-GEN_CET5!B36</f>
        <v>0</v>
      </c>
      <c r="C36">
        <f>GEN_CET!D36-GEN_CET5!C36</f>
        <v>0</v>
      </c>
      <c r="D36">
        <f>GEN_CET!E36-GEN_CET5!D36</f>
        <v>0</v>
      </c>
      <c r="E36">
        <f>GEN_CET!F36-GEN_CET5!E36</f>
        <v>1</v>
      </c>
      <c r="F36">
        <f>GEN_CET!G36-GEN_CET5!F36</f>
        <v>0.009499999999999953</v>
      </c>
      <c r="G36">
        <f>GEN_CET!H36-GEN_CET5!G36</f>
        <v>0</v>
      </c>
      <c r="H36">
        <f>GEN_CET!I36-GEN_CET5!I36</f>
        <v>0</v>
      </c>
      <c r="I36">
        <f>GEN_CET!J36-GEN_CET5!J36</f>
        <v>0</v>
      </c>
      <c r="J36">
        <f>GEN_CET!K36-GEN_CET5!K36</f>
        <v>0</v>
      </c>
      <c r="K36">
        <f>GEN_CET!L36-GEN_CET5!L36</f>
        <v>0</v>
      </c>
      <c r="L36">
        <f>GEN_CET!M36-GEN_CET5!M36</f>
        <v>0</v>
      </c>
    </row>
    <row r="37" spans="1:12" ht="12.75">
      <c r="A37" t="s">
        <v>652</v>
      </c>
      <c r="B37">
        <f>GEN_CET!C37-GEN_CET5!B37</f>
        <v>0</v>
      </c>
      <c r="C37">
        <f>GEN_CET!D37-GEN_CET5!C37</f>
        <v>0</v>
      </c>
      <c r="D37">
        <f>GEN_CET!E37-GEN_CET5!D37</f>
        <v>0</v>
      </c>
      <c r="E37">
        <f>GEN_CET!F37-GEN_CET5!E37</f>
        <v>2</v>
      </c>
      <c r="F37">
        <f>GEN_CET!G37-GEN_CET5!F37</f>
        <v>0.009499999999999953</v>
      </c>
      <c r="G37">
        <f>GEN_CET!H37-GEN_CET5!G37</f>
        <v>0</v>
      </c>
      <c r="H37">
        <f>GEN_CET!I37-GEN_CET5!I37</f>
        <v>0</v>
      </c>
      <c r="I37">
        <f>GEN_CET!J37-GEN_CET5!J37</f>
        <v>0</v>
      </c>
      <c r="J37">
        <f>GEN_CET!K37-GEN_CET5!K37</f>
        <v>0</v>
      </c>
      <c r="K37">
        <f>GEN_CET!L37-GEN_CET5!L37</f>
        <v>0</v>
      </c>
      <c r="L37">
        <f>GEN_CET!M37-GEN_CET5!M37</f>
        <v>0</v>
      </c>
    </row>
    <row r="38" spans="1:12" ht="12.75">
      <c r="A38" t="s">
        <v>653</v>
      </c>
      <c r="B38">
        <f>GEN_CET!C38-GEN_CET5!B38</f>
        <v>0</v>
      </c>
      <c r="C38">
        <f>GEN_CET!D38-GEN_CET5!C38</f>
        <v>0</v>
      </c>
      <c r="D38">
        <f>GEN_CET!E38-GEN_CET5!D38</f>
        <v>0</v>
      </c>
      <c r="E38">
        <f>GEN_CET!F38-GEN_CET5!E38</f>
        <v>1</v>
      </c>
      <c r="F38">
        <f>GEN_CET!G38-GEN_CET5!F38</f>
        <v>0.07599999999999996</v>
      </c>
      <c r="G38">
        <f>GEN_CET!H38-GEN_CET5!G38</f>
        <v>0</v>
      </c>
      <c r="H38">
        <f>GEN_CET!I38-GEN_CET5!I38</f>
        <v>0.009999999999999998</v>
      </c>
      <c r="I38">
        <f>GEN_CET!J38-GEN_CET5!J38</f>
        <v>-0.40000000000000036</v>
      </c>
      <c r="J38">
        <f>GEN_CET!K38-GEN_CET5!K38</f>
        <v>-2</v>
      </c>
      <c r="K38">
        <f>GEN_CET!L38-GEN_CET5!L38</f>
        <v>0</v>
      </c>
      <c r="L38">
        <f>GEN_CET!M38-GEN_CET5!M38</f>
        <v>0</v>
      </c>
    </row>
    <row r="39" spans="1:12" ht="12.75">
      <c r="A39" t="s">
        <v>654</v>
      </c>
      <c r="B39">
        <f>GEN_CET!C39-GEN_CET5!B39</f>
        <v>3</v>
      </c>
      <c r="C39">
        <f>GEN_CET!D39-GEN_CET5!C39</f>
        <v>0</v>
      </c>
      <c r="D39">
        <f>GEN_CET!E39-GEN_CET5!D39</f>
        <v>0</v>
      </c>
      <c r="E39">
        <f>GEN_CET!F39-GEN_CET5!E39</f>
        <v>1</v>
      </c>
      <c r="F39">
        <f>GEN_CET!G39-GEN_CET5!F39</f>
        <v>0.07679999999999998</v>
      </c>
      <c r="G39">
        <f>GEN_CET!H39-GEN_CET5!G39</f>
        <v>0</v>
      </c>
      <c r="H39">
        <f>GEN_CET!I39-GEN_CET5!I39</f>
        <v>0</v>
      </c>
      <c r="I39">
        <f>GEN_CET!J39-GEN_CET5!J39</f>
        <v>3.1000000000000014</v>
      </c>
      <c r="J39">
        <f>GEN_CET!K39-GEN_CET5!K39</f>
        <v>-9</v>
      </c>
      <c r="K39">
        <f>GEN_CET!L39-GEN_CET5!L39</f>
        <v>2.1000000000000014</v>
      </c>
      <c r="L39">
        <f>GEN_CET!M39-GEN_CET5!M39</f>
        <v>-10</v>
      </c>
    </row>
    <row r="40" spans="1:12" ht="12.75">
      <c r="A40" t="s">
        <v>655</v>
      </c>
      <c r="B40">
        <f>GEN_CET!C40-GEN_CET5!B40</f>
        <v>0</v>
      </c>
      <c r="C40">
        <f>GEN_CET!D40-GEN_CET5!C40</f>
        <v>0</v>
      </c>
      <c r="D40">
        <f>GEN_CET!E40-GEN_CET5!D40</f>
        <v>0</v>
      </c>
      <c r="E40">
        <f>GEN_CET!F40-GEN_CET5!E40</f>
        <v>1</v>
      </c>
      <c r="F40">
        <f>GEN_CET!G40-GEN_CET5!F40</f>
        <v>0.009499999999999953</v>
      </c>
      <c r="G40">
        <f>GEN_CET!H40-GEN_CET5!G40</f>
        <v>0</v>
      </c>
      <c r="H40">
        <f>GEN_CET!I40-GEN_CET5!I40</f>
        <v>0</v>
      </c>
      <c r="I40">
        <f>GEN_CET!J40-GEN_CET5!J40</f>
        <v>0</v>
      </c>
      <c r="J40">
        <f>GEN_CET!K40-GEN_CET5!K40</f>
        <v>0</v>
      </c>
      <c r="K40">
        <f>GEN_CET!L40-GEN_CET5!L40</f>
        <v>0</v>
      </c>
      <c r="L40">
        <f>GEN_CET!M40-GEN_CET5!M40</f>
        <v>0</v>
      </c>
    </row>
    <row r="41" spans="1:12" ht="12.75">
      <c r="A41" t="s">
        <v>656</v>
      </c>
      <c r="B41">
        <f>GEN_CET!C41-GEN_CET5!B41</f>
        <v>0</v>
      </c>
      <c r="C41">
        <f>GEN_CET!D41-GEN_CET5!C41</f>
        <v>0</v>
      </c>
      <c r="D41">
        <f>GEN_CET!E41-GEN_CET5!D41</f>
        <v>0</v>
      </c>
      <c r="E41">
        <f>GEN_CET!F41-GEN_CET5!E41</f>
        <v>0</v>
      </c>
      <c r="F41">
        <f>GEN_CET!G41-GEN_CET5!F41</f>
        <v>0.009499999999999953</v>
      </c>
      <c r="G41">
        <f>GEN_CET!H41-GEN_CET5!G41</f>
        <v>0</v>
      </c>
      <c r="H41">
        <f>GEN_CET!I41-GEN_CET5!I41</f>
        <v>0</v>
      </c>
      <c r="I41">
        <f>GEN_CET!J41-GEN_CET5!J41</f>
        <v>0</v>
      </c>
      <c r="J41">
        <f>GEN_CET!K41-GEN_CET5!K41</f>
        <v>0</v>
      </c>
      <c r="K41">
        <f>GEN_CET!L41-GEN_CET5!L41</f>
        <v>0</v>
      </c>
      <c r="L41">
        <f>GEN_CET!M41-GEN_CET5!M41</f>
        <v>0</v>
      </c>
    </row>
    <row r="42" spans="1:12" ht="13.5" thickBot="1">
      <c r="A42" t="s">
        <v>658</v>
      </c>
      <c r="B42">
        <f>GEN_CET!C42-GEN_CET5!B42</f>
        <v>-3</v>
      </c>
      <c r="C42">
        <f>GEN_CET!D42-GEN_CET5!C42</f>
        <v>-0.5</v>
      </c>
      <c r="D42">
        <f>GEN_CET!E42-GEN_CET5!D42</f>
        <v>1</v>
      </c>
      <c r="E42">
        <f>GEN_CET!F42-GEN_CET5!E42</f>
        <v>3</v>
      </c>
      <c r="F42">
        <f>GEN_CET!G42-GEN_CET5!F42</f>
        <v>0.012639999999999985</v>
      </c>
      <c r="G42">
        <f>GEN_CET!H42-GEN_CET5!G42</f>
        <v>-0.07199999999999995</v>
      </c>
      <c r="H42">
        <f>GEN_CET!I42-GEN_CET5!I42</f>
        <v>-0.06</v>
      </c>
      <c r="I42">
        <f>GEN_CET!J42-GEN_CET5!J42</f>
        <v>-4.600000000000001</v>
      </c>
      <c r="J42">
        <f>GEN_CET!K42-GEN_CET5!K42</f>
        <v>6</v>
      </c>
      <c r="K42">
        <f>GEN_CET!L42-GEN_CET5!L42</f>
        <v>-14.399999999999999</v>
      </c>
      <c r="L42">
        <f>GEN_CET!M42-GEN_CET5!M42</f>
        <v>-17</v>
      </c>
    </row>
    <row r="43" spans="1:23" ht="12.75">
      <c r="A43" t="s">
        <v>659</v>
      </c>
      <c r="B43">
        <f>GEN_CET!C43-GEN_CET5!B43</f>
        <v>0</v>
      </c>
      <c r="C43">
        <f>GEN_CET!D43-GEN_CET5!C43</f>
        <v>0.5</v>
      </c>
      <c r="D43">
        <f>GEN_CET!E43-GEN_CET5!D43</f>
        <v>18</v>
      </c>
      <c r="E43">
        <f>GEN_CET!F43-GEN_CET5!E43</f>
        <v>0</v>
      </c>
      <c r="F43">
        <f>GEN_CET!G43-GEN_CET5!F43</f>
        <v>0</v>
      </c>
      <c r="G43">
        <f>GEN_CET!H43-GEN_CET5!G43</f>
        <v>0</v>
      </c>
      <c r="H43">
        <f>GEN_CET!I43-GEN_CET5!I43</f>
        <v>-0.04</v>
      </c>
      <c r="I43">
        <f>GEN_CET!J43-GEN_CET5!J43</f>
        <v>-2.1999999999999993</v>
      </c>
      <c r="J43">
        <f>GEN_CET!K43-GEN_CET5!K43</f>
        <v>3</v>
      </c>
      <c r="K43">
        <f>GEN_CET!L43-GEN_CET5!L43</f>
        <v>-2.6999999999999993</v>
      </c>
      <c r="L43">
        <f>GEN_CET!M43-GEN_CET5!M43</f>
        <v>-6</v>
      </c>
      <c r="V43" s="57"/>
      <c r="W43" s="57"/>
    </row>
    <row r="44" spans="1:23" ht="12.75">
      <c r="A44" t="s">
        <v>660</v>
      </c>
      <c r="B44">
        <f>GEN_CET!C44-GEN_CET5!B44</f>
        <v>1</v>
      </c>
      <c r="C44">
        <f>GEN_CET!D44-GEN_CET5!C44</f>
        <v>0.5</v>
      </c>
      <c r="D44">
        <f>GEN_CET!E44-GEN_CET5!D44</f>
        <v>0</v>
      </c>
      <c r="E44">
        <f>GEN_CET!F44-GEN_CET5!E44</f>
        <v>0</v>
      </c>
      <c r="F44">
        <f>GEN_CET!G44-GEN_CET5!F44</f>
        <v>0.07599999999999996</v>
      </c>
      <c r="G44">
        <f>GEN_CET!H44-GEN_CET5!G44</f>
        <v>0</v>
      </c>
      <c r="H44">
        <f>GEN_CET!I44-GEN_CET5!I44</f>
        <v>-0.02</v>
      </c>
      <c r="I44">
        <f>GEN_CET!J44-GEN_CET5!J44</f>
        <v>1.1999999999999993</v>
      </c>
      <c r="J44">
        <f>GEN_CET!K44-GEN_CET5!K44</f>
        <v>-1</v>
      </c>
      <c r="K44">
        <f>GEN_CET!L44-GEN_CET5!L44</f>
        <v>0.5999999999999996</v>
      </c>
      <c r="L44">
        <f>GEN_CET!M44-GEN_CET5!M44</f>
        <v>-4</v>
      </c>
      <c r="V44" s="54"/>
      <c r="W44" s="55"/>
    </row>
    <row r="45" spans="1:23" ht="12.75">
      <c r="A45" t="s">
        <v>661</v>
      </c>
      <c r="B45">
        <f>GEN_CET!C45-GEN_CET5!B45</f>
        <v>1</v>
      </c>
      <c r="C45">
        <f>GEN_CET!D45-GEN_CET5!C45</f>
        <v>0.5</v>
      </c>
      <c r="D45">
        <f>GEN_CET!E45-GEN_CET5!D45</f>
        <v>0</v>
      </c>
      <c r="E45">
        <f>GEN_CET!F45-GEN_CET5!E45</f>
        <v>0</v>
      </c>
      <c r="F45">
        <f>GEN_CET!G45-GEN_CET5!F45</f>
        <v>0.07599999999999996</v>
      </c>
      <c r="G45">
        <f>GEN_CET!H45-GEN_CET5!G45</f>
        <v>0</v>
      </c>
      <c r="H45">
        <f>GEN_CET!I45-GEN_CET5!I45</f>
        <v>-0.010000000000000002</v>
      </c>
      <c r="I45">
        <f>GEN_CET!J45-GEN_CET5!J45</f>
        <v>1.3000000000000007</v>
      </c>
      <c r="J45">
        <f>GEN_CET!K45-GEN_CET5!K45</f>
        <v>-1</v>
      </c>
      <c r="K45">
        <f>GEN_CET!L45-GEN_CET5!L45</f>
        <v>0.5999999999999996</v>
      </c>
      <c r="L45">
        <f>GEN_CET!M45-GEN_CET5!M45</f>
        <v>-4</v>
      </c>
      <c r="V45" s="54"/>
      <c r="W45" s="55"/>
    </row>
    <row r="46" spans="1:23" ht="12.75">
      <c r="A46" t="s">
        <v>662</v>
      </c>
      <c r="B46">
        <f>GEN_CET!C46-GEN_CET5!B46</f>
        <v>1</v>
      </c>
      <c r="C46">
        <f>GEN_CET!D46-GEN_CET5!C46</f>
        <v>0.5</v>
      </c>
      <c r="D46">
        <f>GEN_CET!E46-GEN_CET5!D46</f>
        <v>19</v>
      </c>
      <c r="E46">
        <f>GEN_CET!F46-GEN_CET5!E46</f>
        <v>-2</v>
      </c>
      <c r="F46">
        <f>GEN_CET!G46-GEN_CET5!F46</f>
        <v>0.09208000000000005</v>
      </c>
      <c r="G46">
        <f>GEN_CET!H46-GEN_CET5!G46</f>
        <v>0</v>
      </c>
      <c r="H46">
        <f>GEN_CET!I46-GEN_CET5!I46</f>
        <v>-0.04</v>
      </c>
      <c r="I46">
        <f>GEN_CET!J46-GEN_CET5!J46</f>
        <v>-1</v>
      </c>
      <c r="J46">
        <f>GEN_CET!K46-GEN_CET5!K46</f>
        <v>-3</v>
      </c>
      <c r="K46">
        <f>GEN_CET!L46-GEN_CET5!L46</f>
        <v>-2.1999999999999993</v>
      </c>
      <c r="L46">
        <f>GEN_CET!M46-GEN_CET5!M46</f>
        <v>-11</v>
      </c>
      <c r="V46" s="54"/>
      <c r="W46" s="55"/>
    </row>
    <row r="47" spans="1:23" ht="12.75">
      <c r="A47" t="s">
        <v>663</v>
      </c>
      <c r="B47">
        <f>GEN_CET!C47-GEN_CET5!B47</f>
        <v>0</v>
      </c>
      <c r="C47">
        <f>GEN_CET!D47-GEN_CET5!C47</f>
        <v>0</v>
      </c>
      <c r="D47">
        <f>GEN_CET!E47-GEN_CET5!D47</f>
        <v>0</v>
      </c>
      <c r="E47">
        <f>GEN_CET!F47-GEN_CET5!E47</f>
        <v>0</v>
      </c>
      <c r="F47">
        <f>GEN_CET!G47-GEN_CET5!F47</f>
        <v>0.07599999999999996</v>
      </c>
      <c r="G47">
        <f>GEN_CET!H47-GEN_CET5!G47</f>
        <v>0</v>
      </c>
      <c r="H47">
        <f>GEN_CET!I47-GEN_CET5!I47</f>
        <v>0</v>
      </c>
      <c r="I47">
        <f>GEN_CET!J47-GEN_CET5!J47</f>
        <v>-0.1999999999999993</v>
      </c>
      <c r="J47">
        <f>GEN_CET!K47-GEN_CET5!K47</f>
        <v>-1</v>
      </c>
      <c r="K47">
        <f>GEN_CET!L47-GEN_CET5!L47</f>
        <v>0</v>
      </c>
      <c r="L47">
        <f>GEN_CET!M47-GEN_CET5!M47</f>
        <v>0</v>
      </c>
      <c r="V47" s="54"/>
      <c r="W47" s="55"/>
    </row>
    <row r="48" spans="1:23" ht="12.75">
      <c r="A48" t="s">
        <v>664</v>
      </c>
      <c r="B48">
        <f>GEN_CET!C48-GEN_CET5!B48</f>
        <v>0</v>
      </c>
      <c r="C48">
        <f>GEN_CET!D48-GEN_CET5!C48</f>
        <v>0</v>
      </c>
      <c r="D48">
        <f>GEN_CET!E48-GEN_CET5!D48</f>
        <v>0</v>
      </c>
      <c r="E48">
        <f>GEN_CET!F48-GEN_CET5!E48</f>
        <v>-1</v>
      </c>
      <c r="F48">
        <f>GEN_CET!G48-GEN_CET5!F48</f>
        <v>0.07599999999999996</v>
      </c>
      <c r="G48">
        <f>GEN_CET!H48-GEN_CET5!G48</f>
        <v>0</v>
      </c>
      <c r="H48">
        <f>GEN_CET!I48-GEN_CET5!I48</f>
        <v>0.009999999999999998</v>
      </c>
      <c r="I48">
        <f>GEN_CET!J48-GEN_CET5!J48</f>
        <v>-0.1999999999999993</v>
      </c>
      <c r="J48">
        <f>GEN_CET!K48-GEN_CET5!K48</f>
        <v>-1</v>
      </c>
      <c r="K48">
        <f>GEN_CET!L48-GEN_CET5!L48</f>
        <v>0</v>
      </c>
      <c r="L48">
        <f>GEN_CET!M48-GEN_CET5!M48</f>
        <v>1</v>
      </c>
      <c r="V48" s="54"/>
      <c r="W48" s="55"/>
    </row>
    <row r="49" spans="1:23" ht="12.75">
      <c r="A49" t="s">
        <v>665</v>
      </c>
      <c r="B49">
        <f>GEN_CET!C49-GEN_CET5!B49</f>
        <v>0</v>
      </c>
      <c r="C49">
        <f>GEN_CET!D49-GEN_CET5!C49</f>
        <v>0</v>
      </c>
      <c r="D49">
        <f>GEN_CET!E49-GEN_CET5!D49</f>
        <v>0</v>
      </c>
      <c r="E49">
        <f>GEN_CET!F49-GEN_CET5!E49</f>
        <v>1</v>
      </c>
      <c r="F49">
        <f>GEN_CET!G49-GEN_CET5!F49</f>
        <v>0.009499999999999953</v>
      </c>
      <c r="G49">
        <f>GEN_CET!H49-GEN_CET5!G49</f>
        <v>0</v>
      </c>
      <c r="H49">
        <f>GEN_CET!I49-GEN_CET5!I49</f>
        <v>0</v>
      </c>
      <c r="I49">
        <f>GEN_CET!J49-GEN_CET5!J49</f>
        <v>0</v>
      </c>
      <c r="J49">
        <f>GEN_CET!K49-GEN_CET5!K49</f>
        <v>-1</v>
      </c>
      <c r="K49">
        <f>GEN_CET!L49-GEN_CET5!L49</f>
        <v>0</v>
      </c>
      <c r="L49">
        <f>GEN_CET!M49-GEN_CET5!M49</f>
        <v>0</v>
      </c>
      <c r="V49" s="54"/>
      <c r="W49" s="55"/>
    </row>
    <row r="50" spans="1:23" ht="12.75">
      <c r="A50" t="s">
        <v>666</v>
      </c>
      <c r="B50">
        <f>GEN_CET!C50-GEN_CET5!B50</f>
        <v>0</v>
      </c>
      <c r="C50">
        <f>GEN_CET!D50-GEN_CET5!C50</f>
        <v>0</v>
      </c>
      <c r="D50">
        <f>GEN_CET!E50-GEN_CET5!D50</f>
        <v>0</v>
      </c>
      <c r="E50">
        <f>GEN_CET!F50-GEN_CET5!E50</f>
        <v>0</v>
      </c>
      <c r="F50">
        <f>GEN_CET!G50-GEN_CET5!F50</f>
        <v>0.07599999999999996</v>
      </c>
      <c r="G50">
        <f>GEN_CET!H50-GEN_CET5!G50</f>
        <v>0</v>
      </c>
      <c r="H50">
        <f>GEN_CET!I50-GEN_CET5!I50</f>
        <v>0</v>
      </c>
      <c r="I50">
        <f>GEN_CET!J50-GEN_CET5!J50</f>
        <v>-0.1999999999999993</v>
      </c>
      <c r="J50">
        <f>GEN_CET!K50-GEN_CET5!K50</f>
        <v>-1</v>
      </c>
      <c r="K50">
        <f>GEN_CET!L50-GEN_CET5!L50</f>
        <v>0</v>
      </c>
      <c r="L50">
        <f>GEN_CET!M50-GEN_CET5!M50</f>
        <v>0</v>
      </c>
      <c r="V50" s="54"/>
      <c r="W50" s="55"/>
    </row>
    <row r="51" spans="1:23" ht="13.5" thickBot="1">
      <c r="A51" t="s">
        <v>667</v>
      </c>
      <c r="B51">
        <f>GEN_CET!C51-GEN_CET5!B51</f>
        <v>0</v>
      </c>
      <c r="C51">
        <f>GEN_CET!D51-GEN_CET5!C51</f>
        <v>0</v>
      </c>
      <c r="D51">
        <f>GEN_CET!E51-GEN_CET5!D51</f>
        <v>0</v>
      </c>
      <c r="E51">
        <f>GEN_CET!F51-GEN_CET5!E51</f>
        <v>0</v>
      </c>
      <c r="F51">
        <f>GEN_CET!G51-GEN_CET5!F51</f>
        <v>0.07599999999999996</v>
      </c>
      <c r="G51">
        <f>GEN_CET!H51-GEN_CET5!G51</f>
        <v>0</v>
      </c>
      <c r="H51">
        <f>GEN_CET!I51-GEN_CET5!I51</f>
        <v>0</v>
      </c>
      <c r="I51">
        <f>GEN_CET!J51-GEN_CET5!J51</f>
        <v>-0.3000000000000007</v>
      </c>
      <c r="J51">
        <f>GEN_CET!K51-GEN_CET5!K51</f>
        <v>-1</v>
      </c>
      <c r="K51">
        <f>GEN_CET!L51-GEN_CET5!L51</f>
        <v>0</v>
      </c>
      <c r="L51">
        <f>GEN_CET!M51-GEN_CET5!M51</f>
        <v>0</v>
      </c>
      <c r="V51" s="56"/>
      <c r="W51" s="56"/>
    </row>
    <row r="52" spans="1:12" ht="12.75">
      <c r="A52" t="s">
        <v>668</v>
      </c>
      <c r="B52">
        <f>GEN_CET!C52-GEN_CET5!B52</f>
        <v>0</v>
      </c>
      <c r="C52">
        <f>GEN_CET!D52-GEN_CET5!C52</f>
        <v>0</v>
      </c>
      <c r="D52">
        <f>GEN_CET!E52-GEN_CET5!D52</f>
        <v>0</v>
      </c>
      <c r="E52">
        <f>GEN_CET!F52-GEN_CET5!E52</f>
        <v>0</v>
      </c>
      <c r="F52">
        <f>GEN_CET!G52-GEN_CET5!F52</f>
        <v>0.07599999999999996</v>
      </c>
      <c r="G52">
        <f>GEN_CET!H52-GEN_CET5!G52</f>
        <v>0</v>
      </c>
      <c r="H52">
        <f>GEN_CET!I52-GEN_CET5!I52</f>
        <v>0</v>
      </c>
      <c r="I52">
        <f>GEN_CET!J52-GEN_CET5!J52</f>
        <v>0</v>
      </c>
      <c r="J52">
        <f>GEN_CET!K52-GEN_CET5!K52</f>
        <v>0</v>
      </c>
      <c r="K52">
        <f>GEN_CET!L52-GEN_CET5!L52</f>
        <v>0</v>
      </c>
      <c r="L52">
        <f>GEN_CET!M52-GEN_CET5!M52</f>
        <v>0</v>
      </c>
    </row>
    <row r="53" spans="1:12" ht="12.75">
      <c r="A53" t="s">
        <v>669</v>
      </c>
      <c r="B53">
        <f>GEN_CET!C53-GEN_CET5!B53</f>
        <v>0</v>
      </c>
      <c r="C53">
        <f>GEN_CET!D53-GEN_CET5!C53</f>
        <v>0</v>
      </c>
      <c r="D53">
        <f>GEN_CET!E53-GEN_CET5!D53</f>
        <v>0</v>
      </c>
      <c r="E53">
        <f>GEN_CET!F53-GEN_CET5!E53</f>
        <v>-1</v>
      </c>
      <c r="F53">
        <f>GEN_CET!G53-GEN_CET5!F53</f>
        <v>0.07599999999999996</v>
      </c>
      <c r="G53">
        <f>GEN_CET!H53-GEN_CET5!G53</f>
        <v>0</v>
      </c>
      <c r="H53">
        <f>GEN_CET!I53-GEN_CET5!I53</f>
        <v>0</v>
      </c>
      <c r="I53">
        <f>GEN_CET!J53-GEN_CET5!J53</f>
        <v>0</v>
      </c>
      <c r="J53">
        <f>GEN_CET!K53-GEN_CET5!K53</f>
        <v>0</v>
      </c>
      <c r="K53">
        <f>GEN_CET!L53-GEN_CET5!L53</f>
        <v>0</v>
      </c>
      <c r="L53">
        <f>GEN_CET!M53-GEN_CET5!M53</f>
        <v>0</v>
      </c>
    </row>
    <row r="54" spans="1:12" ht="12.75">
      <c r="A54" t="s">
        <v>670</v>
      </c>
      <c r="B54">
        <f>GEN_CET!C54-GEN_CET5!B54</f>
        <v>0</v>
      </c>
      <c r="C54">
        <f>GEN_CET!D54-GEN_CET5!C54</f>
        <v>0</v>
      </c>
      <c r="D54">
        <f>GEN_CET!E54-GEN_CET5!D54</f>
        <v>0</v>
      </c>
      <c r="E54">
        <f>GEN_CET!F54-GEN_CET5!E54</f>
        <v>0</v>
      </c>
      <c r="F54">
        <f>GEN_CET!G54-GEN_CET5!F54</f>
        <v>0.07599999999999996</v>
      </c>
      <c r="G54">
        <f>GEN_CET!H54-GEN_CET5!G54</f>
        <v>0</v>
      </c>
      <c r="H54">
        <f>GEN_CET!I54-GEN_CET5!I54</f>
        <v>0.01</v>
      </c>
      <c r="I54">
        <f>GEN_CET!J54-GEN_CET5!J54</f>
        <v>-0.40000000000000213</v>
      </c>
      <c r="J54">
        <f>GEN_CET!K54-GEN_CET5!K54</f>
        <v>-1</v>
      </c>
      <c r="K54">
        <f>GEN_CET!L54-GEN_CET5!L54</f>
        <v>0</v>
      </c>
      <c r="L54">
        <f>GEN_CET!M54-GEN_CET5!M54</f>
        <v>0</v>
      </c>
    </row>
    <row r="55" spans="1:12" ht="12.75">
      <c r="A55" t="s">
        <v>671</v>
      </c>
      <c r="B55">
        <f>GEN_CET!C55-GEN_CET5!B55</f>
        <v>1</v>
      </c>
      <c r="C55">
        <f>GEN_CET!D55-GEN_CET5!C55</f>
        <v>0</v>
      </c>
      <c r="D55">
        <f>GEN_CET!E55-GEN_CET5!D55</f>
        <v>0</v>
      </c>
      <c r="E55">
        <f>GEN_CET!F55-GEN_CET5!E55</f>
        <v>0</v>
      </c>
      <c r="F55">
        <f>GEN_CET!G55-GEN_CET5!F55</f>
        <v>0.07599999999999996</v>
      </c>
      <c r="G55">
        <f>GEN_CET!H55-GEN_CET5!G55</f>
        <v>0</v>
      </c>
      <c r="H55">
        <f>GEN_CET!I55-GEN_CET5!I55</f>
        <v>0</v>
      </c>
      <c r="I55">
        <f>GEN_CET!J55-GEN_CET5!J55</f>
        <v>0.8000000000000007</v>
      </c>
      <c r="J55">
        <f>GEN_CET!K55-GEN_CET5!K55</f>
        <v>-4</v>
      </c>
      <c r="K55">
        <f>GEN_CET!L55-GEN_CET5!L55</f>
        <v>0.7000000000000028</v>
      </c>
      <c r="L55">
        <f>GEN_CET!M55-GEN_CET5!M55</f>
        <v>-4</v>
      </c>
    </row>
    <row r="56" spans="1:12" ht="12.75">
      <c r="A56" t="s">
        <v>672</v>
      </c>
      <c r="B56">
        <f>GEN_CET!C56-GEN_CET5!B56</f>
        <v>0</v>
      </c>
      <c r="C56">
        <f>GEN_CET!D56-GEN_CET5!C56</f>
        <v>0</v>
      </c>
      <c r="D56">
        <f>GEN_CET!E56-GEN_CET5!D56</f>
        <v>0</v>
      </c>
      <c r="E56">
        <f>GEN_CET!F56-GEN_CET5!E56</f>
        <v>-1</v>
      </c>
      <c r="F56">
        <f>GEN_CET!G56-GEN_CET5!F56</f>
        <v>0.009499999999999953</v>
      </c>
      <c r="G56">
        <f>GEN_CET!H56-GEN_CET5!G56</f>
        <v>0</v>
      </c>
      <c r="H56">
        <f>GEN_CET!I56-GEN_CET5!I56</f>
        <v>0</v>
      </c>
      <c r="I56">
        <f>GEN_CET!J56-GEN_CET5!J56</f>
        <v>0</v>
      </c>
      <c r="J56">
        <f>GEN_CET!K56-GEN_CET5!K56</f>
        <v>0</v>
      </c>
      <c r="K56">
        <f>GEN_CET!L56-GEN_CET5!L56</f>
        <v>0</v>
      </c>
      <c r="L56">
        <f>GEN_CET!M56-GEN_CET5!M56</f>
        <v>0</v>
      </c>
    </row>
    <row r="57" spans="1:12" ht="12.75">
      <c r="A57" t="s">
        <v>673</v>
      </c>
      <c r="B57">
        <f>GEN_CET!C57-GEN_CET5!B57</f>
        <v>0</v>
      </c>
      <c r="C57">
        <f>GEN_CET!D57-GEN_CET5!C57</f>
        <v>0</v>
      </c>
      <c r="D57">
        <f>GEN_CET!E57-GEN_CET5!D57</f>
        <v>0</v>
      </c>
      <c r="E57">
        <f>GEN_CET!F57-GEN_CET5!E57</f>
        <v>0</v>
      </c>
      <c r="F57">
        <f>GEN_CET!G57-GEN_CET5!F57</f>
        <v>0.009499999999999953</v>
      </c>
      <c r="G57">
        <f>GEN_CET!H57-GEN_CET5!G57</f>
        <v>0</v>
      </c>
      <c r="H57">
        <f>GEN_CET!I57-GEN_CET5!I57</f>
        <v>0</v>
      </c>
      <c r="I57">
        <f>GEN_CET!J57-GEN_CET5!J57</f>
        <v>0</v>
      </c>
      <c r="J57">
        <f>GEN_CET!K57-GEN_CET5!K57</f>
        <v>0</v>
      </c>
      <c r="K57">
        <f>GEN_CET!L57-GEN_CET5!L57</f>
        <v>0</v>
      </c>
      <c r="L57">
        <f>GEN_CET!M57-GEN_CET5!M57</f>
        <v>0</v>
      </c>
    </row>
    <row r="58" spans="1:12" ht="12.75">
      <c r="A58" t="s">
        <v>674</v>
      </c>
      <c r="B58">
        <f>GEN_CET!C58-GEN_CET5!B58</f>
        <v>0</v>
      </c>
      <c r="C58">
        <f>GEN_CET!D58-GEN_CET5!C58</f>
        <v>0</v>
      </c>
      <c r="D58">
        <f>GEN_CET!E58-GEN_CET5!D58</f>
        <v>0</v>
      </c>
      <c r="E58">
        <f>GEN_CET!F58-GEN_CET5!E58</f>
        <v>-1</v>
      </c>
      <c r="F58">
        <f>GEN_CET!G58-GEN_CET5!F58</f>
        <v>0.07599999999999996</v>
      </c>
      <c r="G58">
        <f>GEN_CET!H58-GEN_CET5!G58</f>
        <v>0</v>
      </c>
      <c r="H58">
        <f>GEN_CET!I58-GEN_CET5!I58</f>
        <v>0.009999999999999998</v>
      </c>
      <c r="I58">
        <f>GEN_CET!J58-GEN_CET5!J58</f>
        <v>-0.29999999999999893</v>
      </c>
      <c r="J58">
        <f>GEN_CET!K58-GEN_CET5!K58</f>
        <v>-1</v>
      </c>
      <c r="K58">
        <f>GEN_CET!L58-GEN_CET5!L58</f>
        <v>0</v>
      </c>
      <c r="L58">
        <f>GEN_CET!M58-GEN_CET5!M58</f>
        <v>1</v>
      </c>
    </row>
    <row r="59" spans="1:12" ht="12.75">
      <c r="A59" t="s">
        <v>675</v>
      </c>
      <c r="B59">
        <f>GEN_CET!C59-GEN_CET5!B59</f>
        <v>0</v>
      </c>
      <c r="C59">
        <f>GEN_CET!D59-GEN_CET5!C59</f>
        <v>0</v>
      </c>
      <c r="D59">
        <f>GEN_CET!E59-GEN_CET5!D59</f>
        <v>0</v>
      </c>
      <c r="E59">
        <f>GEN_CET!F59-GEN_CET5!E59</f>
        <v>0</v>
      </c>
      <c r="F59">
        <f>GEN_CET!G59-GEN_CET5!F59</f>
        <v>0.009499999999999953</v>
      </c>
      <c r="G59">
        <f>GEN_CET!H59-GEN_CET5!G59</f>
        <v>0</v>
      </c>
      <c r="H59">
        <f>GEN_CET!I59-GEN_CET5!I59</f>
        <v>0</v>
      </c>
      <c r="I59">
        <f>GEN_CET!J59-GEN_CET5!J59</f>
        <v>-0.09999999999999964</v>
      </c>
      <c r="J59">
        <f>GEN_CET!K59-GEN_CET5!K59</f>
        <v>0</v>
      </c>
      <c r="K59">
        <f>GEN_CET!L59-GEN_CET5!L59</f>
        <v>0</v>
      </c>
      <c r="L59">
        <f>GEN_CET!M59-GEN_CET5!M59</f>
        <v>0</v>
      </c>
    </row>
    <row r="60" spans="1:12" ht="12.75">
      <c r="A60" t="s">
        <v>676</v>
      </c>
      <c r="B60">
        <f>GEN_CET!C60-GEN_CET5!B60</f>
        <v>0</v>
      </c>
      <c r="C60">
        <f>GEN_CET!D60-GEN_CET5!C60</f>
        <v>0</v>
      </c>
      <c r="D60">
        <f>GEN_CET!E60-GEN_CET5!D60</f>
        <v>0</v>
      </c>
      <c r="E60">
        <f>GEN_CET!F60-GEN_CET5!E60</f>
        <v>0</v>
      </c>
      <c r="F60">
        <f>GEN_CET!G60-GEN_CET5!F60</f>
        <v>0.07599999999999996</v>
      </c>
      <c r="G60">
        <f>GEN_CET!H60-GEN_CET5!G60</f>
        <v>0</v>
      </c>
      <c r="H60">
        <f>GEN_CET!I60-GEN_CET5!I60</f>
        <v>0</v>
      </c>
      <c r="I60">
        <f>GEN_CET!J60-GEN_CET5!J60</f>
        <v>-0.3000000000000007</v>
      </c>
      <c r="J60">
        <f>GEN_CET!K60-GEN_CET5!K60</f>
        <v>-1</v>
      </c>
      <c r="K60">
        <f>GEN_CET!L60-GEN_CET5!L60</f>
        <v>0</v>
      </c>
      <c r="L60">
        <f>GEN_CET!M60-GEN_CET5!M60</f>
        <v>0</v>
      </c>
    </row>
    <row r="61" spans="1:12" ht="12.75">
      <c r="A61" t="s">
        <v>677</v>
      </c>
      <c r="B61">
        <f>GEN_CET!C61-GEN_CET5!B61</f>
        <v>0</v>
      </c>
      <c r="C61">
        <f>GEN_CET!D61-GEN_CET5!C61</f>
        <v>0</v>
      </c>
      <c r="D61">
        <f>GEN_CET!E61-GEN_CET5!D61</f>
        <v>0</v>
      </c>
      <c r="E61">
        <f>GEN_CET!F61-GEN_CET5!E61</f>
        <v>0</v>
      </c>
      <c r="F61">
        <f>GEN_CET!G61-GEN_CET5!F61</f>
        <v>0.07599999999999996</v>
      </c>
      <c r="G61">
        <f>GEN_CET!H61-GEN_CET5!G61</f>
        <v>0</v>
      </c>
      <c r="H61">
        <f>GEN_CET!I61-GEN_CET5!I61</f>
        <v>0.01</v>
      </c>
      <c r="I61">
        <f>GEN_CET!J61-GEN_CET5!J61</f>
        <v>-0.1999999999999993</v>
      </c>
      <c r="J61">
        <f>GEN_CET!K61-GEN_CET5!K61</f>
        <v>-1</v>
      </c>
      <c r="K61">
        <f>GEN_CET!L61-GEN_CET5!L61</f>
        <v>0</v>
      </c>
      <c r="L61">
        <f>GEN_CET!M61-GEN_CET5!M61</f>
        <v>0</v>
      </c>
    </row>
    <row r="62" spans="1:12" ht="12.75">
      <c r="A62" t="s">
        <v>678</v>
      </c>
      <c r="B62">
        <f>GEN_CET!C62-GEN_CET5!B62</f>
        <v>0</v>
      </c>
      <c r="C62">
        <f>GEN_CET!D62-GEN_CET5!C62</f>
        <v>0</v>
      </c>
      <c r="D62">
        <f>GEN_CET!E62-GEN_CET5!D62</f>
        <v>0</v>
      </c>
      <c r="E62">
        <f>GEN_CET!F62-GEN_CET5!E62</f>
        <v>0</v>
      </c>
      <c r="F62">
        <f>GEN_CET!G62-GEN_CET5!F62</f>
        <v>0.07599999999999996</v>
      </c>
      <c r="G62">
        <f>GEN_CET!H62-GEN_CET5!G62</f>
        <v>0</v>
      </c>
      <c r="H62">
        <f>GEN_CET!I62-GEN_CET5!I62</f>
        <v>0.01</v>
      </c>
      <c r="I62">
        <f>GEN_CET!J62-GEN_CET5!J62</f>
        <v>-0.3000000000000007</v>
      </c>
      <c r="J62">
        <f>GEN_CET!K62-GEN_CET5!K62</f>
        <v>-2</v>
      </c>
      <c r="K62">
        <f>GEN_CET!L62-GEN_CET5!L62</f>
        <v>0</v>
      </c>
      <c r="L62">
        <f>GEN_CET!M62-GEN_CET5!M62</f>
        <v>0</v>
      </c>
    </row>
    <row r="63" spans="1:12" ht="12.75">
      <c r="A63" t="s">
        <v>680</v>
      </c>
      <c r="B63">
        <f>GEN_CET!C63-GEN_CET5!B63</f>
        <v>0</v>
      </c>
      <c r="C63">
        <f>GEN_CET!D63-GEN_CET5!C63</f>
        <v>0</v>
      </c>
      <c r="D63">
        <f>GEN_CET!E63-GEN_CET5!D63</f>
        <v>0</v>
      </c>
      <c r="E63">
        <f>GEN_CET!F63-GEN_CET5!E63</f>
        <v>0</v>
      </c>
      <c r="F63">
        <f>GEN_CET!G63-GEN_CET5!F63</f>
        <v>0.07599999999999996</v>
      </c>
      <c r="G63">
        <f>GEN_CET!H63-GEN_CET5!G63</f>
        <v>0</v>
      </c>
      <c r="H63">
        <f>GEN_CET!I63-GEN_CET5!I63</f>
        <v>0</v>
      </c>
      <c r="I63">
        <f>GEN_CET!J63-GEN_CET5!J63</f>
        <v>-0.40000000000000213</v>
      </c>
      <c r="J63">
        <f>GEN_CET!K63-GEN_CET5!K63</f>
        <v>-1</v>
      </c>
      <c r="K63">
        <f>GEN_CET!L63-GEN_CET5!L63</f>
        <v>0</v>
      </c>
      <c r="L63">
        <f>GEN_CET!M63-GEN_CET5!M63</f>
        <v>0</v>
      </c>
    </row>
    <row r="64" spans="1:12" ht="12.75">
      <c r="A64" t="s">
        <v>681</v>
      </c>
      <c r="B64">
        <f>GEN_CET!C64-GEN_CET5!B64</f>
        <v>0</v>
      </c>
      <c r="C64">
        <f>GEN_CET!D64-GEN_CET5!C64</f>
        <v>0</v>
      </c>
      <c r="D64">
        <f>GEN_CET!E64-GEN_CET5!D64</f>
        <v>0</v>
      </c>
      <c r="E64">
        <f>GEN_CET!F64-GEN_CET5!E64</f>
        <v>0</v>
      </c>
      <c r="F64">
        <f>GEN_CET!G64-GEN_CET5!F64</f>
        <v>0.07599999999999996</v>
      </c>
      <c r="G64">
        <f>GEN_CET!H64-GEN_CET5!G64</f>
        <v>0</v>
      </c>
      <c r="H64">
        <f>GEN_CET!I64-GEN_CET5!I64</f>
        <v>0</v>
      </c>
      <c r="I64">
        <f>GEN_CET!J64-GEN_CET5!J64</f>
        <v>-0.3000000000000007</v>
      </c>
      <c r="J64">
        <f>GEN_CET!K64-GEN_CET5!K64</f>
        <v>-1</v>
      </c>
      <c r="K64">
        <f>GEN_CET!L64-GEN_CET5!L64</f>
        <v>0</v>
      </c>
      <c r="L64">
        <f>GEN_CET!M64-GEN_CET5!M64</f>
        <v>1</v>
      </c>
    </row>
    <row r="65" spans="1:12" ht="12.75">
      <c r="A65" t="s">
        <v>682</v>
      </c>
      <c r="B65">
        <f>GEN_CET!C65-GEN_CET5!B65</f>
        <v>0</v>
      </c>
      <c r="C65">
        <f>GEN_CET!D65-GEN_CET5!C65</f>
        <v>0</v>
      </c>
      <c r="D65">
        <f>GEN_CET!E65-GEN_CET5!D65</f>
        <v>0</v>
      </c>
      <c r="E65">
        <f>GEN_CET!F65-GEN_CET5!E65</f>
        <v>1</v>
      </c>
      <c r="F65">
        <f>GEN_CET!G65-GEN_CET5!F65</f>
        <v>0</v>
      </c>
      <c r="G65">
        <f>GEN_CET!H65-GEN_CET5!G65</f>
        <v>0</v>
      </c>
      <c r="H65">
        <f>GEN_CET!I65-GEN_CET5!I65</f>
        <v>0.01</v>
      </c>
      <c r="I65">
        <f>GEN_CET!J65-GEN_CET5!J65</f>
        <v>0.29999999999999716</v>
      </c>
      <c r="J65">
        <f>GEN_CET!K65-GEN_CET5!K65</f>
        <v>0</v>
      </c>
      <c r="K65">
        <f>GEN_CET!L65-GEN_CET5!L65</f>
        <v>0.3999999999999986</v>
      </c>
      <c r="L65">
        <f>GEN_CET!M65-GEN_CET5!M65</f>
        <v>0</v>
      </c>
    </row>
    <row r="66" spans="1:12" ht="12.75">
      <c r="A66" t="s">
        <v>683</v>
      </c>
      <c r="B66">
        <f>GEN_CET!C66-GEN_CET5!B66</f>
        <v>0</v>
      </c>
      <c r="C66">
        <f>GEN_CET!D66-GEN_CET5!C66</f>
        <v>0</v>
      </c>
      <c r="D66">
        <f>GEN_CET!E66-GEN_CET5!D66</f>
        <v>0</v>
      </c>
      <c r="E66">
        <f>GEN_CET!F66-GEN_CET5!E66</f>
        <v>0</v>
      </c>
      <c r="F66">
        <f>GEN_CET!G66-GEN_CET5!F66</f>
        <v>0.07599999999999996</v>
      </c>
      <c r="G66">
        <f>GEN_CET!H66-GEN_CET5!G66</f>
        <v>0</v>
      </c>
      <c r="H66">
        <f>GEN_CET!I66-GEN_CET5!I66</f>
        <v>0.01</v>
      </c>
      <c r="I66">
        <f>GEN_CET!J66-GEN_CET5!J66</f>
        <v>-0.20000000000000107</v>
      </c>
      <c r="J66">
        <f>GEN_CET!K66-GEN_CET5!K66</f>
        <v>-1</v>
      </c>
      <c r="K66">
        <f>GEN_CET!L66-GEN_CET5!L66</f>
        <v>0</v>
      </c>
      <c r="L66">
        <f>GEN_CET!M66-GEN_CET5!M66</f>
        <v>0</v>
      </c>
    </row>
    <row r="67" spans="1:12" ht="13.5" thickBot="1">
      <c r="A67" t="s">
        <v>684</v>
      </c>
      <c r="B67">
        <f>GEN_CET!C67-GEN_CET5!B67</f>
        <v>0</v>
      </c>
      <c r="C67">
        <f>GEN_CET!D67-GEN_CET5!C67</f>
        <v>0</v>
      </c>
      <c r="D67">
        <f>GEN_CET!E67-GEN_CET5!D67</f>
        <v>0</v>
      </c>
      <c r="E67">
        <f>GEN_CET!F67-GEN_CET5!E67</f>
        <v>0</v>
      </c>
      <c r="F67">
        <f>GEN_CET!G67-GEN_CET5!F67</f>
        <v>0.07599999999999996</v>
      </c>
      <c r="G67">
        <f>GEN_CET!H67-GEN_CET5!G67</f>
        <v>0</v>
      </c>
      <c r="H67">
        <f>GEN_CET!I67-GEN_CET5!I67</f>
        <v>0</v>
      </c>
      <c r="I67">
        <f>GEN_CET!J67-GEN_CET5!J67</f>
        <v>0</v>
      </c>
      <c r="J67">
        <f>GEN_CET!K67-GEN_CET5!K67</f>
        <v>0</v>
      </c>
      <c r="K67">
        <f>GEN_CET!L67-GEN_CET5!L67</f>
        <v>0</v>
      </c>
      <c r="L67">
        <f>GEN_CET!M67-GEN_CET5!M67</f>
        <v>0</v>
      </c>
    </row>
    <row r="68" spans="1:23" ht="12.75">
      <c r="A68" t="s">
        <v>685</v>
      </c>
      <c r="B68">
        <f>GEN_CET!C68-GEN_CET5!B68</f>
        <v>2.5199999999999996</v>
      </c>
      <c r="C68">
        <f>GEN_CET!D68-GEN_CET5!C68</f>
        <v>-0.7999999999999998</v>
      </c>
      <c r="D68">
        <f>GEN_CET!E68-GEN_CET5!D68</f>
        <v>-48</v>
      </c>
      <c r="E68">
        <f>GEN_CET!F68-GEN_CET5!E68</f>
        <v>5</v>
      </c>
      <c r="F68">
        <f>GEN_CET!G68-GEN_CET5!F68</f>
        <v>0.11399999999999999</v>
      </c>
      <c r="G68">
        <f>GEN_CET!H68-GEN_CET5!G68</f>
        <v>0</v>
      </c>
      <c r="H68">
        <f>GEN_CET!I68-GEN_CET5!I68</f>
        <v>0.01</v>
      </c>
      <c r="I68">
        <f>GEN_CET!J68-GEN_CET5!J68</f>
        <v>-0.5</v>
      </c>
      <c r="J68">
        <f>GEN_CET!K68-GEN_CET5!K68</f>
        <v>-13</v>
      </c>
      <c r="K68">
        <f>GEN_CET!L68-GEN_CET5!L68</f>
        <v>-0.6000000000000014</v>
      </c>
      <c r="L68">
        <f>GEN_CET!M68-GEN_CET5!M68</f>
        <v>-12</v>
      </c>
      <c r="V68" s="57"/>
      <c r="W68" s="57"/>
    </row>
    <row r="69" spans="1:23" ht="12.75">
      <c r="A69" t="s">
        <v>686</v>
      </c>
      <c r="B69">
        <f>GEN_CET!C69-GEN_CET5!B69</f>
        <v>2.5199999999999996</v>
      </c>
      <c r="C69">
        <f>GEN_CET!D69-GEN_CET5!C69</f>
        <v>-0.7999999999999998</v>
      </c>
      <c r="D69">
        <f>GEN_CET!E69-GEN_CET5!D69</f>
        <v>0</v>
      </c>
      <c r="E69">
        <f>GEN_CET!F69-GEN_CET5!E69</f>
        <v>1</v>
      </c>
      <c r="F69">
        <f>GEN_CET!G69-GEN_CET5!F69</f>
        <v>0</v>
      </c>
      <c r="G69">
        <f>GEN_CET!H69-GEN_CET5!G69</f>
        <v>0</v>
      </c>
      <c r="H69">
        <f>GEN_CET!I69-GEN_CET5!I69</f>
        <v>0.01</v>
      </c>
      <c r="I69">
        <f>GEN_CET!J69-GEN_CET5!J69</f>
        <v>1.7999999999999972</v>
      </c>
      <c r="J69">
        <f>GEN_CET!K69-GEN_CET5!K69</f>
        <v>-10</v>
      </c>
      <c r="K69">
        <f>GEN_CET!L69-GEN_CET5!L69</f>
        <v>1.8999999999999986</v>
      </c>
      <c r="L69">
        <f>GEN_CET!M69-GEN_CET5!M69</f>
        <v>-10</v>
      </c>
      <c r="V69" s="97"/>
      <c r="W69" s="55"/>
    </row>
    <row r="70" spans="1:23" ht="12.75">
      <c r="A70" t="s">
        <v>705</v>
      </c>
      <c r="B70">
        <f>GEN_CET!C70-GEN_CET5!B70</f>
        <v>0</v>
      </c>
      <c r="C70">
        <f>GEN_CET!D70-GEN_CET5!C70</f>
        <v>0</v>
      </c>
      <c r="D70">
        <f>GEN_CET!E70-GEN_CET5!D70</f>
        <v>0</v>
      </c>
      <c r="E70">
        <f>GEN_CET!F70-GEN_CET5!E70</f>
        <v>0</v>
      </c>
      <c r="F70">
        <f>GEN_CET!G70-GEN_CET5!F70</f>
        <v>0</v>
      </c>
      <c r="G70">
        <f>GEN_CET!H70-GEN_CET5!G70</f>
        <v>0</v>
      </c>
      <c r="H70">
        <f>GEN_CET!I70-GEN_CET5!I70</f>
        <v>0</v>
      </c>
      <c r="I70">
        <f>GEN_CET!J70-GEN_CET5!J70</f>
        <v>0</v>
      </c>
      <c r="J70">
        <f>GEN_CET!K70-GEN_CET5!K70</f>
        <v>0</v>
      </c>
      <c r="K70">
        <f>GEN_CET!L70-GEN_CET5!L70</f>
        <v>0</v>
      </c>
      <c r="L70">
        <f>GEN_CET!M70-GEN_CET5!M70</f>
        <v>0</v>
      </c>
      <c r="V70" s="54"/>
      <c r="W70" s="55"/>
    </row>
    <row r="71" spans="1:23" ht="12.75">
      <c r="A71" t="s">
        <v>706</v>
      </c>
      <c r="B71">
        <f>GEN_CET!C71-GEN_CET5!B71</f>
        <v>0</v>
      </c>
      <c r="C71">
        <f>GEN_CET!D71-GEN_CET5!C71</f>
        <v>0</v>
      </c>
      <c r="D71">
        <f>GEN_CET!E71-GEN_CET5!D71</f>
        <v>0</v>
      </c>
      <c r="E71">
        <f>GEN_CET!F71-GEN_CET5!E71</f>
        <v>1</v>
      </c>
      <c r="F71">
        <f>GEN_CET!G71-GEN_CET5!F71</f>
        <v>0.04576000000000002</v>
      </c>
      <c r="G71">
        <f>GEN_CET!H71-GEN_CET5!G71</f>
        <v>-0.03600000000000003</v>
      </c>
      <c r="H71">
        <f>GEN_CET!I71-GEN_CET5!I71</f>
        <v>-0.03</v>
      </c>
      <c r="I71">
        <f>GEN_CET!J71-GEN_CET5!J71</f>
        <v>-0.3000000000000007</v>
      </c>
      <c r="J71">
        <f>GEN_CET!K71-GEN_CET5!K71</f>
        <v>11</v>
      </c>
      <c r="K71">
        <f>GEN_CET!L71-GEN_CET5!L71</f>
        <v>-3.1000000000000014</v>
      </c>
      <c r="L71">
        <f>GEN_CET!M71-GEN_CET5!M71</f>
        <v>1</v>
      </c>
      <c r="V71" s="54"/>
      <c r="W71" s="55"/>
    </row>
    <row r="72" spans="1:23" ht="12.75">
      <c r="A72" t="s">
        <v>707</v>
      </c>
      <c r="B72">
        <f>GEN_CET!C72-GEN_CET5!B72</f>
        <v>0</v>
      </c>
      <c r="C72">
        <f>GEN_CET!D72-GEN_CET5!C72</f>
        <v>0</v>
      </c>
      <c r="D72">
        <f>GEN_CET!E72-GEN_CET5!D72</f>
        <v>0</v>
      </c>
      <c r="E72">
        <f>GEN_CET!F72-GEN_CET5!E72</f>
        <v>2</v>
      </c>
      <c r="F72">
        <f>GEN_CET!G72-GEN_CET5!F72</f>
        <v>0.04576000000000002</v>
      </c>
      <c r="G72">
        <f>GEN_CET!H72-GEN_CET5!G72</f>
        <v>-0.03600000000000003</v>
      </c>
      <c r="H72">
        <f>GEN_CET!I72-GEN_CET5!I72</f>
        <v>-0.04</v>
      </c>
      <c r="I72">
        <f>GEN_CET!J72-GEN_CET5!J72</f>
        <v>-0.3000000000000007</v>
      </c>
      <c r="J72">
        <f>GEN_CET!K72-GEN_CET5!K72</f>
        <v>3</v>
      </c>
      <c r="K72">
        <f>GEN_CET!L72-GEN_CET5!L72</f>
        <v>-2.8999999999999986</v>
      </c>
      <c r="L72">
        <f>GEN_CET!M72-GEN_CET5!M72</f>
        <v>0</v>
      </c>
      <c r="V72" s="54"/>
      <c r="W72" s="55"/>
    </row>
    <row r="73" spans="1:23" ht="12.75">
      <c r="A73" t="s">
        <v>708</v>
      </c>
      <c r="B73">
        <f>GEN_CET!C73-GEN_CET5!B73</f>
        <v>0</v>
      </c>
      <c r="C73">
        <f>GEN_CET!D73-GEN_CET5!C73</f>
        <v>0</v>
      </c>
      <c r="D73">
        <f>GEN_CET!E73-GEN_CET5!D73</f>
        <v>0</v>
      </c>
      <c r="E73">
        <f>GEN_CET!F73-GEN_CET5!E73</f>
        <v>1</v>
      </c>
      <c r="F73">
        <f>GEN_CET!G73-GEN_CET5!F73</f>
        <v>0.07599999999999996</v>
      </c>
      <c r="G73">
        <f>GEN_CET!H73-GEN_CET5!G73</f>
        <v>0</v>
      </c>
      <c r="H73">
        <f>GEN_CET!I73-GEN_CET5!I73</f>
        <v>0</v>
      </c>
      <c r="I73">
        <f>GEN_CET!J73-GEN_CET5!J73</f>
        <v>-0.10000000000000142</v>
      </c>
      <c r="J73">
        <f>GEN_CET!K73-GEN_CET5!K73</f>
        <v>-1</v>
      </c>
      <c r="K73">
        <f>GEN_CET!L73-GEN_CET5!L73</f>
        <v>0.29999999999999716</v>
      </c>
      <c r="L73">
        <f>GEN_CET!M73-GEN_CET5!M73</f>
        <v>0</v>
      </c>
      <c r="V73" s="54"/>
      <c r="W73" s="55"/>
    </row>
    <row r="74" spans="1:23" ht="12.75">
      <c r="A74" t="s">
        <v>709</v>
      </c>
      <c r="B74">
        <f>GEN_CET!C74-GEN_CET5!B74</f>
        <v>0</v>
      </c>
      <c r="C74">
        <f>GEN_CET!D74-GEN_CET5!C74</f>
        <v>0</v>
      </c>
      <c r="D74">
        <f>GEN_CET!E74-GEN_CET5!D74</f>
        <v>0</v>
      </c>
      <c r="E74">
        <f>GEN_CET!F74-GEN_CET5!E74</f>
        <v>0</v>
      </c>
      <c r="F74">
        <f>GEN_CET!G74-GEN_CET5!F74</f>
        <v>0.07599999999999996</v>
      </c>
      <c r="G74">
        <f>GEN_CET!H74-GEN_CET5!G74</f>
        <v>0</v>
      </c>
      <c r="H74">
        <f>GEN_CET!I74-GEN_CET5!I74</f>
        <v>0</v>
      </c>
      <c r="I74">
        <f>GEN_CET!J74-GEN_CET5!J74</f>
        <v>0</v>
      </c>
      <c r="J74">
        <f>GEN_CET!K74-GEN_CET5!K74</f>
        <v>0</v>
      </c>
      <c r="K74">
        <f>GEN_CET!L74-GEN_CET5!L74</f>
        <v>0</v>
      </c>
      <c r="L74">
        <f>GEN_CET!M74-GEN_CET5!M74</f>
        <v>0</v>
      </c>
      <c r="V74" s="54"/>
      <c r="W74" s="55"/>
    </row>
    <row r="75" spans="1:23" ht="12.75">
      <c r="A75" t="s">
        <v>710</v>
      </c>
      <c r="B75">
        <f>GEN_CET!C75-GEN_CET5!B75</f>
        <v>0</v>
      </c>
      <c r="C75">
        <f>GEN_CET!D75-GEN_CET5!C75</f>
        <v>0</v>
      </c>
      <c r="D75">
        <f>GEN_CET!E75-GEN_CET5!D75</f>
        <v>0</v>
      </c>
      <c r="E75">
        <f>GEN_CET!F75-GEN_CET5!E75</f>
        <v>-1</v>
      </c>
      <c r="F75">
        <f>GEN_CET!G75-GEN_CET5!F75</f>
        <v>0.07599999999999996</v>
      </c>
      <c r="G75">
        <f>GEN_CET!H75-GEN_CET5!G75</f>
        <v>0</v>
      </c>
      <c r="H75">
        <f>GEN_CET!I75-GEN_CET5!I75</f>
        <v>0</v>
      </c>
      <c r="I75">
        <f>GEN_CET!J75-GEN_CET5!J75</f>
        <v>0</v>
      </c>
      <c r="J75">
        <f>GEN_CET!K75-GEN_CET5!K75</f>
        <v>0</v>
      </c>
      <c r="K75">
        <f>GEN_CET!L75-GEN_CET5!L75</f>
        <v>0</v>
      </c>
      <c r="L75">
        <f>GEN_CET!M75-GEN_CET5!M75</f>
        <v>0</v>
      </c>
      <c r="V75" s="54"/>
      <c r="W75" s="55"/>
    </row>
    <row r="76" spans="1:23" ht="12.75">
      <c r="A76" t="s">
        <v>716</v>
      </c>
      <c r="B76">
        <f>GEN_CET!C76-GEN_CET5!B76</f>
        <v>0</v>
      </c>
      <c r="C76">
        <f>GEN_CET!D76-GEN_CET5!C76</f>
        <v>0</v>
      </c>
      <c r="D76">
        <f>GEN_CET!E76-GEN_CET5!D76</f>
        <v>0</v>
      </c>
      <c r="E76">
        <f>GEN_CET!F76-GEN_CET5!E76</f>
        <v>2</v>
      </c>
      <c r="F76">
        <f>GEN_CET!G76-GEN_CET5!F76</f>
        <v>0</v>
      </c>
      <c r="G76">
        <f>GEN_CET!H76-GEN_CET5!G76</f>
        <v>0</v>
      </c>
      <c r="H76">
        <f>GEN_CET!I76-GEN_CET5!I76</f>
        <v>0</v>
      </c>
      <c r="I76">
        <f>GEN_CET!J76-GEN_CET5!J76</f>
        <v>0</v>
      </c>
      <c r="J76">
        <f>GEN_CET!K76-GEN_CET5!K76</f>
        <v>9</v>
      </c>
      <c r="K76">
        <f>GEN_CET!L76-GEN_CET5!L76</f>
        <v>0</v>
      </c>
      <c r="L76">
        <f>GEN_CET!M76-GEN_CET5!M76</f>
        <v>22</v>
      </c>
      <c r="V76" s="54"/>
      <c r="W76" s="55"/>
    </row>
    <row r="77" spans="1:23" ht="12.75">
      <c r="A77" t="s">
        <v>718</v>
      </c>
      <c r="B77">
        <f>GEN_CET!C77-GEN_CET5!B77</f>
        <v>0</v>
      </c>
      <c r="C77">
        <f>GEN_CET!D77-GEN_CET5!C77</f>
        <v>0</v>
      </c>
      <c r="D77">
        <f>GEN_CET!E77-GEN_CET5!D77</f>
        <v>0</v>
      </c>
      <c r="E77">
        <f>GEN_CET!F77-GEN_CET5!E77</f>
        <v>0</v>
      </c>
      <c r="F77">
        <f>GEN_CET!G77-GEN_CET5!F77</f>
        <v>0</v>
      </c>
      <c r="G77">
        <f>GEN_CET!H77-GEN_CET5!G77</f>
        <v>0</v>
      </c>
      <c r="H77">
        <f>GEN_CET!I77-GEN_CET5!I77</f>
        <v>0</v>
      </c>
      <c r="I77">
        <f>GEN_CET!J77-GEN_CET5!J77</f>
        <v>0</v>
      </c>
      <c r="J77">
        <f>GEN_CET!K77-GEN_CET5!K77</f>
        <v>0</v>
      </c>
      <c r="K77">
        <f>GEN_CET!L77-GEN_CET5!L77</f>
        <v>0</v>
      </c>
      <c r="L77">
        <f>GEN_CET!M77-GEN_CET5!M77</f>
        <v>0</v>
      </c>
      <c r="V77" s="54"/>
      <c r="W77" s="55"/>
    </row>
    <row r="78" spans="1:23" ht="12.75">
      <c r="A78" t="s">
        <v>719</v>
      </c>
      <c r="B78">
        <f>GEN_CET!C78-GEN_CET5!B78</f>
        <v>0</v>
      </c>
      <c r="C78">
        <f>GEN_CET!D78-GEN_CET5!C78</f>
        <v>0</v>
      </c>
      <c r="D78">
        <f>GEN_CET!E78-GEN_CET5!D78</f>
        <v>0</v>
      </c>
      <c r="E78">
        <f>GEN_CET!F78-GEN_CET5!E78</f>
        <v>2</v>
      </c>
      <c r="F78">
        <f>GEN_CET!G78-GEN_CET5!F78</f>
        <v>0</v>
      </c>
      <c r="G78">
        <f>GEN_CET!H78-GEN_CET5!G78</f>
        <v>0</v>
      </c>
      <c r="H78">
        <f>GEN_CET!I78-GEN_CET5!I78</f>
        <v>0</v>
      </c>
      <c r="I78">
        <f>GEN_CET!J78-GEN_CET5!J78</f>
        <v>0</v>
      </c>
      <c r="J78">
        <f>GEN_CET!K78-GEN_CET5!K78</f>
        <v>0</v>
      </c>
      <c r="K78">
        <f>GEN_CET!L78-GEN_CET5!L78</f>
        <v>0</v>
      </c>
      <c r="L78">
        <f>GEN_CET!M78-GEN_CET5!M78</f>
        <v>0</v>
      </c>
      <c r="V78" s="54"/>
      <c r="W78" s="55"/>
    </row>
    <row r="79" spans="1:23" ht="12.75">
      <c r="A79" t="s">
        <v>720</v>
      </c>
      <c r="B79">
        <f>GEN_CET!C79-GEN_CET5!B79</f>
        <v>0</v>
      </c>
      <c r="C79">
        <f>GEN_CET!D79-GEN_CET5!C79</f>
        <v>0</v>
      </c>
      <c r="D79">
        <f>GEN_CET!E79-GEN_CET5!D79</f>
        <v>0</v>
      </c>
      <c r="E79">
        <f>GEN_CET!F79-GEN_CET5!E79</f>
        <v>-1</v>
      </c>
      <c r="F79">
        <f>GEN_CET!G79-GEN_CET5!F79</f>
        <v>0.009499999999999953</v>
      </c>
      <c r="G79">
        <f>GEN_CET!H79-GEN_CET5!G79</f>
        <v>0</v>
      </c>
      <c r="H79">
        <f>GEN_CET!I79-GEN_CET5!I79</f>
        <v>0</v>
      </c>
      <c r="I79">
        <f>GEN_CET!J79-GEN_CET5!J79</f>
        <v>0</v>
      </c>
      <c r="J79">
        <f>GEN_CET!K79-GEN_CET5!K79</f>
        <v>0</v>
      </c>
      <c r="K79">
        <f>GEN_CET!L79-GEN_CET5!L79</f>
        <v>0</v>
      </c>
      <c r="L79">
        <f>GEN_CET!M79-GEN_CET5!M79</f>
        <v>0</v>
      </c>
      <c r="V79" s="54"/>
      <c r="W79" s="55"/>
    </row>
    <row r="80" spans="1:23" ht="12.75">
      <c r="A80" t="s">
        <v>721</v>
      </c>
      <c r="B80">
        <f>GEN_CET!C80-GEN_CET5!B80</f>
        <v>0</v>
      </c>
      <c r="C80">
        <f>GEN_CET!D80-GEN_CET5!C80</f>
        <v>0</v>
      </c>
      <c r="D80">
        <f>GEN_CET!E80-GEN_CET5!D80</f>
        <v>0</v>
      </c>
      <c r="E80">
        <f>GEN_CET!F80-GEN_CET5!E80</f>
        <v>0</v>
      </c>
      <c r="F80">
        <f>GEN_CET!G80-GEN_CET5!F80</f>
        <v>0.009499999999999953</v>
      </c>
      <c r="G80">
        <f>GEN_CET!H80-GEN_CET5!G80</f>
        <v>0</v>
      </c>
      <c r="H80">
        <f>GEN_CET!I80-GEN_CET5!I80</f>
        <v>0</v>
      </c>
      <c r="I80">
        <f>GEN_CET!J80-GEN_CET5!J80</f>
        <v>0</v>
      </c>
      <c r="J80">
        <f>GEN_CET!K80-GEN_CET5!K80</f>
        <v>0</v>
      </c>
      <c r="K80">
        <f>GEN_CET!L80-GEN_CET5!L80</f>
        <v>0</v>
      </c>
      <c r="L80">
        <f>GEN_CET!M80-GEN_CET5!M80</f>
        <v>0</v>
      </c>
      <c r="V80" s="54"/>
      <c r="W80" s="55"/>
    </row>
    <row r="81" spans="1:23" ht="13.5" thickBot="1">
      <c r="A81" t="s">
        <v>722</v>
      </c>
      <c r="B81">
        <f>GEN_CET!C81-GEN_CET5!B81</f>
        <v>0</v>
      </c>
      <c r="C81">
        <f>GEN_CET!D81-GEN_CET5!C81</f>
        <v>0</v>
      </c>
      <c r="D81">
        <f>GEN_CET!E81-GEN_CET5!D81</f>
        <v>0</v>
      </c>
      <c r="E81">
        <f>GEN_CET!F81-GEN_CET5!E81</f>
        <v>0</v>
      </c>
      <c r="F81">
        <f>GEN_CET!G81-GEN_CET5!F81</f>
        <v>0.009499999999999953</v>
      </c>
      <c r="G81">
        <f>GEN_CET!H81-GEN_CET5!G81</f>
        <v>0</v>
      </c>
      <c r="H81">
        <f>GEN_CET!I81-GEN_CET5!I81</f>
        <v>0</v>
      </c>
      <c r="I81">
        <f>GEN_CET!J81-GEN_CET5!J81</f>
        <v>0</v>
      </c>
      <c r="J81">
        <f>GEN_CET!K81-GEN_CET5!K81</f>
        <v>0</v>
      </c>
      <c r="K81">
        <f>GEN_CET!L81-GEN_CET5!L81</f>
        <v>0</v>
      </c>
      <c r="L81">
        <f>GEN_CET!M81-GEN_CET5!M81</f>
        <v>0</v>
      </c>
      <c r="V81" s="56"/>
      <c r="W81" s="56"/>
    </row>
    <row r="82" spans="1:12" ht="12.75">
      <c r="A82" t="s">
        <v>724</v>
      </c>
      <c r="B82">
        <f>GEN_CET!C82-GEN_CET5!B82</f>
        <v>0</v>
      </c>
      <c r="C82">
        <f>GEN_CET!D82-GEN_CET5!C82</f>
        <v>0</v>
      </c>
      <c r="D82">
        <f>GEN_CET!E82-GEN_CET5!D82</f>
        <v>0</v>
      </c>
      <c r="E82">
        <f>GEN_CET!F82-GEN_CET5!E82</f>
        <v>0</v>
      </c>
      <c r="F82">
        <f>GEN_CET!G82-GEN_CET5!F82</f>
        <v>0.009499999999999953</v>
      </c>
      <c r="G82">
        <f>GEN_CET!H82-GEN_CET5!G82</f>
        <v>0</v>
      </c>
      <c r="H82">
        <f>GEN_CET!I82-GEN_CET5!I82</f>
        <v>0</v>
      </c>
      <c r="I82">
        <f>GEN_CET!J82-GEN_CET5!J82</f>
        <v>0</v>
      </c>
      <c r="J82">
        <f>GEN_CET!K82-GEN_CET5!K82</f>
        <v>0</v>
      </c>
      <c r="K82">
        <f>GEN_CET!L82-GEN_CET5!L82</f>
        <v>0</v>
      </c>
      <c r="L82">
        <f>GEN_CET!M82-GEN_CET5!M82</f>
        <v>0</v>
      </c>
    </row>
    <row r="83" spans="1:12" ht="12.75">
      <c r="A83" t="s">
        <v>725</v>
      </c>
      <c r="B83">
        <f>GEN_CET!C83-GEN_CET5!B83</f>
        <v>0</v>
      </c>
      <c r="C83">
        <f>GEN_CET!D83-GEN_CET5!C83</f>
        <v>0</v>
      </c>
      <c r="D83">
        <f>GEN_CET!E83-GEN_CET5!D83</f>
        <v>0</v>
      </c>
      <c r="E83">
        <f>GEN_CET!F83-GEN_CET5!E83</f>
        <v>0</v>
      </c>
      <c r="F83">
        <f>GEN_CET!G83-GEN_CET5!F83</f>
        <v>0.009499999999999953</v>
      </c>
      <c r="G83">
        <f>GEN_CET!H83-GEN_CET5!G83</f>
        <v>0</v>
      </c>
      <c r="H83">
        <f>GEN_CET!I83-GEN_CET5!I83</f>
        <v>0</v>
      </c>
      <c r="I83">
        <f>GEN_CET!J83-GEN_CET5!J83</f>
        <v>0</v>
      </c>
      <c r="J83">
        <f>GEN_CET!K83-GEN_CET5!K83</f>
        <v>0</v>
      </c>
      <c r="K83">
        <f>GEN_CET!L83-GEN_CET5!L83</f>
        <v>0</v>
      </c>
      <c r="L83">
        <f>GEN_CET!M83-GEN_CET5!M83</f>
        <v>0</v>
      </c>
    </row>
    <row r="84" spans="1:12" ht="12.75">
      <c r="A84" t="s">
        <v>726</v>
      </c>
      <c r="B84">
        <f>GEN_CET!C84-GEN_CET5!B84</f>
        <v>0</v>
      </c>
      <c r="C84">
        <f>GEN_CET!D84-GEN_CET5!C84</f>
        <v>0</v>
      </c>
      <c r="D84">
        <f>GEN_CET!E84-GEN_CET5!D84</f>
        <v>0</v>
      </c>
      <c r="E84">
        <f>GEN_CET!F84-GEN_CET5!E84</f>
        <v>0</v>
      </c>
      <c r="F84">
        <f>GEN_CET!G84-GEN_CET5!F84</f>
        <v>0.009499999999999953</v>
      </c>
      <c r="G84">
        <f>GEN_CET!H84-GEN_CET5!G84</f>
        <v>0</v>
      </c>
      <c r="H84">
        <f>GEN_CET!I84-GEN_CET5!I84</f>
        <v>0</v>
      </c>
      <c r="I84">
        <f>GEN_CET!J84-GEN_CET5!J84</f>
        <v>0</v>
      </c>
      <c r="J84">
        <f>GEN_CET!K84-GEN_CET5!K84</f>
        <v>0</v>
      </c>
      <c r="K84">
        <f>GEN_CET!L84-GEN_CET5!L84</f>
        <v>0</v>
      </c>
      <c r="L84">
        <f>GEN_CET!M84-GEN_CET5!M84</f>
        <v>0</v>
      </c>
    </row>
    <row r="85" spans="1:12" ht="12.75">
      <c r="A85" t="s">
        <v>727</v>
      </c>
      <c r="B85">
        <f>GEN_CET!C85-GEN_CET5!B85</f>
        <v>0</v>
      </c>
      <c r="C85">
        <f>GEN_CET!D85-GEN_CET5!C85</f>
        <v>0</v>
      </c>
      <c r="D85">
        <f>GEN_CET!E85-GEN_CET5!D85</f>
        <v>0</v>
      </c>
      <c r="E85">
        <f>GEN_CET!F85-GEN_CET5!E85</f>
        <v>0</v>
      </c>
      <c r="F85">
        <f>GEN_CET!G85-GEN_CET5!F85</f>
        <v>0.009499999999999953</v>
      </c>
      <c r="G85">
        <f>GEN_CET!H85-GEN_CET5!G85</f>
        <v>0</v>
      </c>
      <c r="H85">
        <f>GEN_CET!I85-GEN_CET5!I85</f>
        <v>0</v>
      </c>
      <c r="I85">
        <f>GEN_CET!J85-GEN_CET5!J85</f>
        <v>0</v>
      </c>
      <c r="J85">
        <f>GEN_CET!K85-GEN_CET5!K85</f>
        <v>0</v>
      </c>
      <c r="K85">
        <f>GEN_CET!L85-GEN_CET5!L85</f>
        <v>0</v>
      </c>
      <c r="L85">
        <f>GEN_CET!M85-GEN_CET5!M85</f>
        <v>0</v>
      </c>
    </row>
    <row r="86" spans="1:12" ht="12.75">
      <c r="A86" t="s">
        <v>728</v>
      </c>
      <c r="B86">
        <f>GEN_CET!C86-GEN_CET5!B86</f>
        <v>0</v>
      </c>
      <c r="C86">
        <f>GEN_CET!D86-GEN_CET5!C86</f>
        <v>0</v>
      </c>
      <c r="D86">
        <f>GEN_CET!E86-GEN_CET5!D86</f>
        <v>0</v>
      </c>
      <c r="E86">
        <f>GEN_CET!F86-GEN_CET5!E86</f>
        <v>0</v>
      </c>
      <c r="F86">
        <f>GEN_CET!G86-GEN_CET5!F86</f>
        <v>0.009499999999999953</v>
      </c>
      <c r="G86">
        <f>GEN_CET!H86-GEN_CET5!G86</f>
        <v>0</v>
      </c>
      <c r="H86">
        <f>GEN_CET!I86-GEN_CET5!I86</f>
        <v>0</v>
      </c>
      <c r="I86">
        <f>GEN_CET!J86-GEN_CET5!J86</f>
        <v>0</v>
      </c>
      <c r="J86">
        <f>GEN_CET!K86-GEN_CET5!K86</f>
        <v>0</v>
      </c>
      <c r="K86">
        <f>GEN_CET!L86-GEN_CET5!L86</f>
        <v>0</v>
      </c>
      <c r="L86">
        <f>GEN_CET!M86-GEN_CET5!M86</f>
        <v>0</v>
      </c>
    </row>
    <row r="87" spans="1:12" ht="12.75">
      <c r="A87" t="s">
        <v>729</v>
      </c>
      <c r="B87">
        <f>GEN_CET!C87-GEN_CET5!B87</f>
        <v>0</v>
      </c>
      <c r="C87">
        <f>GEN_CET!D87-GEN_CET5!C87</f>
        <v>0</v>
      </c>
      <c r="D87">
        <f>GEN_CET!E87-GEN_CET5!D87</f>
        <v>0</v>
      </c>
      <c r="E87">
        <f>GEN_CET!F87-GEN_CET5!E87</f>
        <v>0</v>
      </c>
      <c r="F87">
        <f>GEN_CET!G87-GEN_CET5!F87</f>
        <v>0.009499999999999953</v>
      </c>
      <c r="G87">
        <f>GEN_CET!H87-GEN_CET5!G87</f>
        <v>0</v>
      </c>
      <c r="H87">
        <f>GEN_CET!I87-GEN_CET5!I87</f>
        <v>0</v>
      </c>
      <c r="I87">
        <f>GEN_CET!J87-GEN_CET5!J87</f>
        <v>0</v>
      </c>
      <c r="J87">
        <f>GEN_CET!K87-GEN_CET5!K87</f>
        <v>-1</v>
      </c>
      <c r="K87">
        <f>GEN_CET!L87-GEN_CET5!L87</f>
        <v>0</v>
      </c>
      <c r="L87">
        <f>GEN_CET!M87-GEN_CET5!M87</f>
        <v>0</v>
      </c>
    </row>
    <row r="88" spans="1:12" ht="12.75">
      <c r="A88" t="s">
        <v>730</v>
      </c>
      <c r="B88">
        <f>GEN_CET!C88-GEN_CET5!B88</f>
        <v>-1</v>
      </c>
      <c r="C88">
        <f>GEN_CET!D88-GEN_CET5!C88</f>
        <v>0.5</v>
      </c>
      <c r="D88">
        <f>GEN_CET!E88-GEN_CET5!D88</f>
        <v>0</v>
      </c>
      <c r="E88">
        <f>GEN_CET!F88-GEN_CET5!E88</f>
        <v>0</v>
      </c>
      <c r="F88">
        <f>GEN_CET!G88-GEN_CET5!F88</f>
        <v>0.009499999999999953</v>
      </c>
      <c r="G88">
        <f>GEN_CET!H88-GEN_CET5!G88</f>
        <v>0</v>
      </c>
      <c r="H88">
        <f>GEN_CET!I88-GEN_CET5!I88</f>
        <v>-0.020000000000000004</v>
      </c>
      <c r="I88">
        <f>GEN_CET!J88-GEN_CET5!J88</f>
        <v>-0.40000000000000036</v>
      </c>
      <c r="J88">
        <f>GEN_CET!K88-GEN_CET5!K88</f>
        <v>11</v>
      </c>
      <c r="K88">
        <f>GEN_CET!L88-GEN_CET5!L88</f>
        <v>-0.5999999999999996</v>
      </c>
      <c r="L88">
        <f>GEN_CET!M88-GEN_CET5!M88</f>
        <v>6</v>
      </c>
    </row>
    <row r="89" ht="12.75">
      <c r="F89">
        <f>COUNT(F2:F88)</f>
        <v>87</v>
      </c>
    </row>
    <row r="90" spans="7:8" ht="12.75">
      <c r="G90" t="s">
        <v>869</v>
      </c>
      <c r="H90">
        <f>F89-P89</f>
        <v>87</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L88"/>
  <sheetViews>
    <sheetView workbookViewId="0" topLeftCell="A1">
      <pane ySplit="576" topLeftCell="BM29" activePane="bottomLeft" state="split"/>
      <selection pane="topLeft" activeCell="C1" sqref="C1:C16384"/>
      <selection pane="bottomLeft" activeCell="S88" sqref="S88"/>
    </sheetView>
  </sheetViews>
  <sheetFormatPr defaultColWidth="9.140625" defaultRowHeight="12.75"/>
  <cols>
    <col min="1" max="1" width="26.00390625" style="0" customWidth="1"/>
    <col min="2" max="2" width="3.7109375" style="0" customWidth="1"/>
    <col min="3" max="3" width="4.57421875" style="0" customWidth="1"/>
    <col min="4" max="4" width="3.8515625" style="0" customWidth="1"/>
    <col min="5" max="5" width="3.28125" style="0" customWidth="1"/>
    <col min="6" max="7" width="5.8515625" style="0" customWidth="1"/>
    <col min="8" max="8" width="4.8515625" style="0" customWidth="1"/>
    <col min="9" max="9" width="4.28125" style="0" customWidth="1"/>
    <col min="10" max="10" width="3.7109375" style="0" customWidth="1"/>
    <col min="11" max="12" width="5.140625" style="0" customWidth="1"/>
  </cols>
  <sheetData>
    <row r="1" spans="1:12" ht="15">
      <c r="A1" s="145" t="str">
        <f>singleSpecies!A1</f>
        <v>Species</v>
      </c>
      <c r="B1" s="145" t="str">
        <f>singleSpecies!N1</f>
        <v>AFR</v>
      </c>
      <c r="C1" s="145" t="str">
        <f>singleSpecies!S1</f>
        <v>IBI</v>
      </c>
      <c r="D1" s="145" t="s">
        <v>100</v>
      </c>
      <c r="E1" s="145" t="s">
        <v>699</v>
      </c>
      <c r="F1" s="145" t="s">
        <v>102</v>
      </c>
      <c r="G1" s="145" t="s">
        <v>101</v>
      </c>
      <c r="H1" s="145" t="s">
        <v>103</v>
      </c>
      <c r="I1" s="145" t="s">
        <v>700</v>
      </c>
      <c r="J1" s="145" t="s">
        <v>701</v>
      </c>
      <c r="K1" s="145" t="s">
        <v>437</v>
      </c>
      <c r="L1" s="145" t="s">
        <v>702</v>
      </c>
    </row>
    <row r="2" spans="1:12" ht="12.75">
      <c r="A2" s="144" t="str">
        <f>singleSpecies!A12</f>
        <v>Balaena mysticetus</v>
      </c>
      <c r="B2" s="148">
        <f>singleSpecies!N12</f>
        <v>20</v>
      </c>
      <c r="C2" s="150">
        <f>singleSpecies!S12</f>
        <v>3.1</v>
      </c>
      <c r="D2" s="148">
        <f>singleSpecies!Z12</f>
        <v>118</v>
      </c>
      <c r="E2">
        <f>singleSpecies!AD12</f>
        <v>58</v>
      </c>
      <c r="F2" s="146">
        <f>GEN_CET5!F12</f>
        <v>0.8232</v>
      </c>
      <c r="G2" s="146">
        <f>GEN_CET5!G12</f>
        <v>0.98</v>
      </c>
      <c r="H2" s="60">
        <f>GEN_CET5!I12</f>
        <v>0.03</v>
      </c>
      <c r="I2" s="147">
        <f>GEN_CET5!J12</f>
        <v>37.2</v>
      </c>
      <c r="J2">
        <f>GEN_CET5!K12</f>
        <v>39</v>
      </c>
      <c r="K2" s="147">
        <f>GEN_CET5!L12</f>
        <v>52.3</v>
      </c>
      <c r="L2">
        <v>65</v>
      </c>
    </row>
    <row r="3" spans="1:12" ht="12.75">
      <c r="A3" s="144" t="str">
        <f>singleSpecies!A2</f>
        <v>Balaenoptera acutorostrata</v>
      </c>
      <c r="B3">
        <f>singleSpecies!N2</f>
        <v>8</v>
      </c>
      <c r="C3" s="150">
        <f>singleSpecies!S2</f>
        <v>1</v>
      </c>
      <c r="D3" s="148"/>
      <c r="E3">
        <f>singleSpecies!AD2</f>
        <v>51</v>
      </c>
      <c r="F3" s="146">
        <f>GEN_CET5!F2</f>
        <v>0.8064</v>
      </c>
      <c r="G3" s="146">
        <f>GEN_CET5!G2</f>
        <v>0.96</v>
      </c>
      <c r="H3" s="60">
        <f>GEN_CET5!I2</f>
        <v>0.09</v>
      </c>
      <c r="I3" s="147">
        <f>GEN_CET5!J2</f>
        <v>13</v>
      </c>
      <c r="J3">
        <f>GEN_CET5!K2</f>
        <v>38</v>
      </c>
      <c r="K3" s="147">
        <f>GEN_CET5!L2</f>
        <v>22.1</v>
      </c>
      <c r="L3">
        <v>71</v>
      </c>
    </row>
    <row r="4" spans="1:12" ht="12.75">
      <c r="A4" s="144" t="str">
        <f>singleSpecies!A3</f>
        <v>Balaenoptera bonaerensis</v>
      </c>
      <c r="B4" s="148">
        <f>singleSpecies!N3</f>
        <v>8</v>
      </c>
      <c r="C4" s="150">
        <f>singleSpecies!S3</f>
        <v>1.2</v>
      </c>
      <c r="D4" s="148"/>
      <c r="E4">
        <f>singleSpecies!AD3</f>
        <v>51</v>
      </c>
      <c r="F4" s="146">
        <f>GEN_CET5!F3</f>
        <v>0.8064</v>
      </c>
      <c r="G4" s="146">
        <f>GEN_CET5!G3</f>
        <v>0.96</v>
      </c>
      <c r="H4" s="60">
        <f>GEN_CET5!I3</f>
        <v>0.08</v>
      </c>
      <c r="I4" s="147">
        <f>GEN_CET5!J3</f>
        <v>13.7</v>
      </c>
      <c r="J4">
        <f>GEN_CET5!K3</f>
        <v>41</v>
      </c>
      <c r="K4" s="147">
        <f>GEN_CET5!L3</f>
        <v>22.1</v>
      </c>
      <c r="L4">
        <v>71</v>
      </c>
    </row>
    <row r="5" spans="1:12" ht="12.75">
      <c r="A5" s="144" t="str">
        <f>singleSpecies!A4</f>
        <v>Balaenoptera borealis</v>
      </c>
      <c r="B5" s="148">
        <f>singleSpecies!N4</f>
        <v>9</v>
      </c>
      <c r="C5" s="150">
        <f>singleSpecies!S4</f>
        <v>2.5</v>
      </c>
      <c r="D5" s="148">
        <f>singleSpecies!Z4</f>
        <v>53</v>
      </c>
      <c r="E5">
        <f>singleSpecies!AD4</f>
        <v>54</v>
      </c>
      <c r="F5" s="146">
        <f>GEN_CET5!F4</f>
        <v>0.8064</v>
      </c>
      <c r="G5" s="146">
        <f>GEN_CET5!G4</f>
        <v>0.96</v>
      </c>
      <c r="H5" s="60">
        <f>GEN_CET5!I4</f>
        <v>0.04</v>
      </c>
      <c r="I5" s="147">
        <f>GEN_CET5!J4</f>
        <v>18.4</v>
      </c>
      <c r="J5">
        <f>GEN_CET5!K4</f>
        <v>52</v>
      </c>
      <c r="K5" s="147">
        <f>GEN_CET5!L4</f>
        <v>23.3</v>
      </c>
      <c r="L5">
        <v>68</v>
      </c>
    </row>
    <row r="6" spans="1:12" ht="12.75">
      <c r="A6" s="144" t="str">
        <f>singleSpecies!A5</f>
        <v>Balaenoptera edeni</v>
      </c>
      <c r="B6" s="148">
        <f>singleSpecies!N5</f>
        <v>9</v>
      </c>
      <c r="C6" s="150">
        <f>singleSpecies!S5</f>
        <v>2.5</v>
      </c>
      <c r="D6" s="148"/>
      <c r="E6">
        <f>singleSpecies!AD5</f>
        <v>53</v>
      </c>
      <c r="F6" s="149">
        <f>GEN_CET5!F5</f>
        <v>0.84</v>
      </c>
      <c r="G6" s="149">
        <f>GEN_CET5!G5</f>
        <v>0.925</v>
      </c>
      <c r="H6" s="60">
        <f>GEN_CET5!I5</f>
        <v>0</v>
      </c>
      <c r="I6" s="147">
        <f>GEN_CET5!J5</f>
        <v>18</v>
      </c>
      <c r="J6">
        <f>GEN_CET5!K5</f>
        <v>51</v>
      </c>
      <c r="K6" s="147">
        <f>GEN_CET5!L5</f>
        <v>18.4</v>
      </c>
      <c r="L6">
        <v>52</v>
      </c>
    </row>
    <row r="7" spans="1:12" ht="12.75">
      <c r="A7" s="144" t="str">
        <f>singleSpecies!A8</f>
        <v>Balaenoptera musculus</v>
      </c>
      <c r="B7" s="148">
        <f>singleSpecies!N8</f>
        <v>11</v>
      </c>
      <c r="C7" s="60">
        <f>singleSpecies!S8</f>
        <v>2.5</v>
      </c>
      <c r="D7" s="148"/>
      <c r="E7">
        <f>singleSpecies!AD8</f>
        <v>65</v>
      </c>
      <c r="F7" s="146">
        <f>GEN_CET5!F8</f>
        <v>0.819</v>
      </c>
      <c r="G7" s="146">
        <f>GEN_CET5!G8</f>
        <v>0.975</v>
      </c>
      <c r="H7" s="60">
        <f>GEN_CET5!I8</f>
        <v>0.05</v>
      </c>
      <c r="I7" s="147">
        <f>GEN_CET5!J8</f>
        <v>21.7</v>
      </c>
      <c r="J7">
        <f>GEN_CET5!K8</f>
        <v>48</v>
      </c>
      <c r="K7" s="147">
        <f>GEN_CET5!L8</f>
        <v>30.8</v>
      </c>
      <c r="L7">
        <v>72</v>
      </c>
    </row>
    <row r="8" spans="1:12" ht="12.75">
      <c r="A8" s="144" t="str">
        <f>singleSpecies!A6</f>
        <v>Balaenoptera omurai</v>
      </c>
      <c r="B8">
        <f>singleSpecies!N6</f>
        <v>9</v>
      </c>
      <c r="C8" s="60">
        <f>singleSpecies!S6</f>
        <v>2.5</v>
      </c>
      <c r="D8" s="148"/>
      <c r="E8">
        <f>singleSpecies!AD6</f>
        <v>54</v>
      </c>
      <c r="F8" s="146">
        <f>GEN_CET5!F6</f>
        <v>0.8064</v>
      </c>
      <c r="G8" s="146">
        <f>GEN_CET5!G6</f>
        <v>0.96</v>
      </c>
      <c r="H8" s="60">
        <f>GEN_CET5!I6</f>
        <v>0.04</v>
      </c>
      <c r="I8" s="147">
        <f>GEN_CET5!J6</f>
        <v>18.5</v>
      </c>
      <c r="J8">
        <f>GEN_CET5!K6</f>
        <v>52</v>
      </c>
      <c r="K8" s="147">
        <f>GEN_CET5!L6</f>
        <v>23.5</v>
      </c>
      <c r="L8">
        <v>68</v>
      </c>
    </row>
    <row r="9" spans="1:12" ht="12.75">
      <c r="A9" s="144" t="str">
        <f>singleSpecies!A7</f>
        <v>Balaenoptera physalus</v>
      </c>
      <c r="B9" s="148">
        <f>singleSpecies!N7</f>
        <v>10</v>
      </c>
      <c r="C9" s="150">
        <f>singleSpecies!S7</f>
        <v>2.24</v>
      </c>
      <c r="D9" s="148"/>
      <c r="E9">
        <f>singleSpecies!AD7</f>
        <v>62</v>
      </c>
      <c r="F9" s="146">
        <f>GEN_CET5!F7</f>
        <v>0.8064</v>
      </c>
      <c r="G9" s="146">
        <f>GEN_CET5!G7</f>
        <v>0.96</v>
      </c>
      <c r="H9" s="60">
        <f>GEN_CET5!I7</f>
        <v>0.04</v>
      </c>
      <c r="I9" s="147">
        <f>GEN_CET5!J7</f>
        <v>19.6</v>
      </c>
      <c r="J9">
        <f>GEN_CET5!K7</f>
        <v>48</v>
      </c>
      <c r="K9" s="147">
        <f>GEN_CET5!L7</f>
        <v>25.9</v>
      </c>
      <c r="L9">
        <v>66</v>
      </c>
    </row>
    <row r="10" spans="1:12" ht="12.75">
      <c r="A10" s="144" t="str">
        <f>singleSpecies!A16</f>
        <v>Berardius arnuxii</v>
      </c>
      <c r="B10">
        <f>singleSpecies!N16</f>
        <v>14</v>
      </c>
      <c r="C10" s="60">
        <f>singleSpecies!S16</f>
        <v>2</v>
      </c>
      <c r="D10" s="148"/>
      <c r="E10">
        <f>singleSpecies!AD16</f>
        <v>49</v>
      </c>
      <c r="F10" s="146">
        <f>GEN_CET5!F16</f>
        <v>0.798</v>
      </c>
      <c r="G10" s="146">
        <f>GEN_CET5!G16</f>
        <v>0.95</v>
      </c>
      <c r="H10" s="60">
        <f>GEN_CET5!I16</f>
        <v>0.02</v>
      </c>
      <c r="I10" s="147">
        <f>GEN_CET5!J16</f>
        <v>22.8</v>
      </c>
      <c r="J10">
        <f>GEN_CET5!K16</f>
        <v>38</v>
      </c>
      <c r="K10" s="147">
        <f>GEN_CET5!L16</f>
        <v>24.7</v>
      </c>
      <c r="L10">
        <v>47</v>
      </c>
    </row>
    <row r="11" spans="1:12" ht="12.75">
      <c r="A11" s="144" t="str">
        <f>singleSpecies!A17</f>
        <v>Berardius bairdii</v>
      </c>
      <c r="B11" s="148">
        <f>singleSpecies!N17</f>
        <v>14</v>
      </c>
      <c r="C11" s="60">
        <f>singleSpecies!S17</f>
        <v>2</v>
      </c>
      <c r="D11" s="148">
        <f>singleSpecies!Z17</f>
        <v>54</v>
      </c>
      <c r="E11">
        <f>singleSpecies!AD17</f>
        <v>53</v>
      </c>
      <c r="F11" s="146">
        <f>GEN_CET5!F17</f>
        <v>0.8064</v>
      </c>
      <c r="G11" s="146">
        <f>GEN_CET5!G17</f>
        <v>0.96</v>
      </c>
      <c r="H11" s="60">
        <f>GEN_CET5!I17</f>
        <v>0.03</v>
      </c>
      <c r="I11" s="147">
        <f>GEN_CET5!J17</f>
        <v>23.4</v>
      </c>
      <c r="J11">
        <f>GEN_CET5!K17</f>
        <v>38</v>
      </c>
      <c r="K11" s="147">
        <f>GEN_CET5!L17</f>
        <v>27.1</v>
      </c>
      <c r="L11">
        <v>53</v>
      </c>
    </row>
    <row r="12" spans="1:11" ht="12.75">
      <c r="A12" s="144" t="str">
        <f>singleSpecies!A10</f>
        <v>Caperea marginata</v>
      </c>
      <c r="C12" s="60"/>
      <c r="D12" s="148"/>
      <c r="E12">
        <f>singleSpecies!AD10</f>
        <v>45</v>
      </c>
      <c r="F12" s="146">
        <f>GEN_CET5!F10</f>
        <v>0.76</v>
      </c>
      <c r="G12" s="146">
        <f>GEN_CET5!G10</f>
        <v>0.96</v>
      </c>
      <c r="H12" s="60"/>
      <c r="I12" s="147"/>
      <c r="K12" s="147"/>
    </row>
    <row r="13" spans="1:12" ht="12.75">
      <c r="A13" s="144" t="str">
        <f>singleSpecies!A43</f>
        <v>Cephalorhynchus commersonii</v>
      </c>
      <c r="B13" s="148">
        <f>singleSpecies!N43</f>
        <v>7</v>
      </c>
      <c r="C13" s="60">
        <f>singleSpecies!S43</f>
        <v>2</v>
      </c>
      <c r="D13" s="148"/>
      <c r="E13">
        <f>singleSpecies!AD43</f>
        <v>28</v>
      </c>
      <c r="F13" s="149">
        <f>GEN_CET5!F43</f>
        <v>0.673</v>
      </c>
      <c r="G13" s="149">
        <f>GEN_CET5!G43</f>
        <v>0.914</v>
      </c>
      <c r="H13" s="60">
        <f>GEN_CET5!I43</f>
        <v>-0.01</v>
      </c>
      <c r="I13" s="147">
        <f>GEN_CET5!J43</f>
        <v>13</v>
      </c>
      <c r="J13">
        <f>GEN_CET5!K43</f>
        <v>55</v>
      </c>
      <c r="K13" s="147">
        <f>GEN_CET5!L43</f>
        <v>12.7</v>
      </c>
      <c r="L13">
        <v>53</v>
      </c>
    </row>
    <row r="14" spans="1:12" ht="12.75">
      <c r="A14" s="144" t="str">
        <f>singleSpecies!A44</f>
        <v>Cephalorhynchus eutropia</v>
      </c>
      <c r="B14">
        <f>singleSpecies!N44</f>
        <v>7</v>
      </c>
      <c r="C14" s="60">
        <f>singleSpecies!S44</f>
        <v>2</v>
      </c>
      <c r="D14" s="148"/>
      <c r="E14">
        <f>singleSpecies!AD44</f>
        <v>27</v>
      </c>
      <c r="F14" s="146">
        <f>GEN_CET5!F44</f>
        <v>0.798</v>
      </c>
      <c r="G14" s="146">
        <f>GEN_CET5!G44</f>
        <v>0.95</v>
      </c>
      <c r="H14" s="60">
        <f>GEN_CET5!I44</f>
        <v>0.04</v>
      </c>
      <c r="I14" s="147">
        <f>GEN_CET5!J44</f>
        <v>12.5</v>
      </c>
      <c r="J14">
        <f>GEN_CET5!K44</f>
        <v>54</v>
      </c>
      <c r="K14" s="147">
        <f>GEN_CET5!L44</f>
        <v>14</v>
      </c>
      <c r="L14">
        <v>64</v>
      </c>
    </row>
    <row r="15" spans="1:12" ht="12.75">
      <c r="A15" s="144" t="str">
        <f>singleSpecies!A45</f>
        <v>Cephalorhynchus heavisidii</v>
      </c>
      <c r="B15">
        <f>singleSpecies!N45</f>
        <v>7</v>
      </c>
      <c r="C15" s="60">
        <f>singleSpecies!S45</f>
        <v>2</v>
      </c>
      <c r="D15" s="148"/>
      <c r="E15">
        <f>singleSpecies!AD45</f>
        <v>28</v>
      </c>
      <c r="F15" s="146">
        <f>GEN_CET5!F45</f>
        <v>0.798</v>
      </c>
      <c r="G15" s="146">
        <f>GEN_CET5!G45</f>
        <v>0.95</v>
      </c>
      <c r="H15" s="60">
        <f>GEN_CET5!I45</f>
        <v>0.04</v>
      </c>
      <c r="I15" s="147">
        <f>GEN_CET5!J45</f>
        <v>12.6</v>
      </c>
      <c r="J15">
        <f>GEN_CET5!K45</f>
        <v>54</v>
      </c>
      <c r="K15" s="147">
        <f>GEN_CET5!L45</f>
        <v>14.4</v>
      </c>
      <c r="L15">
        <v>65</v>
      </c>
    </row>
    <row r="16" spans="1:12" ht="12.75">
      <c r="A16" s="144" t="str">
        <f>singleSpecies!A46</f>
        <v>Cephalorhynchus hectori</v>
      </c>
      <c r="B16" s="148">
        <f>singleSpecies!N46</f>
        <v>7</v>
      </c>
      <c r="C16" s="150">
        <f>singleSpecies!S46</f>
        <v>2</v>
      </c>
      <c r="D16" s="148"/>
      <c r="E16">
        <f>singleSpecies!AD46</f>
        <v>27</v>
      </c>
      <c r="F16" s="146">
        <f>GEN_CET5!F46</f>
        <v>0.78792</v>
      </c>
      <c r="G16" s="149">
        <f>GEN_CET5!G46</f>
        <v>0.938</v>
      </c>
      <c r="H16" s="60">
        <f>GEN_CET5!I46</f>
        <v>0.03</v>
      </c>
      <c r="I16" s="147">
        <f>GEN_CET5!J46</f>
        <v>12.5</v>
      </c>
      <c r="J16">
        <f>GEN_CET5!K46</f>
        <v>54</v>
      </c>
      <c r="K16" s="147">
        <f>GEN_CET5!L46</f>
        <v>13.5</v>
      </c>
      <c r="L16">
        <v>61</v>
      </c>
    </row>
    <row r="17" spans="1:12" ht="12.75">
      <c r="A17" s="144" t="str">
        <f>singleSpecies!A38</f>
        <v>Delphinapterus leucas</v>
      </c>
      <c r="B17" s="148">
        <f>singleSpecies!N38</f>
        <v>7</v>
      </c>
      <c r="C17" s="150">
        <f>singleSpecies!S38</f>
        <v>2.875</v>
      </c>
      <c r="D17" s="148">
        <f>singleSpecies!Z38</f>
        <v>35</v>
      </c>
      <c r="E17">
        <f>singleSpecies!AD38</f>
        <v>39</v>
      </c>
      <c r="F17" s="146">
        <f>GEN_CET5!F38</f>
        <v>0.798</v>
      </c>
      <c r="G17" s="146">
        <f>GEN_CET5!G38</f>
        <v>0.95</v>
      </c>
      <c r="H17" s="60">
        <f>GEN_CET5!I38</f>
        <v>0.02</v>
      </c>
      <c r="I17" s="147">
        <f>GEN_CET5!J38</f>
        <v>14.9</v>
      </c>
      <c r="J17">
        <f>GEN_CET5!K38</f>
        <v>61</v>
      </c>
      <c r="K17" s="147">
        <f>GEN_CET5!L38</f>
        <v>16.4</v>
      </c>
      <c r="L17">
        <v>68</v>
      </c>
    </row>
    <row r="18" spans="1:12" ht="12.75">
      <c r="A18" s="144" t="str">
        <f>singleSpecies!A47</f>
        <v>Delphinus capensis</v>
      </c>
      <c r="B18">
        <f>singleSpecies!N47</f>
        <v>9</v>
      </c>
      <c r="C18" s="60">
        <f>singleSpecies!S47</f>
        <v>2.1</v>
      </c>
      <c r="D18" s="148"/>
      <c r="E18">
        <f>singleSpecies!AD47</f>
        <v>31</v>
      </c>
      <c r="F18" s="146">
        <f>GEN_CET5!F47</f>
        <v>0.798</v>
      </c>
      <c r="G18" s="146">
        <f>GEN_CET5!G47</f>
        <v>0.95</v>
      </c>
      <c r="H18" s="60">
        <f>GEN_CET5!I47</f>
        <v>0.03</v>
      </c>
      <c r="I18" s="147">
        <f>GEN_CET5!J47</f>
        <v>15.2</v>
      </c>
      <c r="J18">
        <f>GEN_CET5!K47</f>
        <v>48</v>
      </c>
      <c r="K18" s="147">
        <f>GEN_CET5!L47</f>
        <v>16.5</v>
      </c>
      <c r="L18">
        <v>58</v>
      </c>
    </row>
    <row r="19" spans="1:12" ht="12.75">
      <c r="A19" s="144" t="str">
        <f>singleSpecies!A48</f>
        <v>Delphinus delphis</v>
      </c>
      <c r="B19" s="148">
        <f>singleSpecies!N48</f>
        <v>9</v>
      </c>
      <c r="C19" s="150">
        <f>singleSpecies!S48</f>
        <v>2.1</v>
      </c>
      <c r="D19" s="148">
        <f>singleSpecies!Z48</f>
        <v>26</v>
      </c>
      <c r="E19">
        <f>singleSpecies!AD48</f>
        <v>31</v>
      </c>
      <c r="F19" s="146">
        <f>GEN_CET5!F48</f>
        <v>0.798</v>
      </c>
      <c r="G19" s="146">
        <f>GEN_CET5!G48</f>
        <v>0.95</v>
      </c>
      <c r="H19" s="60">
        <f>GEN_CET5!I48</f>
        <v>0.02</v>
      </c>
      <c r="I19" s="147">
        <f>GEN_CET5!J48</f>
        <v>14.1</v>
      </c>
      <c r="J19">
        <f>GEN_CET5!K48</f>
        <v>48</v>
      </c>
      <c r="K19" s="147">
        <f>GEN_CET5!L48</f>
        <v>14.8</v>
      </c>
      <c r="L19">
        <v>54</v>
      </c>
    </row>
    <row r="20" spans="1:12" ht="12.75">
      <c r="A20" s="144" t="str">
        <f>singleSpecies!A11</f>
        <v>Eschrichtius robustus</v>
      </c>
      <c r="B20" s="148">
        <f>singleSpecies!N11</f>
        <v>10</v>
      </c>
      <c r="C20" s="150">
        <f>singleSpecies!S11</f>
        <v>2</v>
      </c>
      <c r="D20" s="148"/>
      <c r="E20">
        <f>singleSpecies!AD11</f>
        <v>55</v>
      </c>
      <c r="F20" s="149">
        <f>GEN_CET5!F11</f>
        <v>0.7</v>
      </c>
      <c r="G20" s="149">
        <f>GEN_CET5!G11</f>
        <v>0.95</v>
      </c>
      <c r="H20" s="60">
        <f>GEN_CET5!I11</f>
        <v>0.03</v>
      </c>
      <c r="I20" s="147">
        <f>GEN_CET5!J11</f>
        <v>19.3</v>
      </c>
      <c r="J20">
        <f>GEN_CET5!K11</f>
        <v>47</v>
      </c>
      <c r="K20" s="147">
        <f>GEN_CET5!L11</f>
        <v>22.9</v>
      </c>
      <c r="L20">
        <v>60</v>
      </c>
    </row>
    <row r="21" spans="1:12" ht="12.75">
      <c r="A21" s="144" t="str">
        <f>singleSpecies!A13</f>
        <v>Eubalaena australis</v>
      </c>
      <c r="B21" s="148">
        <f>singleSpecies!N13</f>
        <v>8</v>
      </c>
      <c r="C21" s="150">
        <f>singleSpecies!S13</f>
        <v>3.12</v>
      </c>
      <c r="D21" s="148"/>
      <c r="E21">
        <f>singleSpecies!AD13</f>
        <v>57</v>
      </c>
      <c r="F21" s="149">
        <f>GEN_CET5!F13</f>
        <v>0.91</v>
      </c>
      <c r="G21" s="149">
        <f>GEN_CET5!G13</f>
        <v>0.986</v>
      </c>
      <c r="H21" s="60">
        <f>GEN_CET5!I13</f>
        <v>0.06</v>
      </c>
      <c r="I21" s="147">
        <f>GEN_CET5!J13</f>
        <v>18.1</v>
      </c>
      <c r="J21">
        <f>GEN_CET5!K13</f>
        <v>58</v>
      </c>
      <c r="K21" s="147">
        <f>GEN_CET5!L13</f>
        <v>28.8</v>
      </c>
      <c r="L21">
        <v>83</v>
      </c>
    </row>
    <row r="22" spans="1:12" ht="12.75">
      <c r="A22" s="144" t="str">
        <f>singleSpecies!A14</f>
        <v>Eubalaena glacialis</v>
      </c>
      <c r="B22" s="148">
        <f>singleSpecies!N14</f>
        <v>10</v>
      </c>
      <c r="C22" s="150">
        <f>singleSpecies!S14</f>
        <v>4</v>
      </c>
      <c r="D22" s="148">
        <f>singleSpecies!Z14</f>
        <v>69</v>
      </c>
      <c r="E22">
        <f>singleSpecies!AD14</f>
        <v>57</v>
      </c>
      <c r="F22" s="149">
        <f>GEN_CET5!F14</f>
        <v>0.88</v>
      </c>
      <c r="G22" s="149">
        <f>GEN_CET5!G14</f>
        <v>0.99</v>
      </c>
      <c r="H22" s="60">
        <f>GEN_CET5!I14</f>
        <v>0.05</v>
      </c>
      <c r="I22" s="147">
        <f>GEN_CET5!J14</f>
        <v>23.3</v>
      </c>
      <c r="J22">
        <f>GEN_CET5!K14</f>
        <v>58</v>
      </c>
      <c r="K22" s="147">
        <f>GEN_CET5!L14</f>
        <v>35.7</v>
      </c>
      <c r="L22">
        <v>83</v>
      </c>
    </row>
    <row r="23" spans="1:12" ht="12.75">
      <c r="A23" s="144" t="str">
        <f>singleSpecies!A15</f>
        <v>Eubalaena japonica</v>
      </c>
      <c r="B23">
        <f>singleSpecies!N15</f>
        <v>9</v>
      </c>
      <c r="C23" s="60">
        <f>singleSpecies!S15</f>
        <v>4</v>
      </c>
      <c r="D23" s="148"/>
      <c r="E23">
        <f>singleSpecies!AD15</f>
        <v>57</v>
      </c>
      <c r="F23" s="146">
        <f>GEN_CET5!F15</f>
        <v>0.895</v>
      </c>
      <c r="G23" s="146">
        <f>GEN_CET5!G15</f>
        <v>0.988</v>
      </c>
      <c r="H23" s="60">
        <f>GEN_CET5!I15</f>
        <v>0.05</v>
      </c>
      <c r="I23" s="147">
        <f>GEN_CET5!J15</f>
        <v>21</v>
      </c>
      <c r="J23">
        <f>GEN_CET5!K15</f>
        <v>60</v>
      </c>
      <c r="K23" s="147">
        <f>GEN_CET5!L15</f>
        <v>29.8</v>
      </c>
      <c r="L23">
        <v>82</v>
      </c>
    </row>
    <row r="24" spans="1:11" ht="12.75">
      <c r="A24" s="144" t="str">
        <f>singleSpecies!A70</f>
        <v>Feresa attenuata</v>
      </c>
      <c r="C24" s="60"/>
      <c r="D24" s="148"/>
      <c r="E24">
        <f>singleSpecies!AD70</f>
        <v>32</v>
      </c>
      <c r="F24" s="146">
        <f>GEN_CET5!F70</f>
        <v>0.76</v>
      </c>
      <c r="G24" s="146">
        <f>GEN_CET5!G70</f>
        <v>0.95</v>
      </c>
      <c r="H24" s="60"/>
      <c r="I24" s="147"/>
      <c r="K24" s="147"/>
    </row>
    <row r="25" spans="1:12" ht="12.75">
      <c r="A25" s="144" t="str">
        <f>singleSpecies!A71</f>
        <v>Globicephala macrorhynchus</v>
      </c>
      <c r="B25" s="148">
        <f>singleSpecies!N71</f>
        <v>11</v>
      </c>
      <c r="C25" s="150">
        <f>singleSpecies!S71</f>
        <v>6.9</v>
      </c>
      <c r="D25" s="148">
        <f>singleSpecies!Z71</f>
        <v>40</v>
      </c>
      <c r="E25">
        <f>singleSpecies!AD71</f>
        <v>43</v>
      </c>
      <c r="F25" s="146">
        <f>GEN_CET5!F71</f>
        <v>0.82824</v>
      </c>
      <c r="G25" s="146">
        <f>GEN_CET5!G71</f>
        <v>0.986</v>
      </c>
      <c r="H25" s="60">
        <f>GEN_CET5!I71</f>
        <v>0.01</v>
      </c>
      <c r="I25" s="147">
        <f>GEN_CET5!J71</f>
        <v>22.7</v>
      </c>
      <c r="J25">
        <f>GEN_CET5!K71</f>
        <v>53</v>
      </c>
      <c r="K25" s="147">
        <f>GEN_CET5!L71</f>
        <v>23.5</v>
      </c>
      <c r="L25">
        <v>53</v>
      </c>
    </row>
    <row r="26" spans="1:12" ht="12.75">
      <c r="A26" s="144" t="str">
        <f>singleSpecies!A72</f>
        <v>Globicephala melas</v>
      </c>
      <c r="B26" s="148">
        <f>singleSpecies!N72</f>
        <v>12</v>
      </c>
      <c r="C26" s="150">
        <f>singleSpecies!S72</f>
        <v>3.3</v>
      </c>
      <c r="D26" s="148">
        <f>singleSpecies!Z72</f>
        <v>40</v>
      </c>
      <c r="E26">
        <f>singleSpecies!AD72</f>
        <v>43</v>
      </c>
      <c r="F26" s="146">
        <f>GEN_CET5!F72</f>
        <v>0.82824</v>
      </c>
      <c r="G26" s="146">
        <f>GEN_CET5!G72</f>
        <v>0.986</v>
      </c>
      <c r="H26" s="60">
        <f>GEN_CET5!I72</f>
        <v>0.04</v>
      </c>
      <c r="I26" s="147">
        <f>GEN_CET5!J72</f>
        <v>21.1</v>
      </c>
      <c r="J26">
        <f>GEN_CET5!K72</f>
        <v>46</v>
      </c>
      <c r="K26" s="147">
        <f>GEN_CET5!L72</f>
        <v>24</v>
      </c>
      <c r="L26">
        <v>51</v>
      </c>
    </row>
    <row r="27" spans="1:12" ht="12.75">
      <c r="A27" s="144" t="str">
        <f>singleSpecies!A73</f>
        <v>Grampus griseus</v>
      </c>
      <c r="B27" s="148">
        <f>singleSpecies!N73</f>
        <v>11</v>
      </c>
      <c r="C27" s="150">
        <f>singleSpecies!S73</f>
        <v>2.4</v>
      </c>
      <c r="D27" s="148"/>
      <c r="E27">
        <f>singleSpecies!AD73</f>
        <v>37</v>
      </c>
      <c r="F27" s="146">
        <f>GEN_CET5!F73</f>
        <v>0.798</v>
      </c>
      <c r="G27" s="146">
        <f>GEN_CET5!G73</f>
        <v>0.95</v>
      </c>
      <c r="H27" s="60">
        <f>GEN_CET5!I73</f>
        <v>0.02</v>
      </c>
      <c r="I27" s="147">
        <f>GEN_CET5!J73</f>
        <v>18.6</v>
      </c>
      <c r="J27">
        <f>GEN_CET5!K73</f>
        <v>46</v>
      </c>
      <c r="K27" s="147">
        <f>GEN_CET5!L73</f>
        <v>19.6</v>
      </c>
      <c r="L27">
        <v>53</v>
      </c>
    </row>
    <row r="28" spans="1:12" ht="12.75">
      <c r="A28" s="144" t="str">
        <f>singleSpecies!A18</f>
        <v>Hyperoodon ampullatus</v>
      </c>
      <c r="B28">
        <f>singleSpecies!N18</f>
        <v>14</v>
      </c>
      <c r="C28" s="150">
        <f>singleSpecies!S18</f>
        <v>2</v>
      </c>
      <c r="D28" s="148">
        <f>singleSpecies!Z18</f>
        <v>27</v>
      </c>
      <c r="E28">
        <f>singleSpecies!AD18</f>
        <v>48</v>
      </c>
      <c r="F28" s="146">
        <f>GEN_CET5!F18</f>
        <v>0.798</v>
      </c>
      <c r="G28" s="146">
        <f>GEN_CET5!G18</f>
        <v>0.95</v>
      </c>
      <c r="H28" s="60">
        <f>GEN_CET5!I18</f>
        <v>0</v>
      </c>
      <c r="I28" s="147">
        <f>GEN_CET5!J18</f>
        <v>17.8</v>
      </c>
      <c r="J28">
        <f>GEN_CET5!K18</f>
        <v>36</v>
      </c>
      <c r="K28" s="147">
        <f>GEN_CET5!L18</f>
        <v>17.8</v>
      </c>
      <c r="L28">
        <v>36</v>
      </c>
    </row>
    <row r="29" spans="1:12" ht="12.75">
      <c r="A29" s="144" t="str">
        <f>singleSpecies!A19</f>
        <v>Hyperoodon planifrons</v>
      </c>
      <c r="B29">
        <f>singleSpecies!N19</f>
        <v>14</v>
      </c>
      <c r="C29" s="60">
        <f>singleSpecies!S19</f>
        <v>2</v>
      </c>
      <c r="D29" s="148"/>
      <c r="E29">
        <f>singleSpecies!AD19</f>
        <v>46</v>
      </c>
      <c r="F29" s="146">
        <f>GEN_CET5!F19</f>
        <v>0.798</v>
      </c>
      <c r="G29" s="146">
        <f>GEN_CET5!G19</f>
        <v>0.95</v>
      </c>
      <c r="H29" s="60">
        <f>GEN_CET5!I19</f>
        <v>0.02</v>
      </c>
      <c r="I29" s="147">
        <f>GEN_CET5!J19</f>
        <v>22.4</v>
      </c>
      <c r="J29">
        <f>GEN_CET5!K19</f>
        <v>38</v>
      </c>
      <c r="K29" s="147">
        <f>GEN_CET5!L19</f>
        <v>24</v>
      </c>
      <c r="L29">
        <v>46</v>
      </c>
    </row>
    <row r="30" spans="1:11" ht="12.75">
      <c r="A30" s="144" t="str">
        <f>singleSpecies!A20</f>
        <v>Indopacetus pacificus</v>
      </c>
      <c r="C30" s="60"/>
      <c r="D30" s="148"/>
      <c r="E30">
        <f>singleSpecies!AD20</f>
        <v>21</v>
      </c>
      <c r="F30" s="146">
        <f>GEN_CET5!F20</f>
        <v>0.798</v>
      </c>
      <c r="G30" s="146">
        <f>GEN_CET5!G20</f>
        <v>0.95</v>
      </c>
      <c r="H30" s="60"/>
      <c r="I30" s="147"/>
      <c r="K30" s="147"/>
    </row>
    <row r="31" spans="1:12" ht="12.75">
      <c r="A31" s="144" t="str">
        <f>singleSpecies!A87</f>
        <v>Inia geoffrensis</v>
      </c>
      <c r="B31" s="148">
        <f>singleSpecies!N87</f>
        <v>6</v>
      </c>
      <c r="C31" s="150">
        <f>singleSpecies!S87</f>
        <v>1.5</v>
      </c>
      <c r="D31" s="148">
        <f>singleSpecies!Z87</f>
        <v>18</v>
      </c>
      <c r="E31">
        <f>singleSpecies!AD87</f>
        <v>31</v>
      </c>
      <c r="F31" s="146">
        <f>GEN_CET5!F87</f>
        <v>0.798</v>
      </c>
      <c r="G31" s="146">
        <f>GEN_CET5!G87</f>
        <v>0.95</v>
      </c>
      <c r="H31" s="60">
        <f>GEN_CET5!I87</f>
        <v>0.05</v>
      </c>
      <c r="I31" s="147">
        <f>GEN_CET5!J87</f>
        <v>9.2</v>
      </c>
      <c r="J31">
        <f>GEN_CET5!K87</f>
        <v>52</v>
      </c>
      <c r="K31" s="147">
        <f>GEN_CET5!L87</f>
        <v>10.2</v>
      </c>
      <c r="L31">
        <v>63</v>
      </c>
    </row>
    <row r="32" spans="1:12" ht="12.75">
      <c r="A32" s="144" t="str">
        <f>singleSpecies!A40</f>
        <v>Kogia breviceps</v>
      </c>
      <c r="B32" s="148">
        <f>singleSpecies!N40</f>
        <v>6</v>
      </c>
      <c r="C32" s="150">
        <f>singleSpecies!S40</f>
        <v>2</v>
      </c>
      <c r="D32" s="148">
        <f>singleSpecies!Z40</f>
        <v>23</v>
      </c>
      <c r="E32">
        <f>singleSpecies!AD40</f>
        <v>36</v>
      </c>
      <c r="F32" s="146">
        <f>GEN_CET5!F40</f>
        <v>0.798</v>
      </c>
      <c r="G32" s="146">
        <f>GEN_CET5!G40</f>
        <v>0.95</v>
      </c>
      <c r="H32" s="60">
        <f>GEN_CET5!I40</f>
        <v>0.04</v>
      </c>
      <c r="I32" s="147">
        <f>GEN_CET5!J40</f>
        <v>10.8</v>
      </c>
      <c r="J32">
        <f>GEN_CET5!K40</f>
        <v>57</v>
      </c>
      <c r="K32" s="147">
        <f>GEN_CET5!L40</f>
        <v>12.1</v>
      </c>
      <c r="L32">
        <v>67</v>
      </c>
    </row>
    <row r="33" spans="1:12" ht="12.75">
      <c r="A33" s="144" t="str">
        <f>singleSpecies!A41</f>
        <v>Kogia sima</v>
      </c>
      <c r="B33" s="148">
        <f>singleSpecies!N41</f>
        <v>6</v>
      </c>
      <c r="C33" s="150">
        <f>singleSpecies!S41</f>
        <v>2</v>
      </c>
      <c r="D33" s="148">
        <f>singleSpecies!Z41</f>
        <v>22</v>
      </c>
      <c r="E33">
        <f>singleSpecies!AD41</f>
        <v>32</v>
      </c>
      <c r="F33" s="146">
        <f>GEN_CET5!F41</f>
        <v>0.798</v>
      </c>
      <c r="G33" s="146">
        <f>GEN_CET5!G41</f>
        <v>0.95</v>
      </c>
      <c r="H33" s="60">
        <f>GEN_CET5!I41</f>
        <v>0.04</v>
      </c>
      <c r="I33" s="147">
        <f>GEN_CET5!J41</f>
        <v>10.6</v>
      </c>
      <c r="J33">
        <f>GEN_CET5!K41</f>
        <v>57</v>
      </c>
      <c r="K33" s="147">
        <f>GEN_CET5!L41</f>
        <v>11.7</v>
      </c>
      <c r="L33">
        <v>66</v>
      </c>
    </row>
    <row r="34" spans="1:12" ht="12.75">
      <c r="A34" s="144" t="str">
        <f>singleSpecies!A49</f>
        <v>Lagenodelphis hosei</v>
      </c>
      <c r="B34" s="148">
        <f>singleSpecies!N49</f>
        <v>8</v>
      </c>
      <c r="C34" s="150">
        <f>singleSpecies!S49</f>
        <v>2</v>
      </c>
      <c r="D34" s="148">
        <f>singleSpecies!Z49</f>
        <v>18</v>
      </c>
      <c r="E34">
        <f>singleSpecies!AD49</f>
        <v>33</v>
      </c>
      <c r="F34" s="146">
        <f>GEN_CET5!F49</f>
        <v>0.798</v>
      </c>
      <c r="G34" s="146">
        <f>GEN_CET5!G49</f>
        <v>0.95</v>
      </c>
      <c r="H34" s="60">
        <f>GEN_CET5!I49</f>
        <v>0.01</v>
      </c>
      <c r="I34" s="147">
        <f>GEN_CET5!J49</f>
        <v>11</v>
      </c>
      <c r="J34">
        <f>GEN_CET5!K49</f>
        <v>49</v>
      </c>
      <c r="K34" s="147">
        <f>GEN_CET5!L49</f>
        <v>11.1</v>
      </c>
      <c r="L34">
        <v>51</v>
      </c>
    </row>
    <row r="35" spans="1:12" ht="12.75">
      <c r="A35" s="144" t="str">
        <f>singleSpecies!A50</f>
        <v>Lagenorhynchus acutus</v>
      </c>
      <c r="B35" s="148">
        <f>singleSpecies!N50</f>
        <v>10</v>
      </c>
      <c r="C35" s="150">
        <f>singleSpecies!S50</f>
        <v>2.5</v>
      </c>
      <c r="D35" s="148">
        <f>singleSpecies!Z50</f>
        <v>27</v>
      </c>
      <c r="E35">
        <f>singleSpecies!AD50</f>
        <v>32</v>
      </c>
      <c r="F35" s="146">
        <f>GEN_CET5!F50</f>
        <v>0.798</v>
      </c>
      <c r="G35" s="146">
        <f>GEN_CET5!G50</f>
        <v>0.95</v>
      </c>
      <c r="H35" s="60">
        <f>GEN_CET5!I50</f>
        <v>0.01</v>
      </c>
      <c r="I35" s="147">
        <f>GEN_CET5!J50</f>
        <v>15.5</v>
      </c>
      <c r="J35">
        <f>GEN_CET5!K50</f>
        <v>48</v>
      </c>
      <c r="K35" s="147">
        <f>GEN_CET5!L50</f>
        <v>15.8</v>
      </c>
      <c r="L35">
        <v>51</v>
      </c>
    </row>
    <row r="36" spans="1:12" ht="12.75">
      <c r="A36" s="144" t="str">
        <f>singleSpecies!A51</f>
        <v>Lagenorhynchus albirostris</v>
      </c>
      <c r="B36">
        <f>singleSpecies!N51</f>
        <v>10</v>
      </c>
      <c r="C36" s="60">
        <f>singleSpecies!S51</f>
        <v>2.5</v>
      </c>
      <c r="D36" s="148"/>
      <c r="E36">
        <f>singleSpecies!AD51</f>
        <v>34</v>
      </c>
      <c r="F36" s="146">
        <f>GEN_CET5!F51</f>
        <v>0.798</v>
      </c>
      <c r="G36" s="146">
        <f>GEN_CET5!G51</f>
        <v>0.95</v>
      </c>
      <c r="H36" s="60">
        <f>GEN_CET5!I51</f>
        <v>0.02</v>
      </c>
      <c r="I36" s="147">
        <f>GEN_CET5!J51</f>
        <v>17.2</v>
      </c>
      <c r="J36">
        <f>GEN_CET5!K51</f>
        <v>49</v>
      </c>
      <c r="K36" s="147">
        <f>GEN_CET5!L51</f>
        <v>18.1</v>
      </c>
      <c r="L36">
        <v>55</v>
      </c>
    </row>
    <row r="37" spans="1:11" ht="12.75">
      <c r="A37" s="144" t="str">
        <f>singleSpecies!A52</f>
        <v>Lagenorhynchus australis</v>
      </c>
      <c r="C37" s="60"/>
      <c r="D37" s="148"/>
      <c r="E37">
        <f>singleSpecies!AD52</f>
        <v>30</v>
      </c>
      <c r="F37" s="146">
        <f>GEN_CET5!F52</f>
        <v>0.798</v>
      </c>
      <c r="G37" s="146">
        <f>GEN_CET5!G52</f>
        <v>0.95</v>
      </c>
      <c r="H37" s="60"/>
      <c r="I37" s="147"/>
      <c r="K37" s="147"/>
    </row>
    <row r="38" spans="1:11" ht="12.75">
      <c r="A38" s="144" t="str">
        <f>singleSpecies!A53</f>
        <v>Lagenorhynchus cruciger</v>
      </c>
      <c r="C38" s="60"/>
      <c r="D38" s="148"/>
      <c r="E38">
        <f>singleSpecies!AD53</f>
        <v>29</v>
      </c>
      <c r="F38" s="146">
        <f>GEN_CET5!F53</f>
        <v>0.798</v>
      </c>
      <c r="G38" s="146">
        <f>GEN_CET5!G53</f>
        <v>0.95</v>
      </c>
      <c r="H38" s="60"/>
      <c r="I38" s="147"/>
      <c r="K38" s="147"/>
    </row>
    <row r="39" spans="1:12" ht="12.75">
      <c r="A39" s="144" t="str">
        <f>singleSpecies!A54</f>
        <v>Lagenorhynchus obliquidens</v>
      </c>
      <c r="B39" s="148">
        <f>singleSpecies!N54</f>
        <v>10</v>
      </c>
      <c r="C39" s="150">
        <f>singleSpecies!S54</f>
        <v>4.7</v>
      </c>
      <c r="D39" s="148">
        <f>singleSpecies!Z54</f>
        <v>46</v>
      </c>
      <c r="E39">
        <f>singleSpecies!AD54</f>
        <v>32</v>
      </c>
      <c r="F39" s="146">
        <f>GEN_CET5!F54</f>
        <v>0.798</v>
      </c>
      <c r="G39" s="146">
        <f>GEN_CET5!G54</f>
        <v>0.95</v>
      </c>
      <c r="H39" s="60">
        <f>GEN_CET5!I54</f>
        <v>-0.01</v>
      </c>
      <c r="I39" s="147">
        <f>GEN_CET5!J54</f>
        <v>21.8</v>
      </c>
      <c r="J39">
        <f>GEN_CET5!K54</f>
        <v>61</v>
      </c>
      <c r="K39" s="147">
        <f>GEN_CET5!L54</f>
        <v>21.2</v>
      </c>
      <c r="L39">
        <v>59</v>
      </c>
    </row>
    <row r="40" spans="1:12" ht="12.75">
      <c r="A40" s="144" t="str">
        <f>singleSpecies!A55</f>
        <v>Lagenorhynchus obscurus</v>
      </c>
      <c r="B40" s="148">
        <f>singleSpecies!N55</f>
        <v>7</v>
      </c>
      <c r="C40" s="150">
        <f>singleSpecies!S55</f>
        <v>2.4</v>
      </c>
      <c r="D40" s="148">
        <f>singleSpecies!Z55</f>
        <v>35</v>
      </c>
      <c r="E40">
        <f>singleSpecies!AD55</f>
        <v>30</v>
      </c>
      <c r="F40" s="146">
        <f>GEN_CET5!F55</f>
        <v>0.798</v>
      </c>
      <c r="G40" s="146">
        <f>GEN_CET5!G55</f>
        <v>0.95</v>
      </c>
      <c r="H40" s="60">
        <f>GEN_CET5!I55</f>
        <v>0.03</v>
      </c>
      <c r="I40" s="147">
        <f>GEN_CET5!J55</f>
        <v>14.2</v>
      </c>
      <c r="J40">
        <f>GEN_CET5!K55</f>
        <v>57</v>
      </c>
      <c r="K40" s="147">
        <f>GEN_CET5!L55</f>
        <v>16.4</v>
      </c>
      <c r="L40">
        <v>68</v>
      </c>
    </row>
    <row r="41" spans="1:11" ht="12.75">
      <c r="A41" s="144" t="str">
        <f>singleSpecies!A86</f>
        <v>Lipotes vexillifer</v>
      </c>
      <c r="B41">
        <f>singleSpecies!N86</f>
        <v>6</v>
      </c>
      <c r="C41" s="60"/>
      <c r="D41" s="148"/>
      <c r="E41">
        <f>singleSpecies!AD86</f>
        <v>33</v>
      </c>
      <c r="F41" s="146">
        <f>GEN_CET5!F86</f>
        <v>0.798</v>
      </c>
      <c r="G41" s="146">
        <f>GEN_CET5!G86</f>
        <v>0.95</v>
      </c>
      <c r="H41" s="60"/>
      <c r="I41" s="147"/>
      <c r="K41" s="147"/>
    </row>
    <row r="42" spans="1:12" ht="12.75">
      <c r="A42" s="144" t="str">
        <f>singleSpecies!A56</f>
        <v>Lissodelphis borealis</v>
      </c>
      <c r="B42" s="148">
        <f>singleSpecies!N56</f>
        <v>12</v>
      </c>
      <c r="C42" s="150">
        <f>singleSpecies!S56</f>
        <v>2</v>
      </c>
      <c r="D42" s="148">
        <f>singleSpecies!Z56</f>
        <v>42</v>
      </c>
      <c r="E42">
        <f>singleSpecies!AD56</f>
        <v>31</v>
      </c>
      <c r="F42" s="146">
        <f>GEN_CET5!F56</f>
        <v>0.798</v>
      </c>
      <c r="G42" s="146">
        <f>GEN_CET5!G56</f>
        <v>0.95</v>
      </c>
      <c r="H42" s="60">
        <f>GEN_CET5!I56</f>
        <v>0.02</v>
      </c>
      <c r="I42" s="147">
        <f>GEN_CET5!J56</f>
        <v>19.8</v>
      </c>
      <c r="J42">
        <f>GEN_CET5!K56</f>
        <v>41</v>
      </c>
      <c r="K42" s="147">
        <f>GEN_CET5!L56</f>
        <v>21.6</v>
      </c>
      <c r="L42">
        <v>51</v>
      </c>
    </row>
    <row r="43" spans="1:12" ht="12.75">
      <c r="A43" s="144" t="str">
        <f>singleSpecies!A57</f>
        <v>Lissodelphis peronii</v>
      </c>
      <c r="B43">
        <f>singleSpecies!N57</f>
        <v>12</v>
      </c>
      <c r="C43" s="60">
        <f>singleSpecies!S57</f>
        <v>2</v>
      </c>
      <c r="D43" s="148"/>
      <c r="E43">
        <f>singleSpecies!AD57</f>
        <v>31</v>
      </c>
      <c r="F43" s="146">
        <f>GEN_CET5!F57</f>
        <v>0.798</v>
      </c>
      <c r="G43" s="146">
        <f>GEN_CET5!G57</f>
        <v>0.95</v>
      </c>
      <c r="H43" s="60">
        <f>GEN_CET5!I57</f>
        <v>0.02</v>
      </c>
      <c r="I43" s="147">
        <f>GEN_CET5!J57</f>
        <v>17.7</v>
      </c>
      <c r="J43">
        <f>GEN_CET5!K57</f>
        <v>40</v>
      </c>
      <c r="K43" s="147">
        <f>GEN_CET5!L57</f>
        <v>18.3</v>
      </c>
      <c r="L43">
        <v>46</v>
      </c>
    </row>
    <row r="44" spans="1:12" ht="12.75">
      <c r="A44" s="144" t="str">
        <f>singleSpecies!A9</f>
        <v>Megaptera novaeangliae</v>
      </c>
      <c r="B44" s="148">
        <f>singleSpecies!N9</f>
        <v>6</v>
      </c>
      <c r="C44" s="150">
        <f>singleSpecies!S9</f>
        <v>2.36</v>
      </c>
      <c r="D44" s="148"/>
      <c r="E44">
        <f>singleSpecies!AD9</f>
        <v>55</v>
      </c>
      <c r="F44" s="149">
        <f>GEN_CET5!F9</f>
        <v>0.76</v>
      </c>
      <c r="G44" s="149">
        <f>GEN_CET5!G9</f>
        <v>0.96</v>
      </c>
      <c r="H44" s="60">
        <f>GEN_CET5!I9</f>
        <v>0.05</v>
      </c>
      <c r="I44" s="147">
        <f>GEN_CET5!J9</f>
        <v>14.5</v>
      </c>
      <c r="J44">
        <f>GEN_CET5!K9</f>
        <v>62</v>
      </c>
      <c r="K44" s="147">
        <f>GEN_CET5!L9</f>
        <v>21.5</v>
      </c>
      <c r="L44">
        <v>79</v>
      </c>
    </row>
    <row r="45" spans="1:11" ht="12.75">
      <c r="A45" s="144" t="str">
        <f>singleSpecies!A21</f>
        <v>Mesoplodon bidens</v>
      </c>
      <c r="C45" s="60"/>
      <c r="D45" s="148"/>
      <c r="E45">
        <f>singleSpecies!AD21</f>
        <v>41</v>
      </c>
      <c r="F45" s="146">
        <f>GEN_CET5!F21</f>
        <v>0.798</v>
      </c>
      <c r="G45" s="146">
        <f>GEN_CET5!G21</f>
        <v>0.95</v>
      </c>
      <c r="H45" s="60"/>
      <c r="I45" s="147"/>
      <c r="K45" s="147"/>
    </row>
    <row r="46" spans="1:11" ht="12.75">
      <c r="A46" s="144" t="str">
        <f>singleSpecies!A22</f>
        <v>Mesoplodon blainvillei</v>
      </c>
      <c r="C46" s="60"/>
      <c r="D46" s="148"/>
      <c r="E46">
        <f>singleSpecies!AD22</f>
        <v>21</v>
      </c>
      <c r="F46" s="146">
        <f>GEN_CET5!F22</f>
        <v>0.798</v>
      </c>
      <c r="G46" s="146">
        <f>GEN_CET5!G22</f>
        <v>0.95</v>
      </c>
      <c r="H46" s="60"/>
      <c r="I46" s="147"/>
      <c r="K46" s="147"/>
    </row>
    <row r="47" spans="1:11" ht="12.75">
      <c r="A47" s="144" t="str">
        <f>singleSpecies!A23</f>
        <v>Mesoplodon bowdoini</v>
      </c>
      <c r="C47" s="60"/>
      <c r="D47" s="148"/>
      <c r="E47">
        <f>singleSpecies!AD23</f>
        <v>41</v>
      </c>
      <c r="F47" s="146">
        <f>GEN_CET5!F23</f>
        <v>0.798</v>
      </c>
      <c r="G47" s="146">
        <f>GEN_CET5!G23</f>
        <v>0.95</v>
      </c>
      <c r="H47" s="60"/>
      <c r="I47" s="147"/>
      <c r="K47" s="147"/>
    </row>
    <row r="48" spans="1:11" ht="12.75">
      <c r="A48" s="144" t="str">
        <f>singleSpecies!A24</f>
        <v>Mesoplodon carlhubbsi</v>
      </c>
      <c r="C48" s="60"/>
      <c r="D48" s="148"/>
      <c r="E48">
        <f>singleSpecies!AD24</f>
        <v>42</v>
      </c>
      <c r="F48" s="146">
        <f>GEN_CET5!F24</f>
        <v>0.798</v>
      </c>
      <c r="G48" s="146">
        <f>GEN_CET5!G24</f>
        <v>0.95</v>
      </c>
      <c r="H48" s="60"/>
      <c r="I48" s="147"/>
      <c r="K48" s="147"/>
    </row>
    <row r="49" spans="1:11" ht="12.75">
      <c r="A49" s="144" t="str">
        <f>singleSpecies!A25</f>
        <v>Mesoplodon densirostris</v>
      </c>
      <c r="C49" s="60"/>
      <c r="D49" s="148"/>
      <c r="E49">
        <f>singleSpecies!AD25</f>
        <v>40</v>
      </c>
      <c r="F49" s="146">
        <f>GEN_CET5!F25</f>
        <v>0.798</v>
      </c>
      <c r="G49" s="146">
        <f>GEN_CET5!G25</f>
        <v>0.95</v>
      </c>
      <c r="H49" s="60"/>
      <c r="I49" s="147"/>
      <c r="K49" s="147"/>
    </row>
    <row r="50" spans="1:11" ht="12.75">
      <c r="A50" s="144" t="str">
        <f>singleSpecies!A26</f>
        <v>Mesoplodon europaeus</v>
      </c>
      <c r="C50" s="60"/>
      <c r="D50" s="148"/>
      <c r="E50">
        <f>singleSpecies!AD26</f>
        <v>42</v>
      </c>
      <c r="F50" s="146">
        <f>GEN_CET5!F26</f>
        <v>0.798</v>
      </c>
      <c r="G50" s="146">
        <f>GEN_CET5!G26</f>
        <v>0.95</v>
      </c>
      <c r="H50" s="60"/>
      <c r="I50" s="147"/>
      <c r="K50" s="147"/>
    </row>
    <row r="51" spans="1:11" ht="12.75">
      <c r="A51" s="144" t="str">
        <f>singleSpecies!A27</f>
        <v>Mesoplodon ginkgodens</v>
      </c>
      <c r="C51" s="60"/>
      <c r="D51" s="148"/>
      <c r="E51">
        <f>singleSpecies!AD27</f>
        <v>41</v>
      </c>
      <c r="F51" s="146">
        <f>GEN_CET5!F27</f>
        <v>0.798</v>
      </c>
      <c r="G51" s="146">
        <f>GEN_CET5!G27</f>
        <v>0.95</v>
      </c>
      <c r="H51" s="60"/>
      <c r="I51" s="147"/>
      <c r="K51" s="147"/>
    </row>
    <row r="52" spans="1:11" ht="12.75">
      <c r="A52" s="144" t="str">
        <f>singleSpecies!A28</f>
        <v>Mesoplodon grayi</v>
      </c>
      <c r="C52" s="60"/>
      <c r="D52" s="148"/>
      <c r="E52">
        <f>singleSpecies!AD28</f>
        <v>42</v>
      </c>
      <c r="F52" s="146">
        <f>GEN_CET5!F28</f>
        <v>0.798</v>
      </c>
      <c r="G52" s="146">
        <f>GEN_CET5!G28</f>
        <v>0.95</v>
      </c>
      <c r="H52" s="60"/>
      <c r="I52" s="147"/>
      <c r="K52" s="147"/>
    </row>
    <row r="53" spans="1:11" ht="12.75">
      <c r="A53" s="144" t="str">
        <f>singleSpecies!A29</f>
        <v>Mesoplodon hectori</v>
      </c>
      <c r="C53" s="60"/>
      <c r="D53" s="148"/>
      <c r="E53">
        <f>singleSpecies!AD29</f>
        <v>39</v>
      </c>
      <c r="F53" s="146">
        <f>GEN_CET5!F29</f>
        <v>0.798</v>
      </c>
      <c r="G53" s="146">
        <f>GEN_CET5!G29</f>
        <v>0.95</v>
      </c>
      <c r="H53" s="60"/>
      <c r="I53" s="147"/>
      <c r="K53" s="147"/>
    </row>
    <row r="54" spans="1:11" ht="12.75">
      <c r="A54" s="144" t="str">
        <f>singleSpecies!A30</f>
        <v>Mesoplodon layardii</v>
      </c>
      <c r="C54" s="60"/>
      <c r="D54" s="148"/>
      <c r="E54">
        <f>singleSpecies!AD30</f>
        <v>44</v>
      </c>
      <c r="F54" s="146">
        <f>GEN_CET5!F30</f>
        <v>0.798</v>
      </c>
      <c r="G54" s="146">
        <f>GEN_CET5!G30</f>
        <v>0.95</v>
      </c>
      <c r="H54" s="60"/>
      <c r="I54" s="147"/>
      <c r="K54" s="147"/>
    </row>
    <row r="55" spans="1:11" ht="12.75">
      <c r="A55" s="144" t="str">
        <f>singleSpecies!A31</f>
        <v>Mesoplodon mirus</v>
      </c>
      <c r="C55" s="60"/>
      <c r="D55" s="148"/>
      <c r="E55">
        <f>singleSpecies!AD31</f>
        <v>42</v>
      </c>
      <c r="F55" s="146">
        <f>GEN_CET5!F31</f>
        <v>0.798</v>
      </c>
      <c r="G55" s="146">
        <f>GEN_CET5!G31</f>
        <v>0.95</v>
      </c>
      <c r="H55" s="60"/>
      <c r="I55" s="147"/>
      <c r="K55" s="147"/>
    </row>
    <row r="56" spans="1:11" ht="12.75">
      <c r="A56" s="144" t="str">
        <f>singleSpecies!A32</f>
        <v>Mesoplodon perrini</v>
      </c>
      <c r="C56" s="60"/>
      <c r="D56" s="148"/>
      <c r="E56">
        <f>singleSpecies!AD32</f>
        <v>21</v>
      </c>
      <c r="F56" s="146">
        <f>GEN_CET5!F32</f>
        <v>0.798</v>
      </c>
      <c r="G56" s="146">
        <f>GEN_CET5!G32</f>
        <v>0.95</v>
      </c>
      <c r="H56" s="60"/>
      <c r="I56" s="147"/>
      <c r="K56" s="147"/>
    </row>
    <row r="57" spans="1:11" ht="12.75">
      <c r="A57" s="144" t="str">
        <f>singleSpecies!A33</f>
        <v>Mesoplodon peruvianus</v>
      </c>
      <c r="C57" s="60"/>
      <c r="D57" s="148"/>
      <c r="E57">
        <f>singleSpecies!AD33</f>
        <v>38</v>
      </c>
      <c r="F57" s="146">
        <f>GEN_CET5!F33</f>
        <v>0.798</v>
      </c>
      <c r="G57" s="146">
        <f>GEN_CET5!G33</f>
        <v>0.95</v>
      </c>
      <c r="H57" s="60"/>
      <c r="I57" s="147"/>
      <c r="K57" s="147"/>
    </row>
    <row r="58" spans="1:11" ht="12.75">
      <c r="A58" s="144" t="str">
        <f>singleSpecies!A34</f>
        <v>Mesoplodon stejnegeri</v>
      </c>
      <c r="C58" s="60"/>
      <c r="D58" s="148"/>
      <c r="E58">
        <f>singleSpecies!AD34</f>
        <v>43</v>
      </c>
      <c r="F58" s="146">
        <f>GEN_CET5!F34</f>
        <v>0.798</v>
      </c>
      <c r="G58" s="146">
        <f>GEN_CET5!G34</f>
        <v>0.95</v>
      </c>
      <c r="H58" s="60"/>
      <c r="I58" s="147"/>
      <c r="K58" s="147"/>
    </row>
    <row r="59" spans="1:11" ht="12.75">
      <c r="A59" s="144" t="str">
        <f>singleSpecies!A35</f>
        <v>Mesoplodon traversii</v>
      </c>
      <c r="C59" s="60"/>
      <c r="D59" s="148"/>
      <c r="E59">
        <f>singleSpecies!AD35</f>
        <v>21</v>
      </c>
      <c r="F59" s="146">
        <f>GEN_CET5!F35</f>
        <v>0.798</v>
      </c>
      <c r="G59" s="146">
        <f>GEN_CET5!G35</f>
        <v>0.95</v>
      </c>
      <c r="H59" s="60"/>
      <c r="I59" s="147"/>
      <c r="K59" s="147"/>
    </row>
    <row r="60" spans="1:12" ht="12.75">
      <c r="A60" s="144" t="str">
        <f>singleSpecies!A39</f>
        <v>Monodon monoceros</v>
      </c>
      <c r="B60" s="148">
        <f>singleSpecies!N39</f>
        <v>8</v>
      </c>
      <c r="C60" s="150">
        <f>singleSpecies!S39</f>
        <v>3</v>
      </c>
      <c r="D60" s="148">
        <f>singleSpecies!Z39</f>
        <v>50</v>
      </c>
      <c r="E60">
        <f>singleSpecies!AD39</f>
        <v>39</v>
      </c>
      <c r="F60" s="146">
        <f>GEN_CET5!F39</f>
        <v>0.8064</v>
      </c>
      <c r="G60" s="146">
        <f>GEN_CET5!G39</f>
        <v>0.96</v>
      </c>
      <c r="H60" s="60">
        <f>GEN_CET5!I39</f>
        <v>0.03</v>
      </c>
      <c r="I60" s="147">
        <f>GEN_CET5!J39</f>
        <v>17.9</v>
      </c>
      <c r="J60">
        <f>GEN_CET5!K39</f>
        <v>58</v>
      </c>
      <c r="K60" s="147">
        <f>GEN_CET5!L39</f>
        <v>21.9</v>
      </c>
      <c r="L60">
        <v>71</v>
      </c>
    </row>
    <row r="61" spans="1:12" ht="12.75">
      <c r="A61" s="144" t="str">
        <f>singleSpecies!A79</f>
        <v>Neophocaena phocaenoides</v>
      </c>
      <c r="B61" s="148">
        <f>singleSpecies!N79</f>
        <v>8</v>
      </c>
      <c r="C61" s="150">
        <f>singleSpecies!S79</f>
        <v>2</v>
      </c>
      <c r="D61" s="148">
        <f>singleSpecies!Z79</f>
        <v>33</v>
      </c>
      <c r="E61">
        <f>singleSpecies!AD79</f>
        <v>27</v>
      </c>
      <c r="F61" s="146">
        <f>GEN_CET5!F79</f>
        <v>0.798</v>
      </c>
      <c r="G61" s="146">
        <f>GEN_CET5!G79</f>
        <v>0.95</v>
      </c>
      <c r="H61" s="60">
        <f>GEN_CET5!I79</f>
        <v>0.04</v>
      </c>
      <c r="I61" s="147">
        <f>GEN_CET5!J79</f>
        <v>14.4</v>
      </c>
      <c r="J61">
        <f>GEN_CET5!K79</f>
        <v>50</v>
      </c>
      <c r="K61" s="147">
        <f>GEN_CET5!L79</f>
        <v>16.5</v>
      </c>
      <c r="L61">
        <v>63</v>
      </c>
    </row>
    <row r="62" spans="1:11" ht="12.75">
      <c r="A62" s="144" t="str">
        <f>singleSpecies!A74</f>
        <v>Orcaella brevirostris</v>
      </c>
      <c r="B62" s="148">
        <f>singleSpecies!N74</f>
        <v>9</v>
      </c>
      <c r="C62" s="60"/>
      <c r="D62" s="148">
        <f>singleSpecies!Z74</f>
        <v>28</v>
      </c>
      <c r="E62">
        <f>singleSpecies!AD74</f>
        <v>32</v>
      </c>
      <c r="F62" s="146">
        <f>GEN_CET5!F74</f>
        <v>0.798</v>
      </c>
      <c r="G62" s="146">
        <f>GEN_CET5!G74</f>
        <v>0.95</v>
      </c>
      <c r="H62" s="60"/>
      <c r="I62" s="147"/>
      <c r="K62" s="147"/>
    </row>
    <row r="63" spans="1:11" ht="12.75">
      <c r="A63" s="144" t="str">
        <f>singleSpecies!A75</f>
        <v>Orcaella heinsohni</v>
      </c>
      <c r="B63">
        <f>singleSpecies!N75</f>
        <v>9</v>
      </c>
      <c r="C63" s="60"/>
      <c r="D63" s="148"/>
      <c r="E63">
        <f>singleSpecies!AD75</f>
        <v>21</v>
      </c>
      <c r="F63" s="146">
        <f>GEN_CET5!F75</f>
        <v>0.798</v>
      </c>
      <c r="G63" s="146">
        <f>GEN_CET5!G75</f>
        <v>0.95</v>
      </c>
      <c r="H63" s="60"/>
      <c r="I63" s="147"/>
      <c r="K63" s="147"/>
    </row>
    <row r="64" spans="1:12" ht="12.75">
      <c r="A64" s="144" t="str">
        <f>singleSpecies!A76</f>
        <v>Orcinus orca</v>
      </c>
      <c r="B64" s="148">
        <f>singleSpecies!N76</f>
        <v>14.4</v>
      </c>
      <c r="C64" s="150">
        <f>singleSpecies!S76</f>
        <v>5.02</v>
      </c>
      <c r="D64" s="148">
        <f>singleSpecies!Z76</f>
        <v>41</v>
      </c>
      <c r="E64">
        <f>singleSpecies!AD76</f>
        <v>48</v>
      </c>
      <c r="F64" s="149">
        <f>GEN_CET5!F76</f>
        <v>0.91</v>
      </c>
      <c r="G64" s="149">
        <f>GEN_CET5!G76</f>
        <v>0.99</v>
      </c>
      <c r="H64" s="60">
        <f>GEN_CET5!I76</f>
        <v>0.02</v>
      </c>
      <c r="I64" s="147">
        <f>GEN_CET5!J76</f>
        <v>24</v>
      </c>
      <c r="J64">
        <f>GEN_CET5!K76</f>
        <v>43</v>
      </c>
      <c r="K64" s="147">
        <f>GEN_CET5!L76</f>
        <v>25.7</v>
      </c>
      <c r="L64">
        <v>40</v>
      </c>
    </row>
    <row r="65" spans="1:11" ht="12.75">
      <c r="A65" s="144" t="str">
        <f>singleSpecies!A77</f>
        <v>Peponocephala electra</v>
      </c>
      <c r="B65" s="148">
        <f>singleSpecies!N77</f>
        <v>13</v>
      </c>
      <c r="C65" s="60"/>
      <c r="D65" s="148"/>
      <c r="E65">
        <f>singleSpecies!AD77</f>
        <v>34</v>
      </c>
      <c r="F65" s="146">
        <f>GEN_CET5!F77</f>
        <v>0.91</v>
      </c>
      <c r="G65" s="146">
        <f>GEN_CET5!G77</f>
        <v>0.99</v>
      </c>
      <c r="H65" s="60"/>
      <c r="I65" s="147"/>
      <c r="K65" s="147"/>
    </row>
    <row r="66" spans="1:12" ht="12.75">
      <c r="A66" s="144" t="str">
        <f>singleSpecies!A80</f>
        <v>Phocoena dioptrica</v>
      </c>
      <c r="B66">
        <f>singleSpecies!N80</f>
        <v>6</v>
      </c>
      <c r="C66" s="60">
        <f>singleSpecies!S80</f>
        <v>1.5</v>
      </c>
      <c r="D66" s="148"/>
      <c r="E66">
        <f>singleSpecies!AD80</f>
        <v>30</v>
      </c>
      <c r="F66" s="146">
        <f>GEN_CET5!F80</f>
        <v>0.798</v>
      </c>
      <c r="G66" s="146">
        <f>GEN_CET5!G80</f>
        <v>0.95</v>
      </c>
      <c r="H66" s="60">
        <f>GEN_CET5!I80</f>
        <v>0.07</v>
      </c>
      <c r="I66" s="147">
        <f>GEN_CET5!J80</f>
        <v>11</v>
      </c>
      <c r="J66">
        <f>GEN_CET5!K80</f>
        <v>52</v>
      </c>
      <c r="K66" s="147">
        <f>GEN_CET5!L80</f>
        <v>14.4</v>
      </c>
      <c r="L66">
        <v>71</v>
      </c>
    </row>
    <row r="67" spans="1:12" ht="12.75">
      <c r="A67" s="144" t="str">
        <f>singleSpecies!A81</f>
        <v>Phocoena phocoena</v>
      </c>
      <c r="B67" s="148">
        <f>singleSpecies!N81</f>
        <v>5</v>
      </c>
      <c r="C67" s="150">
        <f>singleSpecies!S81</f>
        <v>1</v>
      </c>
      <c r="D67" s="148">
        <f>singleSpecies!Z81</f>
        <v>24</v>
      </c>
      <c r="E67">
        <f>singleSpecies!AD81</f>
        <v>27</v>
      </c>
      <c r="F67" s="146">
        <f>GEN_CET5!F81</f>
        <v>0.798</v>
      </c>
      <c r="G67" s="146">
        <f>GEN_CET5!G81</f>
        <v>0.95</v>
      </c>
      <c r="H67" s="60">
        <f>GEN_CET5!I81</f>
        <v>0.11</v>
      </c>
      <c r="I67" s="147">
        <f>GEN_CET5!J81</f>
        <v>8.3</v>
      </c>
      <c r="J67">
        <f>GEN_CET5!K81</f>
        <v>50</v>
      </c>
      <c r="K67" s="147">
        <f>GEN_CET5!L81</f>
        <v>11.9</v>
      </c>
      <c r="L67">
        <v>73</v>
      </c>
    </row>
    <row r="68" spans="1:12" ht="12.75">
      <c r="A68" s="144" t="str">
        <f>singleSpecies!A82</f>
        <v>Phocoena sinus</v>
      </c>
      <c r="B68" s="148">
        <f>singleSpecies!N82</f>
        <v>6</v>
      </c>
      <c r="C68" s="150">
        <f>singleSpecies!S82</f>
        <v>2</v>
      </c>
      <c r="D68" s="148">
        <f>singleSpecies!Z82</f>
        <v>21</v>
      </c>
      <c r="E68">
        <f>singleSpecies!AD82</f>
        <v>25</v>
      </c>
      <c r="F68" s="146">
        <f>GEN_CET5!F82</f>
        <v>0.798</v>
      </c>
      <c r="G68" s="146">
        <f>GEN_CET5!G82</f>
        <v>0.95</v>
      </c>
      <c r="H68" s="60">
        <f>GEN_CET5!I82</f>
        <v>0.04</v>
      </c>
      <c r="I68" s="147">
        <f>GEN_CET5!J82</f>
        <v>10.4</v>
      </c>
      <c r="J68">
        <f>GEN_CET5!K82</f>
        <v>57</v>
      </c>
      <c r="K68" s="147">
        <f>GEN_CET5!L82</f>
        <v>11.4</v>
      </c>
      <c r="L68">
        <v>66</v>
      </c>
    </row>
    <row r="69" spans="1:12" ht="12.75">
      <c r="A69" s="144" t="str">
        <f>singleSpecies!A83</f>
        <v>Phocoena spinipinnis</v>
      </c>
      <c r="B69">
        <f>singleSpecies!N83</f>
        <v>6</v>
      </c>
      <c r="C69" s="60">
        <f>singleSpecies!S83</f>
        <v>1.5</v>
      </c>
      <c r="D69" s="148"/>
      <c r="E69">
        <f>singleSpecies!AD83</f>
        <v>30</v>
      </c>
      <c r="F69" s="146">
        <f>GEN_CET5!F83</f>
        <v>0.798</v>
      </c>
      <c r="G69" s="146">
        <f>GEN_CET5!G83</f>
        <v>0.95</v>
      </c>
      <c r="H69" s="60">
        <f>GEN_CET5!I83</f>
        <v>0.07</v>
      </c>
      <c r="I69" s="147">
        <f>GEN_CET5!J83</f>
        <v>11</v>
      </c>
      <c r="J69">
        <f>GEN_CET5!K83</f>
        <v>52</v>
      </c>
      <c r="K69" s="147">
        <f>GEN_CET5!L83</f>
        <v>14.4</v>
      </c>
      <c r="L69">
        <v>71</v>
      </c>
    </row>
    <row r="70" spans="1:12" ht="12.75">
      <c r="A70" s="144" t="str">
        <f>singleSpecies!A84</f>
        <v>Phocoenoides dalli</v>
      </c>
      <c r="B70" s="148">
        <f>singleSpecies!N84</f>
        <v>5</v>
      </c>
      <c r="C70" s="150">
        <f>singleSpecies!S84</f>
        <v>1</v>
      </c>
      <c r="D70" s="148">
        <f>singleSpecies!Z84</f>
        <v>35</v>
      </c>
      <c r="E70">
        <f>singleSpecies!AD84</f>
        <v>29</v>
      </c>
      <c r="F70" s="146">
        <f>GEN_CET5!F84</f>
        <v>0.798</v>
      </c>
      <c r="G70" s="146">
        <f>GEN_CET5!G84</f>
        <v>0.95</v>
      </c>
      <c r="H70" s="60">
        <f>GEN_CET5!I84</f>
        <v>0.12</v>
      </c>
      <c r="I70" s="147">
        <f>GEN_CET5!J84</f>
        <v>8.7</v>
      </c>
      <c r="J70">
        <f>GEN_CET5!K84</f>
        <v>50</v>
      </c>
      <c r="K70" s="147">
        <f>GEN_CET5!L84</f>
        <v>15.1</v>
      </c>
      <c r="L70">
        <v>77</v>
      </c>
    </row>
    <row r="71" spans="1:12" ht="12.75">
      <c r="A71" s="144" t="str">
        <f>singleSpecies!A42</f>
        <v>Physeter macrocephalus</v>
      </c>
      <c r="B71" s="148">
        <f>singleSpecies!N42</f>
        <v>12</v>
      </c>
      <c r="C71" s="150">
        <f>singleSpecies!S42</f>
        <v>5</v>
      </c>
      <c r="D71" s="148">
        <f>singleSpecies!Z42</f>
        <v>59</v>
      </c>
      <c r="E71">
        <f>singleSpecies!AD42</f>
        <v>51</v>
      </c>
      <c r="F71" s="146">
        <f>GEN_CET5!F42</f>
        <v>0.82824</v>
      </c>
      <c r="G71" s="146">
        <f>GEN_CET5!G42</f>
        <v>0.986</v>
      </c>
      <c r="H71" s="60">
        <f>GEN_CET5!I42</f>
        <v>0.03</v>
      </c>
      <c r="I71" s="147">
        <f>GEN_CET5!J42</f>
        <v>26.5</v>
      </c>
      <c r="J71">
        <f>GEN_CET5!K42</f>
        <v>56</v>
      </c>
      <c r="K71" s="147">
        <f>GEN_CET5!L42</f>
        <v>31.9</v>
      </c>
      <c r="L71">
        <v>65</v>
      </c>
    </row>
    <row r="72" spans="1:11" ht="12.75">
      <c r="A72" s="144" t="str">
        <f>singleSpecies!A85</f>
        <v>Platanista gangetica</v>
      </c>
      <c r="B72" s="148">
        <f>singleSpecies!N85</f>
        <v>9</v>
      </c>
      <c r="C72" s="60"/>
      <c r="D72" s="148">
        <f>singleSpecies!Z85</f>
        <v>28</v>
      </c>
      <c r="E72">
        <f>singleSpecies!AD85</f>
        <v>33</v>
      </c>
      <c r="F72" s="146">
        <f>GEN_CET5!F85</f>
        <v>0.798</v>
      </c>
      <c r="G72" s="146">
        <f>GEN_CET5!G85</f>
        <v>0.95</v>
      </c>
      <c r="H72" s="60"/>
      <c r="I72" s="147"/>
      <c r="K72" s="147"/>
    </row>
    <row r="73" spans="1:12" ht="12.75">
      <c r="A73" s="144" t="str">
        <f>singleSpecies!A88</f>
        <v>Pontoporia blainvillei</v>
      </c>
      <c r="B73" s="148">
        <f>singleSpecies!N88</f>
        <v>5</v>
      </c>
      <c r="C73" s="150">
        <f>singleSpecies!S88</f>
        <v>1.5</v>
      </c>
      <c r="D73" s="148">
        <f>singleSpecies!Z88</f>
        <v>24</v>
      </c>
      <c r="E73">
        <f>singleSpecies!AD88</f>
        <v>26</v>
      </c>
      <c r="F73" s="146">
        <f>GEN_CET5!F88</f>
        <v>0.798</v>
      </c>
      <c r="G73" s="146">
        <f>GEN_CET5!G88</f>
        <v>0.95</v>
      </c>
      <c r="H73" s="60">
        <f>GEN_CET5!I88</f>
        <v>0.08</v>
      </c>
      <c r="I73" s="147">
        <f>GEN_CET5!J88</f>
        <v>9.3</v>
      </c>
      <c r="J73">
        <f>GEN_CET5!K88</f>
        <v>57</v>
      </c>
      <c r="K73" s="147">
        <f>GEN_CET5!L88</f>
        <v>11.9</v>
      </c>
      <c r="L73">
        <v>73</v>
      </c>
    </row>
    <row r="74" spans="1:11" ht="12.75">
      <c r="A74" s="144" t="str">
        <f>singleSpecies!A78</f>
        <v>Pseudorca crassidens</v>
      </c>
      <c r="B74" s="148">
        <f>singleSpecies!N78</f>
        <v>12</v>
      </c>
      <c r="C74" s="60"/>
      <c r="D74" s="148"/>
      <c r="E74">
        <f>singleSpecies!AD78</f>
        <v>41</v>
      </c>
      <c r="F74" s="146">
        <f>GEN_CET5!F78</f>
        <v>0.91</v>
      </c>
      <c r="G74" s="146">
        <f>GEN_CET5!G78</f>
        <v>0.99</v>
      </c>
      <c r="H74" s="60"/>
      <c r="I74" s="147"/>
      <c r="K74" s="147"/>
    </row>
    <row r="75" spans="1:12" ht="12.75">
      <c r="A75" s="144" t="str">
        <f>singleSpecies!A58</f>
        <v>Sotalia fluviatilis</v>
      </c>
      <c r="B75">
        <f>singleSpecies!N58</f>
        <v>8</v>
      </c>
      <c r="C75" s="150">
        <f>singleSpecies!S58</f>
        <v>2.5</v>
      </c>
      <c r="D75" s="148">
        <f>singleSpecies!Z58</f>
        <v>30</v>
      </c>
      <c r="E75">
        <f>singleSpecies!AD58</f>
        <v>30</v>
      </c>
      <c r="F75" s="146">
        <f>GEN_CET5!F58</f>
        <v>0.798</v>
      </c>
      <c r="G75" s="146">
        <f>GEN_CET5!G58</f>
        <v>0.95</v>
      </c>
      <c r="H75" s="60">
        <f>GEN_CET5!I58</f>
        <v>0.02</v>
      </c>
      <c r="I75" s="147">
        <f>GEN_CET5!J58</f>
        <v>14.6</v>
      </c>
      <c r="J75">
        <f>GEN_CET5!K58</f>
        <v>54</v>
      </c>
      <c r="K75" s="147">
        <f>GEN_CET5!L58</f>
        <v>15.6</v>
      </c>
      <c r="L75">
        <v>61</v>
      </c>
    </row>
    <row r="76" spans="1:12" ht="12.75">
      <c r="A76" s="144" t="str">
        <f>singleSpecies!A59</f>
        <v>Sotalia guianensis</v>
      </c>
      <c r="B76" s="148">
        <f>singleSpecies!N59</f>
        <v>8</v>
      </c>
      <c r="C76" s="150">
        <f>singleSpecies!S59</f>
        <v>2</v>
      </c>
      <c r="D76" s="148">
        <f>singleSpecies!Z59</f>
        <v>30</v>
      </c>
      <c r="E76">
        <f>singleSpecies!AD59</f>
        <v>30</v>
      </c>
      <c r="F76" s="146">
        <f>GEN_CET5!F59</f>
        <v>0.798</v>
      </c>
      <c r="G76" s="146">
        <f>GEN_CET5!G59</f>
        <v>0.95</v>
      </c>
      <c r="H76" s="60">
        <f>GEN_CET5!I59</f>
        <v>0.04</v>
      </c>
      <c r="I76" s="147">
        <f>GEN_CET5!J59</f>
        <v>14</v>
      </c>
      <c r="J76">
        <f>GEN_CET5!K59</f>
        <v>50</v>
      </c>
      <c r="K76" s="147">
        <f>GEN_CET5!L59</f>
        <v>15.6</v>
      </c>
      <c r="L76">
        <v>61</v>
      </c>
    </row>
    <row r="77" spans="1:12" ht="12.75">
      <c r="A77" s="144" t="str">
        <f>singleSpecies!A60</f>
        <v>Sousa chinensis</v>
      </c>
      <c r="B77" s="148">
        <f>singleSpecies!N60</f>
        <v>11</v>
      </c>
      <c r="C77" s="150">
        <f>singleSpecies!S60</f>
        <v>3</v>
      </c>
      <c r="D77" s="148">
        <f>singleSpecies!Z60</f>
        <v>40</v>
      </c>
      <c r="E77">
        <f>singleSpecies!AD60</f>
        <v>33</v>
      </c>
      <c r="F77" s="146">
        <f>GEN_CET5!F60</f>
        <v>0.798</v>
      </c>
      <c r="G77" s="146">
        <f>GEN_CET5!G60</f>
        <v>0.95</v>
      </c>
      <c r="H77" s="60">
        <f>GEN_CET5!I60</f>
        <v>0.01</v>
      </c>
      <c r="I77" s="147">
        <f>GEN_CET5!J60</f>
        <v>19.8</v>
      </c>
      <c r="J77">
        <f>GEN_CET5!K60</f>
        <v>50</v>
      </c>
      <c r="K77" s="147">
        <f>GEN_CET5!L60</f>
        <v>20.4</v>
      </c>
      <c r="L77">
        <v>54</v>
      </c>
    </row>
    <row r="78" spans="1:12" ht="12.75">
      <c r="A78" s="144" t="str">
        <f>singleSpecies!A61</f>
        <v>Sousa teuszii</v>
      </c>
      <c r="B78">
        <f>singleSpecies!N61</f>
        <v>11</v>
      </c>
      <c r="C78" s="60">
        <f>singleSpecies!S61</f>
        <v>3</v>
      </c>
      <c r="D78" s="148">
        <f>singleSpecies!Z61</f>
        <v>0</v>
      </c>
      <c r="E78">
        <f>singleSpecies!AD61</f>
        <v>33</v>
      </c>
      <c r="F78" s="146">
        <f>GEN_CET5!F61</f>
        <v>0.798</v>
      </c>
      <c r="G78" s="146">
        <f>GEN_CET5!G61</f>
        <v>0.95</v>
      </c>
      <c r="H78" s="60">
        <f>GEN_CET5!I61</f>
        <v>0</v>
      </c>
      <c r="I78" s="147">
        <f>GEN_CET5!J61</f>
        <v>18.3</v>
      </c>
      <c r="J78">
        <f>GEN_CET5!K61</f>
        <v>50</v>
      </c>
      <c r="K78" s="147">
        <f>GEN_CET5!L61</f>
        <v>18.4</v>
      </c>
      <c r="L78">
        <v>51</v>
      </c>
    </row>
    <row r="79" spans="1:12" ht="12.75">
      <c r="A79" s="144" t="str">
        <f>singleSpecies!A62</f>
        <v>Stenella attenuata</v>
      </c>
      <c r="B79" s="148">
        <f>singleSpecies!N62</f>
        <v>13</v>
      </c>
      <c r="C79" s="150">
        <f>singleSpecies!S62</f>
        <v>3</v>
      </c>
      <c r="D79" s="148">
        <f>singleSpecies!Z62</f>
        <v>45</v>
      </c>
      <c r="E79">
        <f>singleSpecies!AD62</f>
        <v>33</v>
      </c>
      <c r="F79" s="146">
        <f>GEN_CET5!F62</f>
        <v>0.798</v>
      </c>
      <c r="G79" s="146">
        <f>GEN_CET5!G62</f>
        <v>0.95</v>
      </c>
      <c r="H79" s="60">
        <f>GEN_CET5!I62</f>
        <v>0</v>
      </c>
      <c r="I79" s="147">
        <f>GEN_CET5!J62</f>
        <v>22.7</v>
      </c>
      <c r="J79">
        <f>GEN_CET5!K62</f>
        <v>47</v>
      </c>
      <c r="K79" s="147">
        <f>GEN_CET5!L62</f>
        <v>23.1</v>
      </c>
      <c r="L79">
        <v>49</v>
      </c>
    </row>
    <row r="80" spans="1:12" ht="12.75">
      <c r="A80" s="144" t="str">
        <f>singleSpecies!A64</f>
        <v>Stenella clymene</v>
      </c>
      <c r="B80">
        <f>singleSpecies!N64</f>
        <v>7</v>
      </c>
      <c r="C80" s="60">
        <f>singleSpecies!S64</f>
        <v>3</v>
      </c>
      <c r="D80" s="148"/>
      <c r="E80">
        <f>singleSpecies!AD64</f>
        <v>29</v>
      </c>
      <c r="F80" s="146">
        <f>GEN_CET5!F64</f>
        <v>0.798</v>
      </c>
      <c r="G80" s="146">
        <f>GEN_CET5!G64</f>
        <v>0.95</v>
      </c>
      <c r="H80" s="60">
        <f>GEN_CET5!I64</f>
        <v>0.02</v>
      </c>
      <c r="I80" s="147">
        <f>GEN_CET5!J64</f>
        <v>14</v>
      </c>
      <c r="J80">
        <f>GEN_CET5!K64</f>
        <v>61</v>
      </c>
      <c r="K80" s="147">
        <f>GEN_CET5!L64</f>
        <v>14.7</v>
      </c>
      <c r="L80">
        <v>65</v>
      </c>
    </row>
    <row r="81" spans="1:12" ht="12.75">
      <c r="A81" s="144" t="str">
        <f>singleSpecies!A63</f>
        <v>Stenella coeruleoalba</v>
      </c>
      <c r="B81" s="148">
        <f>singleSpecies!N63</f>
        <v>11</v>
      </c>
      <c r="C81" s="150">
        <f>singleSpecies!S63</f>
        <v>3.38</v>
      </c>
      <c r="D81" s="148">
        <f>singleSpecies!Z63</f>
        <v>49</v>
      </c>
      <c r="E81">
        <f>singleSpecies!AD63</f>
        <v>33</v>
      </c>
      <c r="F81" s="146">
        <f>GEN_CET5!F63</f>
        <v>0.798</v>
      </c>
      <c r="G81" s="146">
        <f>GEN_CET5!G63</f>
        <v>0.95</v>
      </c>
      <c r="H81" s="60">
        <f>GEN_CET5!I63</f>
        <v>0.01</v>
      </c>
      <c r="I81" s="147">
        <f>GEN_CET5!J63</f>
        <v>21.8</v>
      </c>
      <c r="J81">
        <f>GEN_CET5!K63</f>
        <v>53</v>
      </c>
      <c r="K81" s="147">
        <f>GEN_CET5!L63</f>
        <v>22.5</v>
      </c>
      <c r="L81">
        <v>56</v>
      </c>
    </row>
    <row r="82" spans="1:12" ht="12.75">
      <c r="A82" s="144" t="str">
        <f>singleSpecies!A65</f>
        <v>Stenella frontalis</v>
      </c>
      <c r="B82" s="148">
        <f>singleSpecies!N65</f>
        <v>12</v>
      </c>
      <c r="C82" s="150">
        <f>singleSpecies!S65</f>
        <v>3</v>
      </c>
      <c r="D82" s="148"/>
      <c r="E82">
        <f>singleSpecies!AD65</f>
        <v>31</v>
      </c>
      <c r="F82" s="149">
        <f>GEN_CET5!F65</f>
        <v>0.76</v>
      </c>
      <c r="G82" s="146">
        <f>GEN_CET5!G65</f>
        <v>0.95</v>
      </c>
      <c r="H82" s="60">
        <f>GEN_CET5!I65</f>
        <v>-0.01</v>
      </c>
      <c r="I82" s="147">
        <f>GEN_CET5!J65</f>
        <v>18.6</v>
      </c>
      <c r="J82">
        <f>GEN_CET5!K65</f>
        <v>48</v>
      </c>
      <c r="K82" s="147">
        <f>GEN_CET5!L65</f>
        <v>18.3</v>
      </c>
      <c r="L82">
        <v>46</v>
      </c>
    </row>
    <row r="83" spans="1:12" ht="12.75">
      <c r="A83" s="144" t="str">
        <f>singleSpecies!A66</f>
        <v>Stenella longirostris</v>
      </c>
      <c r="B83" s="148">
        <f>singleSpecies!N66</f>
        <v>7</v>
      </c>
      <c r="C83" s="150">
        <f>singleSpecies!S66</f>
        <v>3</v>
      </c>
      <c r="D83" s="148">
        <f>singleSpecies!Z66</f>
        <v>26</v>
      </c>
      <c r="E83">
        <f>singleSpecies!AD66</f>
        <v>30</v>
      </c>
      <c r="F83" s="146">
        <f>GEN_CET5!F66</f>
        <v>0.798</v>
      </c>
      <c r="G83" s="146">
        <f>GEN_CET5!G66</f>
        <v>0.95</v>
      </c>
      <c r="H83" s="60">
        <f>GEN_CET5!I66</f>
        <v>0.01</v>
      </c>
      <c r="I83" s="147">
        <f>GEN_CET5!J66</f>
        <v>13.3</v>
      </c>
      <c r="J83">
        <f>GEN_CET5!K66</f>
        <v>61</v>
      </c>
      <c r="K83" s="147">
        <f>GEN_CET5!L66</f>
        <v>13.7</v>
      </c>
      <c r="L83">
        <v>64</v>
      </c>
    </row>
    <row r="84" spans="1:11" ht="12.75">
      <c r="A84" s="144" t="str">
        <f>singleSpecies!A67</f>
        <v>Steno bredanensis</v>
      </c>
      <c r="B84" s="148">
        <f>singleSpecies!N67</f>
        <v>10</v>
      </c>
      <c r="C84" s="60"/>
      <c r="D84" s="148">
        <f>singleSpecies!Z67</f>
        <v>32</v>
      </c>
      <c r="E84">
        <f>singleSpecies!AD67</f>
        <v>33</v>
      </c>
      <c r="F84" s="146">
        <f>GEN_CET5!F67</f>
        <v>0.798</v>
      </c>
      <c r="G84" s="146">
        <f>GEN_CET5!G67</f>
        <v>0.95</v>
      </c>
      <c r="H84" s="60"/>
      <c r="I84" s="147"/>
      <c r="K84" s="147"/>
    </row>
    <row r="85" spans="1:11" ht="12.75">
      <c r="A85" s="144" t="str">
        <f>singleSpecies!A36</f>
        <v>Tasmacetus shepherdi</v>
      </c>
      <c r="C85" s="60"/>
      <c r="D85" s="148"/>
      <c r="E85">
        <f>singleSpecies!AD36</f>
        <v>45</v>
      </c>
      <c r="F85" s="146">
        <f>GEN_CET5!F36</f>
        <v>0.798</v>
      </c>
      <c r="G85" s="146">
        <f>GEN_CET5!G36</f>
        <v>0.95</v>
      </c>
      <c r="H85" s="60"/>
      <c r="I85" s="147"/>
      <c r="K85" s="147"/>
    </row>
    <row r="86" spans="1:12" ht="12.75">
      <c r="A86" s="144" t="str">
        <f>singleSpecies!A68</f>
        <v>Tursiops aduncus</v>
      </c>
      <c r="B86">
        <f>singleSpecies!N68</f>
        <v>9.48</v>
      </c>
      <c r="C86" s="60">
        <f>singleSpecies!S68</f>
        <v>3.8</v>
      </c>
      <c r="D86" s="148"/>
      <c r="E86">
        <f>singleSpecies!AD68</f>
        <v>33</v>
      </c>
      <c r="F86" s="146">
        <f>GEN_CET5!F68</f>
        <v>0.76</v>
      </c>
      <c r="G86" s="146">
        <f>GEN_CET5!G68</f>
        <v>0.95</v>
      </c>
      <c r="H86" s="60">
        <f>GEN_CET5!I68</f>
        <v>0</v>
      </c>
      <c r="I86" s="147">
        <f>GEN_CET5!J68</f>
        <v>20.6</v>
      </c>
      <c r="J86">
        <f>GEN_CET5!K68</f>
        <v>60</v>
      </c>
      <c r="K86" s="147">
        <f>GEN_CET5!L68</f>
        <v>21.1</v>
      </c>
      <c r="L86">
        <v>62</v>
      </c>
    </row>
    <row r="87" spans="1:12" ht="12.75">
      <c r="A87" s="144" t="str">
        <f>singleSpecies!A69</f>
        <v>Tursiops truncatus</v>
      </c>
      <c r="B87" s="148">
        <f>singleSpecies!N69</f>
        <v>9.48</v>
      </c>
      <c r="C87" s="150">
        <f>singleSpecies!S69</f>
        <v>3.8</v>
      </c>
      <c r="D87" s="148">
        <f>singleSpecies!Z69</f>
        <v>48</v>
      </c>
      <c r="E87">
        <f>singleSpecies!AD69</f>
        <v>37</v>
      </c>
      <c r="F87" s="149">
        <f>GEN_CET5!F69</f>
        <v>0.76</v>
      </c>
      <c r="G87" s="149">
        <f>GEN_CET5!G69</f>
        <v>0.95</v>
      </c>
      <c r="H87" s="60">
        <f>GEN_CET5!I69</f>
        <v>0</v>
      </c>
      <c r="I87" s="147">
        <f>GEN_CET5!J69</f>
        <v>20.6</v>
      </c>
      <c r="J87">
        <f>GEN_CET5!K69</f>
        <v>60</v>
      </c>
      <c r="K87" s="147">
        <f>GEN_CET5!L69</f>
        <v>21.1</v>
      </c>
      <c r="L87">
        <v>62</v>
      </c>
    </row>
    <row r="88" spans="1:11" ht="12.75">
      <c r="A88" s="144" t="str">
        <f>singleSpecies!A37</f>
        <v>Ziphius cavirostris</v>
      </c>
      <c r="C88" s="60"/>
      <c r="D88" s="148"/>
      <c r="E88">
        <f>singleSpecies!AD37</f>
        <v>46</v>
      </c>
      <c r="F88" s="146">
        <f>GEN_CET5!F37</f>
        <v>0.798</v>
      </c>
      <c r="G88" s="146">
        <f>GEN_CET5!G37</f>
        <v>0.95</v>
      </c>
      <c r="H88" s="60"/>
      <c r="I88" s="147"/>
      <c r="K88" s="147"/>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53"/>
  <sheetViews>
    <sheetView workbookViewId="0" topLeftCell="A13">
      <selection activeCell="C53" sqref="C53"/>
    </sheetView>
  </sheetViews>
  <sheetFormatPr defaultColWidth="9.140625" defaultRowHeight="12.75"/>
  <sheetData>
    <row r="1" spans="1:4" ht="12.75">
      <c r="A1" t="s">
        <v>202</v>
      </c>
      <c r="B1" t="s">
        <v>203</v>
      </c>
      <c r="D1" t="s">
        <v>204</v>
      </c>
    </row>
    <row r="2" spans="1:4" ht="12.75">
      <c r="A2">
        <v>0</v>
      </c>
      <c r="B2">
        <v>49</v>
      </c>
      <c r="D2">
        <v>41</v>
      </c>
    </row>
    <row r="3" spans="1:4" ht="12.75">
      <c r="A3">
        <v>1</v>
      </c>
      <c r="B3">
        <v>20</v>
      </c>
      <c r="D3">
        <v>16</v>
      </c>
    </row>
    <row r="4" spans="1:4" ht="12.75">
      <c r="A4">
        <v>2</v>
      </c>
      <c r="B4">
        <v>32</v>
      </c>
      <c r="D4">
        <v>13</v>
      </c>
    </row>
    <row r="5" spans="1:4" ht="12.75">
      <c r="A5">
        <v>3</v>
      </c>
      <c r="B5">
        <v>49</v>
      </c>
      <c r="D5">
        <v>10</v>
      </c>
    </row>
    <row r="6" spans="1:4" ht="12.75">
      <c r="A6">
        <v>4</v>
      </c>
      <c r="B6">
        <v>50</v>
      </c>
      <c r="D6">
        <v>8</v>
      </c>
    </row>
    <row r="7" spans="1:4" ht="12.75">
      <c r="A7">
        <v>5</v>
      </c>
      <c r="B7">
        <v>28</v>
      </c>
      <c r="D7">
        <v>11</v>
      </c>
    </row>
    <row r="8" spans="1:4" ht="12.75">
      <c r="A8">
        <v>6</v>
      </c>
      <c r="B8">
        <v>29</v>
      </c>
      <c r="D8">
        <v>14</v>
      </c>
    </row>
    <row r="9" spans="1:4" ht="12.75">
      <c r="A9">
        <v>7</v>
      </c>
      <c r="B9">
        <v>30</v>
      </c>
      <c r="D9">
        <v>10</v>
      </c>
    </row>
    <row r="10" spans="1:4" ht="12.75">
      <c r="A10">
        <v>8</v>
      </c>
      <c r="B10">
        <v>37</v>
      </c>
      <c r="D10">
        <v>14</v>
      </c>
    </row>
    <row r="11" spans="1:7" ht="12.75">
      <c r="A11">
        <v>9</v>
      </c>
      <c r="B11">
        <v>31</v>
      </c>
      <c r="C11">
        <f>(B11/2)*A11</f>
        <v>139.5</v>
      </c>
      <c r="D11">
        <v>15</v>
      </c>
      <c r="E11">
        <f>D11*A11</f>
        <v>135</v>
      </c>
      <c r="G11">
        <f>(7+12)/2</f>
        <v>9.5</v>
      </c>
    </row>
    <row r="12" spans="1:5" ht="12.75">
      <c r="A12">
        <v>10</v>
      </c>
      <c r="B12">
        <v>32</v>
      </c>
      <c r="C12">
        <f>B12*A12</f>
        <v>320</v>
      </c>
      <c r="D12">
        <v>14</v>
      </c>
      <c r="E12">
        <f aca="true" t="shared" si="0" ref="E12:E52">D12*A12</f>
        <v>140</v>
      </c>
    </row>
    <row r="13" spans="1:5" ht="12.75">
      <c r="A13">
        <v>11</v>
      </c>
      <c r="B13">
        <v>35</v>
      </c>
      <c r="C13">
        <f aca="true" t="shared" si="1" ref="C13:C52">B13*A13</f>
        <v>385</v>
      </c>
      <c r="D13">
        <v>18</v>
      </c>
      <c r="E13">
        <f t="shared" si="0"/>
        <v>198</v>
      </c>
    </row>
    <row r="14" spans="1:5" ht="12.75">
      <c r="A14">
        <v>12</v>
      </c>
      <c r="B14">
        <v>32</v>
      </c>
      <c r="C14">
        <f t="shared" si="1"/>
        <v>384</v>
      </c>
      <c r="D14">
        <v>25</v>
      </c>
      <c r="E14">
        <f t="shared" si="0"/>
        <v>300</v>
      </c>
    </row>
    <row r="15" spans="1:5" ht="12.75">
      <c r="A15">
        <v>13</v>
      </c>
      <c r="B15">
        <v>31</v>
      </c>
      <c r="C15">
        <f t="shared" si="1"/>
        <v>403</v>
      </c>
      <c r="D15">
        <v>10</v>
      </c>
      <c r="E15">
        <f t="shared" si="0"/>
        <v>130</v>
      </c>
    </row>
    <row r="16" spans="1:5" ht="12.75">
      <c r="A16">
        <v>14</v>
      </c>
      <c r="B16">
        <v>27</v>
      </c>
      <c r="C16">
        <f t="shared" si="1"/>
        <v>378</v>
      </c>
      <c r="D16">
        <v>13</v>
      </c>
      <c r="E16">
        <f t="shared" si="0"/>
        <v>182</v>
      </c>
    </row>
    <row r="17" spans="1:5" ht="12.75">
      <c r="A17">
        <v>15</v>
      </c>
      <c r="B17">
        <v>21</v>
      </c>
      <c r="C17">
        <f t="shared" si="1"/>
        <v>315</v>
      </c>
      <c r="D17">
        <v>14</v>
      </c>
      <c r="E17">
        <f t="shared" si="0"/>
        <v>210</v>
      </c>
    </row>
    <row r="18" spans="1:5" ht="12.75">
      <c r="A18">
        <v>16</v>
      </c>
      <c r="B18">
        <v>25</v>
      </c>
      <c r="C18">
        <f t="shared" si="1"/>
        <v>400</v>
      </c>
      <c r="D18">
        <v>20</v>
      </c>
      <c r="E18">
        <f t="shared" si="0"/>
        <v>320</v>
      </c>
    </row>
    <row r="19" spans="1:5" ht="12.75">
      <c r="A19">
        <v>17</v>
      </c>
      <c r="B19">
        <v>17</v>
      </c>
      <c r="C19">
        <f t="shared" si="1"/>
        <v>289</v>
      </c>
      <c r="D19">
        <v>11</v>
      </c>
      <c r="E19">
        <f t="shared" si="0"/>
        <v>187</v>
      </c>
    </row>
    <row r="20" spans="1:5" ht="12.75">
      <c r="A20">
        <v>18</v>
      </c>
      <c r="B20">
        <v>18</v>
      </c>
      <c r="C20">
        <f t="shared" si="1"/>
        <v>324</v>
      </c>
      <c r="D20">
        <v>20</v>
      </c>
      <c r="E20">
        <f t="shared" si="0"/>
        <v>360</v>
      </c>
    </row>
    <row r="21" spans="1:5" ht="12.75">
      <c r="A21">
        <v>19</v>
      </c>
      <c r="B21">
        <v>19</v>
      </c>
      <c r="C21">
        <f t="shared" si="1"/>
        <v>361</v>
      </c>
      <c r="D21">
        <v>25</v>
      </c>
      <c r="E21">
        <f t="shared" si="0"/>
        <v>475</v>
      </c>
    </row>
    <row r="22" spans="1:5" ht="12.75">
      <c r="A22">
        <v>20</v>
      </c>
      <c r="B22">
        <v>10</v>
      </c>
      <c r="C22">
        <f t="shared" si="1"/>
        <v>200</v>
      </c>
      <c r="D22">
        <v>11</v>
      </c>
      <c r="E22">
        <f t="shared" si="0"/>
        <v>220</v>
      </c>
    </row>
    <row r="23" spans="1:5" ht="12.75">
      <c r="A23">
        <v>21</v>
      </c>
      <c r="B23">
        <v>10</v>
      </c>
      <c r="C23">
        <f t="shared" si="1"/>
        <v>210</v>
      </c>
      <c r="D23">
        <v>7</v>
      </c>
      <c r="E23">
        <f t="shared" si="0"/>
        <v>147</v>
      </c>
    </row>
    <row r="24" spans="1:5" ht="12.75">
      <c r="A24">
        <v>22</v>
      </c>
      <c r="B24">
        <v>10</v>
      </c>
      <c r="C24">
        <f t="shared" si="1"/>
        <v>220</v>
      </c>
      <c r="D24">
        <v>8</v>
      </c>
      <c r="E24">
        <f t="shared" si="0"/>
        <v>176</v>
      </c>
    </row>
    <row r="25" spans="1:5" ht="12.75">
      <c r="A25">
        <v>23</v>
      </c>
      <c r="B25">
        <v>13</v>
      </c>
      <c r="C25">
        <f t="shared" si="1"/>
        <v>299</v>
      </c>
      <c r="D25">
        <v>6</v>
      </c>
      <c r="E25">
        <f t="shared" si="0"/>
        <v>138</v>
      </c>
    </row>
    <row r="26" spans="1:5" ht="12.75">
      <c r="A26">
        <v>24</v>
      </c>
      <c r="B26">
        <v>12</v>
      </c>
      <c r="C26">
        <f t="shared" si="1"/>
        <v>288</v>
      </c>
      <c r="D26">
        <v>11</v>
      </c>
      <c r="E26">
        <f t="shared" si="0"/>
        <v>264</v>
      </c>
    </row>
    <row r="27" spans="1:5" ht="12.75">
      <c r="A27">
        <v>25</v>
      </c>
      <c r="B27">
        <v>12</v>
      </c>
      <c r="C27">
        <f t="shared" si="1"/>
        <v>300</v>
      </c>
      <c r="D27">
        <v>8</v>
      </c>
      <c r="E27">
        <f t="shared" si="0"/>
        <v>200</v>
      </c>
    </row>
    <row r="28" spans="1:5" ht="12.75">
      <c r="A28">
        <v>26</v>
      </c>
      <c r="B28">
        <v>6</v>
      </c>
      <c r="C28">
        <f t="shared" si="1"/>
        <v>156</v>
      </c>
      <c r="D28">
        <v>4</v>
      </c>
      <c r="E28">
        <f t="shared" si="0"/>
        <v>104</v>
      </c>
    </row>
    <row r="29" spans="1:5" ht="12.75">
      <c r="A29">
        <v>27</v>
      </c>
      <c r="B29">
        <v>8</v>
      </c>
      <c r="C29">
        <f t="shared" si="1"/>
        <v>216</v>
      </c>
      <c r="D29">
        <v>5</v>
      </c>
      <c r="E29">
        <f t="shared" si="0"/>
        <v>135</v>
      </c>
    </row>
    <row r="30" spans="1:5" ht="12.75">
      <c r="A30">
        <v>28</v>
      </c>
      <c r="B30">
        <v>9</v>
      </c>
      <c r="C30">
        <f t="shared" si="1"/>
        <v>252</v>
      </c>
      <c r="D30">
        <v>7</v>
      </c>
      <c r="E30">
        <f t="shared" si="0"/>
        <v>196</v>
      </c>
    </row>
    <row r="31" spans="1:5" ht="12.75">
      <c r="A31">
        <v>29</v>
      </c>
      <c r="B31">
        <v>9</v>
      </c>
      <c r="C31">
        <f t="shared" si="1"/>
        <v>261</v>
      </c>
      <c r="D31">
        <v>5</v>
      </c>
      <c r="E31">
        <f t="shared" si="0"/>
        <v>145</v>
      </c>
    </row>
    <row r="32" spans="1:5" ht="12.75">
      <c r="A32">
        <v>30</v>
      </c>
      <c r="B32">
        <v>3</v>
      </c>
      <c r="C32">
        <f t="shared" si="1"/>
        <v>90</v>
      </c>
      <c r="D32">
        <v>5</v>
      </c>
      <c r="E32">
        <f t="shared" si="0"/>
        <v>150</v>
      </c>
    </row>
    <row r="33" spans="1:5" ht="12.75">
      <c r="A33">
        <v>31</v>
      </c>
      <c r="B33">
        <v>2</v>
      </c>
      <c r="C33">
        <f t="shared" si="1"/>
        <v>62</v>
      </c>
      <c r="D33">
        <v>7</v>
      </c>
      <c r="E33">
        <f t="shared" si="0"/>
        <v>217</v>
      </c>
    </row>
    <row r="34" spans="1:5" ht="12.75">
      <c r="A34">
        <v>32</v>
      </c>
      <c r="B34">
        <v>5</v>
      </c>
      <c r="C34">
        <f t="shared" si="1"/>
        <v>160</v>
      </c>
      <c r="D34">
        <v>1</v>
      </c>
      <c r="E34">
        <f t="shared" si="0"/>
        <v>32</v>
      </c>
    </row>
    <row r="35" spans="1:5" ht="12.75">
      <c r="A35">
        <v>33</v>
      </c>
      <c r="B35">
        <v>8</v>
      </c>
      <c r="C35">
        <f t="shared" si="1"/>
        <v>264</v>
      </c>
      <c r="D35">
        <v>3</v>
      </c>
      <c r="E35">
        <f t="shared" si="0"/>
        <v>99</v>
      </c>
    </row>
    <row r="36" spans="1:5" ht="12.75">
      <c r="A36">
        <v>34</v>
      </c>
      <c r="B36">
        <v>2</v>
      </c>
      <c r="C36">
        <f t="shared" si="1"/>
        <v>68</v>
      </c>
      <c r="D36">
        <v>3</v>
      </c>
      <c r="E36">
        <f t="shared" si="0"/>
        <v>102</v>
      </c>
    </row>
    <row r="37" spans="1:5" ht="12.75">
      <c r="A37">
        <v>35</v>
      </c>
      <c r="B37">
        <v>0</v>
      </c>
      <c r="C37">
        <f t="shared" si="1"/>
        <v>0</v>
      </c>
      <c r="D37">
        <v>3</v>
      </c>
      <c r="E37">
        <f t="shared" si="0"/>
        <v>105</v>
      </c>
    </row>
    <row r="38" spans="1:5" ht="12.75">
      <c r="A38">
        <v>36</v>
      </c>
      <c r="B38">
        <v>1</v>
      </c>
      <c r="C38">
        <f t="shared" si="1"/>
        <v>36</v>
      </c>
      <c r="D38">
        <v>4</v>
      </c>
      <c r="E38">
        <f t="shared" si="0"/>
        <v>144</v>
      </c>
    </row>
    <row r="39" spans="1:5" ht="12.75">
      <c r="A39">
        <v>37</v>
      </c>
      <c r="B39">
        <v>1</v>
      </c>
      <c r="C39">
        <f t="shared" si="1"/>
        <v>37</v>
      </c>
      <c r="D39">
        <v>1</v>
      </c>
      <c r="E39">
        <f t="shared" si="0"/>
        <v>37</v>
      </c>
    </row>
    <row r="40" spans="1:5" ht="12.75">
      <c r="A40">
        <v>38</v>
      </c>
      <c r="B40">
        <v>3</v>
      </c>
      <c r="C40">
        <f t="shared" si="1"/>
        <v>114</v>
      </c>
      <c r="D40">
        <v>1</v>
      </c>
      <c r="E40">
        <f t="shared" si="0"/>
        <v>38</v>
      </c>
    </row>
    <row r="41" spans="1:5" ht="12.75">
      <c r="A41">
        <v>39</v>
      </c>
      <c r="B41">
        <v>1</v>
      </c>
      <c r="C41">
        <f t="shared" si="1"/>
        <v>39</v>
      </c>
      <c r="D41">
        <v>4</v>
      </c>
      <c r="E41">
        <f t="shared" si="0"/>
        <v>156</v>
      </c>
    </row>
    <row r="42" spans="1:5" ht="12.75">
      <c r="A42">
        <v>40</v>
      </c>
      <c r="B42">
        <v>1</v>
      </c>
      <c r="C42">
        <f t="shared" si="1"/>
        <v>40</v>
      </c>
      <c r="D42">
        <v>1</v>
      </c>
      <c r="E42">
        <f t="shared" si="0"/>
        <v>40</v>
      </c>
    </row>
    <row r="43" spans="1:5" ht="12.75">
      <c r="A43">
        <v>41</v>
      </c>
      <c r="B43">
        <v>0</v>
      </c>
      <c r="C43">
        <f t="shared" si="1"/>
        <v>0</v>
      </c>
      <c r="D43">
        <v>1</v>
      </c>
      <c r="E43">
        <f t="shared" si="0"/>
        <v>41</v>
      </c>
    </row>
    <row r="44" spans="1:5" ht="12.75">
      <c r="A44">
        <v>42</v>
      </c>
      <c r="B44">
        <v>4</v>
      </c>
      <c r="C44">
        <f t="shared" si="1"/>
        <v>168</v>
      </c>
      <c r="D44">
        <v>1</v>
      </c>
      <c r="E44">
        <f t="shared" si="0"/>
        <v>42</v>
      </c>
    </row>
    <row r="45" spans="1:5" ht="12.75">
      <c r="A45">
        <v>43</v>
      </c>
      <c r="B45">
        <v>0</v>
      </c>
      <c r="C45">
        <f t="shared" si="1"/>
        <v>0</v>
      </c>
      <c r="D45">
        <v>0</v>
      </c>
      <c r="E45">
        <f t="shared" si="0"/>
        <v>0</v>
      </c>
    </row>
    <row r="46" spans="1:5" ht="12.75">
      <c r="A46">
        <v>44</v>
      </c>
      <c r="B46">
        <v>0</v>
      </c>
      <c r="C46">
        <f t="shared" si="1"/>
        <v>0</v>
      </c>
      <c r="D46">
        <v>1</v>
      </c>
      <c r="E46">
        <f t="shared" si="0"/>
        <v>44</v>
      </c>
    </row>
    <row r="47" spans="1:5" ht="12.75">
      <c r="A47">
        <v>45</v>
      </c>
      <c r="B47">
        <v>0</v>
      </c>
      <c r="C47">
        <f t="shared" si="1"/>
        <v>0</v>
      </c>
      <c r="D47">
        <v>1</v>
      </c>
      <c r="E47">
        <f t="shared" si="0"/>
        <v>45</v>
      </c>
    </row>
    <row r="48" spans="1:5" ht="12.75">
      <c r="A48">
        <v>46</v>
      </c>
      <c r="B48">
        <v>1</v>
      </c>
      <c r="C48">
        <f t="shared" si="1"/>
        <v>46</v>
      </c>
      <c r="D48">
        <v>0</v>
      </c>
      <c r="E48">
        <f t="shared" si="0"/>
        <v>0</v>
      </c>
    </row>
    <row r="49" spans="1:5" ht="12.75">
      <c r="A49">
        <v>47</v>
      </c>
      <c r="B49">
        <v>0</v>
      </c>
      <c r="C49">
        <f t="shared" si="1"/>
        <v>0</v>
      </c>
      <c r="D49">
        <v>0</v>
      </c>
      <c r="E49">
        <f t="shared" si="0"/>
        <v>0</v>
      </c>
    </row>
    <row r="50" spans="1:5" ht="12.75">
      <c r="A50">
        <v>48</v>
      </c>
      <c r="B50">
        <v>1</v>
      </c>
      <c r="C50">
        <f t="shared" si="1"/>
        <v>48</v>
      </c>
      <c r="D50">
        <v>0</v>
      </c>
      <c r="E50">
        <f t="shared" si="0"/>
        <v>0</v>
      </c>
    </row>
    <row r="51" spans="1:5" ht="12.75">
      <c r="A51">
        <v>49</v>
      </c>
      <c r="B51">
        <v>2</v>
      </c>
      <c r="C51">
        <f t="shared" si="1"/>
        <v>98</v>
      </c>
      <c r="D51">
        <v>0</v>
      </c>
      <c r="E51">
        <f t="shared" si="0"/>
        <v>0</v>
      </c>
    </row>
    <row r="52" spans="1:5" ht="12.75">
      <c r="A52">
        <v>50</v>
      </c>
      <c r="B52">
        <v>0</v>
      </c>
      <c r="C52">
        <f t="shared" si="1"/>
        <v>0</v>
      </c>
      <c r="D52">
        <v>0</v>
      </c>
      <c r="E52">
        <f t="shared" si="0"/>
        <v>0</v>
      </c>
    </row>
    <row r="53" spans="2:5" ht="12.75">
      <c r="B53">
        <f>SUM(B12:B52)+(B11/2)</f>
        <v>406.5</v>
      </c>
      <c r="C53">
        <f>SUM(C11:C52)/B53</f>
        <v>18.131611316113162</v>
      </c>
      <c r="D53">
        <f>SUM(D11:D52)</f>
        <v>294</v>
      </c>
      <c r="E53">
        <f>SUM(E11:E52)/D53</f>
        <v>19.231292517006803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Southwest Fisheries Science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Larese</dc:creator>
  <cp:keywords/>
  <dc:description/>
  <cp:lastModifiedBy> dave</cp:lastModifiedBy>
  <cp:lastPrinted>2007-01-08T19:37:54Z</cp:lastPrinted>
  <dcterms:created xsi:type="dcterms:W3CDTF">2006-08-01T22:55:43Z</dcterms:created>
  <dcterms:modified xsi:type="dcterms:W3CDTF">2007-11-21T16:55:46Z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