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8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<sst xmlns="http://schemas.openxmlformats.org/spreadsheetml/2006/main" count="1653" uniqueCount="247">
  <si>
    <t>EPA ID No.</t>
  </si>
  <si>
    <t>TXD008077190</t>
  </si>
  <si>
    <t>Facility Name</t>
  </si>
  <si>
    <t>Goodyear Tire and Rubber Company</t>
  </si>
  <si>
    <t>Facility Location</t>
  </si>
  <si>
    <t xml:space="preserve">    City</t>
  </si>
  <si>
    <t>Beaumont</t>
  </si>
  <si>
    <t xml:space="preserve">    State</t>
  </si>
  <si>
    <t>TX</t>
  </si>
  <si>
    <t>Unit ID Name/No.</t>
  </si>
  <si>
    <t>Other Sister Facilities</t>
  </si>
  <si>
    <t>None</t>
  </si>
  <si>
    <t>APCS Characteristics</t>
  </si>
  <si>
    <t>NA</t>
  </si>
  <si>
    <t>Stack Characteristics</t>
  </si>
  <si>
    <t xml:space="preserve">    Diameter (ft)</t>
  </si>
  <si>
    <t xml:space="preserve">    Height (ft)</t>
  </si>
  <si>
    <t>Permitting Status</t>
  </si>
  <si>
    <t>Tier I metals, Tier III chlorine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</si>
  <si>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</si>
  <si>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</si>
  <si>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</si>
  <si>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</si>
  <si>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</si>
  <si>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CO</t>
  </si>
  <si>
    <t>July 13-14, 1995</t>
  </si>
  <si>
    <t>PM, CO, HCl/Cl2</t>
  </si>
  <si>
    <t>PM, CO</t>
  </si>
  <si>
    <t>DRE, CO</t>
  </si>
  <si>
    <t>DRE</t>
  </si>
  <si>
    <t>January 26-28, 1998</t>
  </si>
  <si>
    <t>Units</t>
  </si>
  <si>
    <t>PM</t>
  </si>
  <si>
    <t>gr/dscf</t>
  </si>
  <si>
    <t>y</t>
  </si>
  <si>
    <t>ppmv</t>
  </si>
  <si>
    <t>HCl</t>
  </si>
  <si>
    <t>lb/hr</t>
  </si>
  <si>
    <t>n</t>
  </si>
  <si>
    <t>Cl2</t>
  </si>
  <si>
    <t>dscfm</t>
  </si>
  <si>
    <t>%</t>
  </si>
  <si>
    <t>°F</t>
  </si>
  <si>
    <t>Toluene</t>
  </si>
  <si>
    <t>lb/min</t>
  </si>
  <si>
    <t>g/s</t>
  </si>
  <si>
    <t>Facility Name and ID:</t>
  </si>
  <si>
    <t>Condition ID:</t>
  </si>
  <si>
    <t>767C8</t>
  </si>
  <si>
    <t>Condition/Test Date:</t>
  </si>
  <si>
    <t>Risk burn, maximum waste feed and maximum steam production condition, January 27, 1998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</si>
  <si>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</si>
  <si>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</si>
  <si>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</si>
  <si>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</si>
  <si>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</si>
  <si>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</si>
  <si>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</si>
  <si>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</si>
  <si>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(pg)</t>
  </si>
  <si>
    <t>2,3,7,8-TCDD</t>
  </si>
  <si>
    <t>nd</t>
  </si>
  <si>
    <t>TCDD Total</t>
  </si>
  <si>
    <t>1,2,3,7,8-PCDD</t>
  </si>
  <si>
    <t>PCDD Total</t>
  </si>
  <si>
    <t>1,2,3,4,7,8-HxCDD</t>
  </si>
  <si>
    <t>1,2,3,6,7,8-HxCDD</t>
  </si>
  <si>
    <t>1,2,3,7,8,9-HxCDD</t>
  </si>
  <si>
    <t>HxCDD Total</t>
  </si>
  <si>
    <t>1,2,3,4,6,7,8-HpCDD</t>
  </si>
  <si>
    <t>HpCDD Total</t>
  </si>
  <si>
    <t>OCDD</t>
  </si>
  <si>
    <t>2,3,7,8-TCDF</t>
  </si>
  <si>
    <t>TCDF Total</t>
  </si>
  <si>
    <t>1,2,3,7,8-PCDF</t>
  </si>
  <si>
    <t>2,3,4,7,8-PCDF</t>
  </si>
  <si>
    <t>PCDF Total</t>
  </si>
  <si>
    <t>1,2,3,4,7,8-HxCDF</t>
  </si>
  <si>
    <t>1,2,3,6,7,8-HxCDF</t>
  </si>
  <si>
    <t>2,3,4,6,7,8-HxCDF</t>
  </si>
  <si>
    <t>1,2,3,7,8,9-HxCDF</t>
  </si>
  <si>
    <t>HxCDF Total</t>
  </si>
  <si>
    <t>1,2,3,4,6,7,8-HpCDF</t>
  </si>
  <si>
    <t>1,2,3,4,7,8,9-HpCDF</t>
  </si>
  <si>
    <t>HpCDF Total</t>
  </si>
  <si>
    <t>OCDF</t>
  </si>
  <si>
    <t>Gas sample volume (dscf)</t>
  </si>
  <si>
    <t>O2 (%)*</t>
  </si>
  <si>
    <t>PCDD/PCDF (pg in sample)</t>
  </si>
  <si>
    <t>PCDD/PCDF (ng/dscm @ 7% O2)</t>
  </si>
  <si>
    <t>Cond Avg</t>
  </si>
  <si>
    <t>Feedstream Description</t>
  </si>
  <si>
    <t>Natural gas</t>
  </si>
  <si>
    <t>Spike</t>
  </si>
  <si>
    <t>Thermal Feedrate</t>
  </si>
  <si>
    <t>Heating Value</t>
  </si>
  <si>
    <t>Btu/lb</t>
  </si>
  <si>
    <t>Moisture</t>
  </si>
  <si>
    <t>wt %</t>
  </si>
  <si>
    <t>Ash</t>
  </si>
  <si>
    <t>Chlorine</t>
  </si>
  <si>
    <t>Specific Gravity</t>
  </si>
  <si>
    <t>Sootblowing</t>
  </si>
  <si>
    <t>Liq. wastes with hexane, benzene, isoprene, toluene, etc.</t>
  </si>
  <si>
    <t>The Goodyear Tire and Rubber Co. and Radian Corp.</t>
  </si>
  <si>
    <t>Radian Corp.</t>
  </si>
  <si>
    <t>July 12-13, 1995</t>
  </si>
  <si>
    <t>Yes, typically once a week</t>
  </si>
  <si>
    <t>Process Information</t>
  </si>
  <si>
    <t>767C1</t>
  </si>
  <si>
    <t>767C2</t>
  </si>
  <si>
    <t>767C3</t>
  </si>
  <si>
    <t>767C4</t>
  </si>
  <si>
    <t>Waste</t>
  </si>
  <si>
    <t>ppmw</t>
  </si>
  <si>
    <t>MMBtu/hr</t>
  </si>
  <si>
    <t>Test Report for Recertification of Compliance of BIF Boilers B-101, B-102, B-103, B-104, &amp; B-105, July 1995, Test Report II for ReCoC, Nov. 1995</t>
  </si>
  <si>
    <t>767C5</t>
  </si>
  <si>
    <t>Stack Gas Flowrate</t>
  </si>
  <si>
    <t>Trial Burn Report for BIF Boilers B101-B105, July 1999</t>
  </si>
  <si>
    <t>Trial burn, min comb chamber temp</t>
  </si>
  <si>
    <t>Risk burn, worst case cond, max waste feed and max prod</t>
  </si>
  <si>
    <t>767C6</t>
  </si>
  <si>
    <t>767C7</t>
  </si>
  <si>
    <t>Risk Burn Report for BIF Boilers B101-B105, Revision 1, July 1999</t>
  </si>
  <si>
    <t>PCDD/PCDF, metals</t>
  </si>
  <si>
    <t>Toluene Spike</t>
  </si>
  <si>
    <t>* O2 % is used from condition 767C7</t>
  </si>
  <si>
    <t>ug/dscm</t>
  </si>
  <si>
    <t>Gas Flowrate</t>
  </si>
  <si>
    <t>Oxygen</t>
  </si>
  <si>
    <t>Estimated Firing Rate</t>
  </si>
  <si>
    <t>mg/dscm</t>
  </si>
  <si>
    <t>Liq</t>
  </si>
  <si>
    <t>Combustor Characteristics</t>
  </si>
  <si>
    <t>Stack Gas Emissions</t>
  </si>
  <si>
    <t>HW</t>
  </si>
  <si>
    <t>SVM</t>
  </si>
  <si>
    <t>LVM</t>
  </si>
  <si>
    <t>µg/dscm</t>
  </si>
  <si>
    <t xml:space="preserve">Trial burn, max waste feed, max steam prod </t>
  </si>
  <si>
    <t>CoC; less aggressive max waste feed and max prod rate</t>
  </si>
  <si>
    <t>CoC; max waste feedrate and steam prod rate</t>
  </si>
  <si>
    <t>CoC; min comb chamber exit temp</t>
  </si>
  <si>
    <t>CoC; similar to C1 but higher prod rate, lower chamber temp</t>
  </si>
  <si>
    <t>CoC; max prod rate, no ash spiking</t>
  </si>
  <si>
    <t>TEQ Cond Avg</t>
  </si>
  <si>
    <r>
      <t>o</t>
    </r>
    <r>
      <rPr>
        <sz val="10"/>
        <rFont val="Arial"/>
        <family val="2"/>
      </rPr>
      <t>F</t>
    </r>
  </si>
  <si>
    <t>Nat gas</t>
  </si>
  <si>
    <t>PCDD/PCDF</t>
  </si>
  <si>
    <t>1/2 ND</t>
  </si>
  <si>
    <t>Goodyear Tire and Rubber Company, 767</t>
  </si>
  <si>
    <t>Hazardous Wastes</t>
  </si>
  <si>
    <t>Haz Waste Description</t>
  </si>
  <si>
    <t>Supplemental Fuel</t>
  </si>
  <si>
    <t>Feedstreams</t>
  </si>
  <si>
    <t>Capacity (MMBtu/hr)</t>
  </si>
  <si>
    <t>Boiler B-103</t>
  </si>
  <si>
    <t>Boilers B-101, B-102, B-104, B-105 (all identical units)</t>
  </si>
  <si>
    <t>Comb Cham Exit Temp</t>
  </si>
  <si>
    <t>Steam Prod</t>
  </si>
  <si>
    <t>Feedrate MTEC Calculations</t>
  </si>
  <si>
    <t>Phase II ID No.</t>
  </si>
  <si>
    <t xml:space="preserve">    Gas Velocity (ft/sec)</t>
  </si>
  <si>
    <t xml:space="preserve">    Gas Temperature (°F)</t>
  </si>
  <si>
    <t>7% O2</t>
  </si>
  <si>
    <t xml:space="preserve">    Testing Dates</t>
  </si>
  <si>
    <t>Source Description</t>
  </si>
  <si>
    <t>Soot Blowing</t>
  </si>
  <si>
    <t xml:space="preserve">   Temperature</t>
  </si>
  <si>
    <t xml:space="preserve">   Stack Gas Flowrate</t>
  </si>
  <si>
    <t>Mercury</t>
  </si>
  <si>
    <t>Antimony</t>
  </si>
  <si>
    <t>Arsenic</t>
  </si>
  <si>
    <t>Barium</t>
  </si>
  <si>
    <t>Beryllium</t>
  </si>
  <si>
    <t>Cadmium</t>
  </si>
  <si>
    <t>Lead</t>
  </si>
  <si>
    <t>Nickel</t>
  </si>
  <si>
    <t>Selenium</t>
  </si>
  <si>
    <t>Thallium</t>
  </si>
  <si>
    <t>Comments</t>
  </si>
  <si>
    <t>Coc Testing</t>
  </si>
  <si>
    <t>PM, HCl/Cl2</t>
  </si>
  <si>
    <t>CoC Testing</t>
  </si>
  <si>
    <t>Trial Burn</t>
  </si>
  <si>
    <t>CO, DRE</t>
  </si>
  <si>
    <t>Risk Burn</t>
  </si>
  <si>
    <t>Metals</t>
  </si>
  <si>
    <t>POHC Feedrate</t>
  </si>
  <si>
    <t xml:space="preserve">   O2</t>
  </si>
  <si>
    <t xml:space="preserve">   Moisture</t>
  </si>
  <si>
    <t>POHC DRE</t>
  </si>
  <si>
    <t>Emissions Rate</t>
  </si>
  <si>
    <t>Total Chlorine</t>
  </si>
  <si>
    <t>Cobalt</t>
  </si>
  <si>
    <t>Manganese</t>
  </si>
  <si>
    <t>Vanadium</t>
  </si>
  <si>
    <t>CO (RA)</t>
  </si>
  <si>
    <t>CO (MHRA)</t>
  </si>
  <si>
    <t>Chromium</t>
  </si>
  <si>
    <t>Sampling Train</t>
  </si>
  <si>
    <t>Silver</t>
  </si>
  <si>
    <t xml:space="preserve">767C1 </t>
  </si>
  <si>
    <t xml:space="preserve">767C2 </t>
  </si>
  <si>
    <t xml:space="preserve">767C3 </t>
  </si>
  <si>
    <t>CoC Tesing</t>
  </si>
  <si>
    <t xml:space="preserve">767C4 </t>
  </si>
  <si>
    <t xml:space="preserve">767C5 </t>
  </si>
  <si>
    <t xml:space="preserve">767C6 </t>
  </si>
  <si>
    <t xml:space="preserve">767C7 </t>
  </si>
  <si>
    <t>*</t>
  </si>
  <si>
    <t>Feed Rate</t>
  </si>
  <si>
    <t>HWC Burn Status (Date if Terminated)</t>
  </si>
  <si>
    <t xml:space="preserve">    Cond Dates</t>
  </si>
  <si>
    <t>R1</t>
  </si>
  <si>
    <t>R2</t>
  </si>
  <si>
    <t>R3</t>
  </si>
  <si>
    <t>Cond Description</t>
  </si>
  <si>
    <t>Watertube boiler. B&amp;W Model FO-27, installed 1961, refractory-lined carbon steel, 100,000 lb/hr steam @ 50 psig, 100 MMBtu/hr heat input</t>
  </si>
  <si>
    <t>Liquid-fired boiler</t>
  </si>
  <si>
    <t>Number of Sister Facilities</t>
  </si>
  <si>
    <t>Combustor Type</t>
  </si>
  <si>
    <t>APCS Detailed Acronym</t>
  </si>
  <si>
    <t>APCS General Class</t>
  </si>
  <si>
    <t>Combustor Class</t>
  </si>
  <si>
    <t>Liquid-fired</t>
  </si>
  <si>
    <t>E1</t>
  </si>
  <si>
    <t>E2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</si>
  <si>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</si>
  <si>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</si>
  <si>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</si>
  <si>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</si>
  <si>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</si>
  <si>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</si>
  <si>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</si>
  <si>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</si>
  <si>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</si>
  <si>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</si>
  <si>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F3</t>
  </si>
  <si>
    <t>NG</t>
  </si>
  <si>
    <t>F4</t>
  </si>
  <si>
    <t>Feed Class 2</t>
  </si>
  <si>
    <t>MF</t>
  </si>
  <si>
    <t>df c8</t>
  </si>
  <si>
    <t>Full ND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</si>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</sst>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" fontId="0" fillId="0" borderId="0" xfId="0" applyNumberFormat="1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2.75">
      <c r="A1" t="s">
        <v>229</v>
      </c>
    </row>
    <row r="2" ht="12.75">
      <c r="A2" t="s">
        <v>230</v>
      </c>
    </row>
    <row r="3" ht="12.75">
      <c r="A3" t="s">
        <v>231</v>
      </c>
    </row>
    <row r="4" ht="12.75">
      <c r="A4" t="s">
        <v>232</v>
      </c>
    </row>
    <row r="5" ht="12.75">
      <c r="A5" t="s">
        <v>233</v>
      </c>
    </row>
    <row r="6" ht="12.75">
      <c r="A6" t="s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B2" sqref="B2"/>
    </sheetView>
  </sheetViews>
  <sheetFormatPr defaultColWidth="9.140625" defaultRowHeight="12.75"/>
  <cols>
    <col min="1" max="1" width="9.140625" style="6" hidden="1" customWidth="1"/>
    <col min="2" max="2" width="23.8515625" style="6" customWidth="1"/>
    <col min="3" max="3" width="64.421875" style="6" customWidth="1"/>
    <col min="4" max="16384" width="8.8515625" style="6" customWidth="1"/>
  </cols>
  <sheetData>
    <row r="1" ht="12.75">
      <c r="B1" s="1" t="s">
        <v>167</v>
      </c>
    </row>
    <row r="3" spans="2:3" ht="12.75">
      <c r="B3" s="6" t="s">
        <v>162</v>
      </c>
      <c r="C3" s="40">
        <v>767</v>
      </c>
    </row>
    <row r="4" spans="2:3" ht="12.75">
      <c r="B4" s="6" t="s">
        <v>0</v>
      </c>
      <c r="C4" s="6" t="s">
        <v>1</v>
      </c>
    </row>
    <row r="5" spans="2:3" ht="12.75">
      <c r="B5" s="6" t="s">
        <v>2</v>
      </c>
      <c r="C5" s="6" t="s">
        <v>3</v>
      </c>
    </row>
    <row r="6" ht="12.75">
      <c r="B6" s="6" t="s">
        <v>4</v>
      </c>
    </row>
    <row r="7" spans="2:3" ht="12.75">
      <c r="B7" s="6" t="s">
        <v>5</v>
      </c>
      <c r="C7" s="6" t="s">
        <v>6</v>
      </c>
    </row>
    <row r="8" spans="2:3" ht="12.75">
      <c r="B8" s="6" t="s">
        <v>7</v>
      </c>
      <c r="C8" s="6" t="s">
        <v>8</v>
      </c>
    </row>
    <row r="9" spans="2:3" ht="12.75">
      <c r="B9" s="6" t="s">
        <v>9</v>
      </c>
      <c r="C9" s="6" t="s">
        <v>157</v>
      </c>
    </row>
    <row r="10" spans="2:3" ht="12.75">
      <c r="B10" s="6" t="s">
        <v>10</v>
      </c>
      <c r="C10" s="6" t="s">
        <v>158</v>
      </c>
    </row>
    <row r="11" spans="2:3" ht="12.75">
      <c r="B11" s="6" t="s">
        <v>221</v>
      </c>
      <c r="C11" s="40">
        <v>4</v>
      </c>
    </row>
    <row r="12" spans="2:3" ht="12.75">
      <c r="B12" s="6" t="s">
        <v>225</v>
      </c>
      <c r="C12" s="6" t="s">
        <v>220</v>
      </c>
    </row>
    <row r="13" spans="2:3" ht="12.75">
      <c r="B13" s="6" t="s">
        <v>222</v>
      </c>
      <c r="C13" s="6" t="s">
        <v>226</v>
      </c>
    </row>
    <row r="14" spans="2:3" s="44" customFormat="1" ht="25.5">
      <c r="B14" s="44" t="s">
        <v>134</v>
      </c>
      <c r="C14" s="44" t="s">
        <v>219</v>
      </c>
    </row>
    <row r="15" spans="2:3" s="44" customFormat="1" ht="12.75">
      <c r="B15" s="44" t="s">
        <v>156</v>
      </c>
      <c r="C15" s="46">
        <v>100</v>
      </c>
    </row>
    <row r="16" spans="2:3" ht="12.75">
      <c r="B16" s="6" t="s">
        <v>168</v>
      </c>
      <c r="C16" s="6" t="s">
        <v>107</v>
      </c>
    </row>
    <row r="17" spans="2:3" ht="12.75">
      <c r="B17" s="6" t="s">
        <v>223</v>
      </c>
      <c r="C17" s="6" t="s">
        <v>11</v>
      </c>
    </row>
    <row r="18" ht="12.75">
      <c r="B18" s="6" t="s">
        <v>224</v>
      </c>
    </row>
    <row r="19" spans="2:3" ht="12.75">
      <c r="B19" s="6" t="s">
        <v>12</v>
      </c>
      <c r="C19" s="6" t="s">
        <v>13</v>
      </c>
    </row>
    <row r="20" spans="2:3" ht="12.75">
      <c r="B20" s="6" t="s">
        <v>152</v>
      </c>
      <c r="C20" s="6" t="s">
        <v>133</v>
      </c>
    </row>
    <row r="21" spans="2:3" ht="12.75">
      <c r="B21" s="6" t="s">
        <v>153</v>
      </c>
      <c r="C21" s="6" t="s">
        <v>103</v>
      </c>
    </row>
    <row r="22" spans="2:3" ht="12.75">
      <c r="B22" s="6" t="s">
        <v>154</v>
      </c>
      <c r="C22" s="6" t="s">
        <v>92</v>
      </c>
    </row>
    <row r="23" ht="12.75" customHeight="1"/>
    <row r="24" ht="12.75">
      <c r="B24" s="6" t="s">
        <v>14</v>
      </c>
    </row>
    <row r="25" spans="2:3" ht="12.75">
      <c r="B25" s="6" t="s">
        <v>15</v>
      </c>
      <c r="C25" s="40"/>
    </row>
    <row r="26" spans="2:3" ht="12.75">
      <c r="B26" s="6" t="s">
        <v>16</v>
      </c>
      <c r="C26" s="40"/>
    </row>
    <row r="27" spans="2:3" ht="12.75">
      <c r="B27" s="6" t="s">
        <v>163</v>
      </c>
      <c r="C27" s="41">
        <v>37.4</v>
      </c>
    </row>
    <row r="28" spans="2:3" ht="12.75">
      <c r="B28" s="6" t="s">
        <v>164</v>
      </c>
      <c r="C28" s="40">
        <v>310.5</v>
      </c>
    </row>
    <row r="29" ht="12.75" customHeight="1"/>
    <row r="30" spans="2:3" ht="12.75">
      <c r="B30" s="6" t="s">
        <v>17</v>
      </c>
      <c r="C30" s="6" t="s">
        <v>18</v>
      </c>
    </row>
    <row r="31" s="50" customFormat="1" ht="25.5">
      <c r="B31" s="50" t="s">
        <v>213</v>
      </c>
    </row>
    <row r="32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84"/>
  <sheetViews>
    <sheetView workbookViewId="0" topLeftCell="B1">
      <selection activeCell="C9" sqref="C9"/>
    </sheetView>
  </sheetViews>
  <sheetFormatPr defaultColWidth="9.140625" defaultRowHeight="12.75"/>
  <cols>
    <col min="1" max="1" width="9.140625" style="6" hidden="1" customWidth="1"/>
    <col min="2" max="2" width="20.57421875" style="6" customWidth="1"/>
    <col min="3" max="3" width="66.7109375" style="6" customWidth="1"/>
    <col min="4" max="16384" width="9.140625" style="6" customWidth="1"/>
  </cols>
  <sheetData>
    <row r="1" ht="12.75">
      <c r="B1" s="1" t="s">
        <v>218</v>
      </c>
    </row>
    <row r="3" ht="12.75">
      <c r="B3" s="49" t="s">
        <v>109</v>
      </c>
    </row>
    <row r="4" ht="12.75">
      <c r="B4" s="49"/>
    </row>
    <row r="5" spans="2:3" s="44" customFormat="1" ht="25.5">
      <c r="B5" s="44" t="s">
        <v>19</v>
      </c>
      <c r="C5" s="44" t="s">
        <v>116</v>
      </c>
    </row>
    <row r="6" spans="2:3" ht="12.75">
      <c r="B6" s="6" t="s">
        <v>20</v>
      </c>
      <c r="C6" s="6" t="s">
        <v>104</v>
      </c>
    </row>
    <row r="7" spans="2:3" ht="12.75">
      <c r="B7" s="6" t="s">
        <v>21</v>
      </c>
      <c r="C7" s="6" t="s">
        <v>105</v>
      </c>
    </row>
    <row r="8" spans="2:3" ht="12.75">
      <c r="B8" s="6" t="s">
        <v>166</v>
      </c>
      <c r="C8" s="42">
        <v>34891</v>
      </c>
    </row>
    <row r="9" spans="2:3" ht="12.75">
      <c r="B9" s="6" t="s">
        <v>214</v>
      </c>
      <c r="C9" s="48">
        <v>34881</v>
      </c>
    </row>
    <row r="10" spans="2:3" ht="12.75">
      <c r="B10" s="6" t="s">
        <v>22</v>
      </c>
      <c r="C10" s="6" t="s">
        <v>142</v>
      </c>
    </row>
    <row r="11" spans="2:3" ht="12.75">
      <c r="B11" s="6" t="s">
        <v>23</v>
      </c>
      <c r="C11" s="6" t="s">
        <v>26</v>
      </c>
    </row>
    <row r="13" ht="12.75">
      <c r="B13" s="49" t="s">
        <v>110</v>
      </c>
    </row>
    <row r="14" ht="12.75">
      <c r="B14" s="49"/>
    </row>
    <row r="15" spans="2:3" s="44" customFormat="1" ht="25.5">
      <c r="B15" s="44" t="s">
        <v>19</v>
      </c>
      <c r="C15" s="44" t="s">
        <v>116</v>
      </c>
    </row>
    <row r="16" spans="2:3" ht="12.75">
      <c r="B16" s="6" t="s">
        <v>20</v>
      </c>
      <c r="C16" s="6" t="s">
        <v>104</v>
      </c>
    </row>
    <row r="17" spans="2:3" ht="12.75">
      <c r="B17" s="6" t="s">
        <v>21</v>
      </c>
      <c r="C17" s="6" t="s">
        <v>105</v>
      </c>
    </row>
    <row r="18" spans="2:3" ht="12.75">
      <c r="B18" s="6" t="s">
        <v>166</v>
      </c>
      <c r="C18" s="42" t="s">
        <v>106</v>
      </c>
    </row>
    <row r="19" spans="2:3" ht="12.75">
      <c r="B19" s="6" t="s">
        <v>214</v>
      </c>
      <c r="C19" s="48">
        <v>34881</v>
      </c>
    </row>
    <row r="20" spans="2:3" ht="12.75">
      <c r="B20" s="6" t="s">
        <v>22</v>
      </c>
      <c r="C20" s="6" t="s">
        <v>141</v>
      </c>
    </row>
    <row r="21" spans="2:3" ht="12.75">
      <c r="B21" s="6" t="s">
        <v>23</v>
      </c>
      <c r="C21" s="6" t="s">
        <v>26</v>
      </c>
    </row>
    <row r="23" ht="12.75">
      <c r="B23" s="49" t="s">
        <v>111</v>
      </c>
    </row>
    <row r="24" ht="12.75">
      <c r="B24" s="49"/>
    </row>
    <row r="25" spans="2:3" s="44" customFormat="1" ht="25.5">
      <c r="B25" s="44" t="s">
        <v>19</v>
      </c>
      <c r="C25" s="44" t="s">
        <v>116</v>
      </c>
    </row>
    <row r="26" spans="2:3" ht="12.75">
      <c r="B26" s="6" t="s">
        <v>20</v>
      </c>
      <c r="C26" s="6" t="s">
        <v>104</v>
      </c>
    </row>
    <row r="27" spans="2:3" ht="12.75">
      <c r="B27" s="6" t="s">
        <v>21</v>
      </c>
      <c r="C27" s="6" t="s">
        <v>105</v>
      </c>
    </row>
    <row r="28" spans="2:3" ht="12.75">
      <c r="B28" s="6" t="s">
        <v>166</v>
      </c>
      <c r="C28" s="42">
        <v>34907</v>
      </c>
    </row>
    <row r="29" spans="2:3" ht="12.75">
      <c r="B29" s="6" t="s">
        <v>214</v>
      </c>
      <c r="C29" s="48">
        <v>34881</v>
      </c>
    </row>
    <row r="30" spans="2:3" ht="12.75">
      <c r="B30" s="6" t="s">
        <v>22</v>
      </c>
      <c r="C30" s="6" t="s">
        <v>143</v>
      </c>
    </row>
    <row r="31" spans="2:3" ht="12.75">
      <c r="B31" s="6" t="s">
        <v>23</v>
      </c>
      <c r="C31" s="6" t="s">
        <v>24</v>
      </c>
    </row>
    <row r="33" ht="12.75">
      <c r="B33" s="49" t="s">
        <v>112</v>
      </c>
    </row>
    <row r="34" ht="12.75">
      <c r="B34" s="49"/>
    </row>
    <row r="35" spans="2:3" s="44" customFormat="1" ht="25.5">
      <c r="B35" s="44" t="s">
        <v>19</v>
      </c>
      <c r="C35" s="44" t="s">
        <v>116</v>
      </c>
    </row>
    <row r="36" spans="2:3" ht="12.75">
      <c r="B36" s="6" t="s">
        <v>20</v>
      </c>
      <c r="C36" s="6" t="s">
        <v>104</v>
      </c>
    </row>
    <row r="37" spans="2:3" ht="12.75">
      <c r="B37" s="6" t="s">
        <v>21</v>
      </c>
      <c r="C37" s="6" t="s">
        <v>105</v>
      </c>
    </row>
    <row r="38" spans="2:3" ht="12.75">
      <c r="B38" s="6" t="s">
        <v>166</v>
      </c>
      <c r="C38" s="42" t="s">
        <v>25</v>
      </c>
    </row>
    <row r="39" spans="2:3" ht="12.75">
      <c r="B39" s="6" t="s">
        <v>214</v>
      </c>
      <c r="C39" s="48">
        <v>34881</v>
      </c>
    </row>
    <row r="40" spans="2:3" ht="12.75">
      <c r="B40" s="6" t="s">
        <v>22</v>
      </c>
      <c r="C40" s="6" t="s">
        <v>144</v>
      </c>
    </row>
    <row r="41" spans="2:3" ht="12.75">
      <c r="B41" s="6" t="s">
        <v>23</v>
      </c>
      <c r="C41" s="6" t="s">
        <v>26</v>
      </c>
    </row>
    <row r="43" ht="12.75">
      <c r="B43" s="49" t="s">
        <v>117</v>
      </c>
    </row>
    <row r="44" ht="12.75">
      <c r="B44" s="49"/>
    </row>
    <row r="45" spans="2:3" s="44" customFormat="1" ht="25.5">
      <c r="B45" s="44" t="s">
        <v>19</v>
      </c>
      <c r="C45" s="44" t="s">
        <v>116</v>
      </c>
    </row>
    <row r="46" spans="2:3" ht="12.75">
      <c r="B46" s="6" t="s">
        <v>20</v>
      </c>
      <c r="C46" s="6" t="s">
        <v>104</v>
      </c>
    </row>
    <row r="47" spans="2:3" ht="12.75">
      <c r="B47" s="6" t="s">
        <v>21</v>
      </c>
      <c r="C47" s="6" t="s">
        <v>105</v>
      </c>
    </row>
    <row r="48" spans="2:3" ht="12.75">
      <c r="B48" s="6" t="s">
        <v>166</v>
      </c>
      <c r="C48" s="42">
        <v>34989</v>
      </c>
    </row>
    <row r="49" spans="2:3" ht="12.75">
      <c r="B49" s="6" t="s">
        <v>214</v>
      </c>
      <c r="C49" s="48">
        <v>34973</v>
      </c>
    </row>
    <row r="50" spans="2:3" ht="12.75">
      <c r="B50" s="6" t="s">
        <v>22</v>
      </c>
      <c r="C50" s="6" t="s">
        <v>145</v>
      </c>
    </row>
    <row r="51" spans="2:3" ht="12.75">
      <c r="B51" s="6" t="s">
        <v>23</v>
      </c>
      <c r="C51" s="6" t="s">
        <v>27</v>
      </c>
    </row>
    <row r="53" spans="2:3" ht="12.75">
      <c r="B53" s="6" t="s">
        <v>19</v>
      </c>
      <c r="C53" s="6" t="s">
        <v>119</v>
      </c>
    </row>
    <row r="54" spans="2:3" ht="12.75">
      <c r="B54" s="6" t="s">
        <v>20</v>
      </c>
      <c r="C54" s="6" t="s">
        <v>104</v>
      </c>
    </row>
    <row r="55" spans="2:3" ht="12.75">
      <c r="B55" s="6" t="s">
        <v>21</v>
      </c>
      <c r="C55" s="6" t="s">
        <v>105</v>
      </c>
    </row>
    <row r="57" ht="12.75">
      <c r="B57" s="49" t="s">
        <v>122</v>
      </c>
    </row>
    <row r="58" ht="12.75">
      <c r="B58" s="49"/>
    </row>
    <row r="59" spans="2:3" ht="12.75">
      <c r="B59" s="6" t="s">
        <v>19</v>
      </c>
      <c r="C59" s="6" t="s">
        <v>119</v>
      </c>
    </row>
    <row r="60" spans="2:3" ht="12.75">
      <c r="B60" s="6" t="s">
        <v>20</v>
      </c>
      <c r="C60" s="6" t="s">
        <v>104</v>
      </c>
    </row>
    <row r="61" spans="2:3" ht="12.75">
      <c r="B61" s="6" t="s">
        <v>21</v>
      </c>
      <c r="C61" s="6" t="s">
        <v>105</v>
      </c>
    </row>
    <row r="62" spans="2:3" ht="12.75">
      <c r="B62" s="6" t="s">
        <v>166</v>
      </c>
      <c r="C62" s="42">
        <v>35816</v>
      </c>
    </row>
    <row r="63" spans="2:3" ht="12.75">
      <c r="B63" s="6" t="s">
        <v>214</v>
      </c>
      <c r="C63" s="48">
        <v>35796</v>
      </c>
    </row>
    <row r="64" spans="2:3" ht="12.75">
      <c r="B64" s="6" t="s">
        <v>22</v>
      </c>
      <c r="C64" s="6" t="s">
        <v>140</v>
      </c>
    </row>
    <row r="65" spans="2:3" ht="12.75">
      <c r="B65" s="6" t="s">
        <v>23</v>
      </c>
      <c r="C65" s="6" t="s">
        <v>28</v>
      </c>
    </row>
    <row r="67" ht="12.75">
      <c r="B67" s="49" t="s">
        <v>123</v>
      </c>
    </row>
    <row r="68" ht="12.75">
      <c r="B68" s="49"/>
    </row>
    <row r="69" spans="2:3" ht="12.75">
      <c r="B69" s="6" t="s">
        <v>19</v>
      </c>
      <c r="C69" s="6" t="s">
        <v>119</v>
      </c>
    </row>
    <row r="70" spans="2:3" ht="12.75">
      <c r="B70" s="6" t="s">
        <v>20</v>
      </c>
      <c r="C70" s="6" t="s">
        <v>104</v>
      </c>
    </row>
    <row r="71" spans="2:3" ht="12.75">
      <c r="B71" s="6" t="s">
        <v>21</v>
      </c>
      <c r="C71" s="6" t="s">
        <v>105</v>
      </c>
    </row>
    <row r="72" spans="2:3" ht="12.75">
      <c r="B72" s="6" t="s">
        <v>166</v>
      </c>
      <c r="C72" s="42">
        <v>35818</v>
      </c>
    </row>
    <row r="73" spans="2:3" ht="12.75">
      <c r="B73" s="6" t="s">
        <v>214</v>
      </c>
      <c r="C73" s="48">
        <v>35796</v>
      </c>
    </row>
    <row r="74" spans="2:3" ht="12.75">
      <c r="B74" s="6" t="s">
        <v>22</v>
      </c>
      <c r="C74" s="6" t="s">
        <v>120</v>
      </c>
    </row>
    <row r="75" spans="2:3" ht="12.75">
      <c r="B75" s="6" t="s">
        <v>23</v>
      </c>
      <c r="C75" s="6" t="s">
        <v>29</v>
      </c>
    </row>
    <row r="77" spans="2:3" ht="12.75">
      <c r="B77" s="49" t="s">
        <v>48</v>
      </c>
      <c r="C77" s="42"/>
    </row>
    <row r="78" spans="2:3" ht="12.75">
      <c r="B78" s="6" t="s">
        <v>19</v>
      </c>
      <c r="C78" s="6" t="s">
        <v>124</v>
      </c>
    </row>
    <row r="79" spans="2:3" ht="12.75">
      <c r="B79" s="6" t="s">
        <v>20</v>
      </c>
      <c r="C79" s="6" t="s">
        <v>104</v>
      </c>
    </row>
    <row r="80" spans="2:3" ht="12.75">
      <c r="B80" s="6" t="s">
        <v>21</v>
      </c>
      <c r="C80" s="6" t="s">
        <v>105</v>
      </c>
    </row>
    <row r="81" spans="2:3" ht="12.75">
      <c r="B81" s="6" t="s">
        <v>166</v>
      </c>
      <c r="C81" s="42" t="s">
        <v>30</v>
      </c>
    </row>
    <row r="82" spans="2:3" ht="12.75">
      <c r="B82" s="6" t="s">
        <v>214</v>
      </c>
      <c r="C82" s="48">
        <v>35796</v>
      </c>
    </row>
    <row r="83" spans="2:3" ht="12.75">
      <c r="B83" s="6" t="s">
        <v>22</v>
      </c>
      <c r="C83" s="6" t="s">
        <v>121</v>
      </c>
    </row>
    <row r="84" spans="2:3" ht="12.75">
      <c r="B84" s="6" t="s">
        <v>23</v>
      </c>
      <c r="C84" s="6" t="s">
        <v>125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9.140625" style="28" hidden="1" customWidth="1"/>
    <col min="2" max="2" width="21.140625" style="28" customWidth="1"/>
    <col min="3" max="3" width="9.28125" style="28" customWidth="1"/>
    <col min="4" max="4" width="8.8515625" style="27" customWidth="1"/>
    <col min="5" max="5" width="6.421875" style="27" customWidth="1"/>
    <col min="6" max="6" width="3.140625" style="27" customWidth="1"/>
    <col min="7" max="7" width="8.8515625" style="28" customWidth="1"/>
    <col min="8" max="8" width="2.7109375" style="28" customWidth="1"/>
    <col min="9" max="9" width="8.8515625" style="28" customWidth="1"/>
    <col min="10" max="10" width="2.8515625" style="28" customWidth="1"/>
    <col min="11" max="11" width="11.421875" style="28" customWidth="1"/>
    <col min="12" max="12" width="2.8515625" style="28" customWidth="1"/>
    <col min="13" max="13" width="10.28125" style="28" customWidth="1"/>
    <col min="14" max="16384" width="8.8515625" style="28" customWidth="1"/>
  </cols>
  <sheetData>
    <row r="1" spans="2:3" ht="12.75">
      <c r="B1" s="26" t="s">
        <v>135</v>
      </c>
      <c r="C1" s="26"/>
    </row>
    <row r="2" spans="2:13" ht="12.75">
      <c r="B2" s="29"/>
      <c r="C2" s="29"/>
      <c r="G2" s="29"/>
      <c r="H2" s="29"/>
      <c r="I2" s="29"/>
      <c r="J2" s="29"/>
      <c r="K2" s="29"/>
      <c r="L2" s="29"/>
      <c r="M2" s="29"/>
    </row>
    <row r="3" spans="2:13" ht="12.75">
      <c r="B3" s="6"/>
      <c r="C3" s="6" t="s">
        <v>181</v>
      </c>
      <c r="D3" s="27" t="s">
        <v>31</v>
      </c>
      <c r="E3" s="27" t="s">
        <v>165</v>
      </c>
      <c r="G3" s="29"/>
      <c r="H3" s="29"/>
      <c r="I3" s="29"/>
      <c r="J3" s="29"/>
      <c r="K3" s="29"/>
      <c r="L3" s="29"/>
      <c r="M3" s="29"/>
    </row>
    <row r="4" spans="2:13" ht="12.75">
      <c r="B4" s="6"/>
      <c r="C4" s="6"/>
      <c r="G4" s="29"/>
      <c r="H4" s="29"/>
      <c r="I4" s="29"/>
      <c r="J4" s="29"/>
      <c r="K4" s="29" t="s">
        <v>102</v>
      </c>
      <c r="L4" s="29"/>
      <c r="M4" s="29"/>
    </row>
    <row r="5" spans="2:13" ht="12.75">
      <c r="B5" s="6"/>
      <c r="C5" s="6"/>
      <c r="G5" s="29"/>
      <c r="H5" s="29"/>
      <c r="I5" s="29"/>
      <c r="J5" s="29"/>
      <c r="K5" s="29"/>
      <c r="L5" s="29"/>
      <c r="M5" s="29"/>
    </row>
    <row r="6" spans="1:13" ht="12.75">
      <c r="A6" s="28">
        <v>1</v>
      </c>
      <c r="B6" s="30" t="s">
        <v>109</v>
      </c>
      <c r="C6" s="30" t="s">
        <v>182</v>
      </c>
      <c r="G6" s="29" t="s">
        <v>215</v>
      </c>
      <c r="H6" s="29"/>
      <c r="I6" s="29" t="s">
        <v>216</v>
      </c>
      <c r="J6" s="29"/>
      <c r="K6" s="29" t="s">
        <v>217</v>
      </c>
      <c r="L6" s="29"/>
      <c r="M6" s="29" t="s">
        <v>90</v>
      </c>
    </row>
    <row r="7" spans="2:13" ht="12.75">
      <c r="B7" s="27"/>
      <c r="C7" s="27"/>
      <c r="D7" s="6"/>
      <c r="E7" s="6"/>
      <c r="F7" s="6"/>
      <c r="G7" s="6"/>
      <c r="H7" s="6"/>
      <c r="I7" s="6"/>
      <c r="J7" s="6"/>
      <c r="K7" s="6"/>
      <c r="L7" s="6"/>
      <c r="M7" s="29"/>
    </row>
    <row r="8" spans="2:13" ht="12.75">
      <c r="B8" s="27" t="s">
        <v>32</v>
      </c>
      <c r="C8" s="27" t="s">
        <v>227</v>
      </c>
      <c r="D8" s="27" t="s">
        <v>33</v>
      </c>
      <c r="E8" s="27" t="s">
        <v>34</v>
      </c>
      <c r="G8" s="31">
        <v>0.036</v>
      </c>
      <c r="H8" s="31"/>
      <c r="I8" s="31">
        <v>0.031</v>
      </c>
      <c r="J8" s="31"/>
      <c r="K8" s="31">
        <v>0.096</v>
      </c>
      <c r="L8" s="31"/>
      <c r="M8" s="31">
        <v>0.035</v>
      </c>
    </row>
    <row r="9" spans="2:13" ht="12.75">
      <c r="B9" s="27" t="s">
        <v>198</v>
      </c>
      <c r="C9" s="27" t="s">
        <v>227</v>
      </c>
      <c r="D9" s="27" t="s">
        <v>35</v>
      </c>
      <c r="E9" s="27" t="s">
        <v>34</v>
      </c>
      <c r="G9" s="31">
        <v>0</v>
      </c>
      <c r="H9" s="31"/>
      <c r="I9" s="31">
        <v>3.8</v>
      </c>
      <c r="J9" s="31"/>
      <c r="K9" s="31">
        <v>8.1</v>
      </c>
      <c r="L9" s="31"/>
      <c r="M9" s="32">
        <f>AVERAGE(G9,I9,K9)</f>
        <v>3.9666666666666663</v>
      </c>
    </row>
    <row r="10" spans="2:13" ht="12.75">
      <c r="B10" s="27" t="s">
        <v>199</v>
      </c>
      <c r="C10" s="27" t="s">
        <v>227</v>
      </c>
      <c r="D10" s="27" t="s">
        <v>35</v>
      </c>
      <c r="E10" s="27" t="s">
        <v>34</v>
      </c>
      <c r="G10" s="31">
        <v>0</v>
      </c>
      <c r="H10" s="31"/>
      <c r="I10" s="31">
        <v>9</v>
      </c>
      <c r="J10" s="31"/>
      <c r="K10" s="31">
        <v>10</v>
      </c>
      <c r="L10" s="31"/>
      <c r="M10" s="32">
        <f>AVERAGE(G10,I10,K10)</f>
        <v>6.333333333333333</v>
      </c>
    </row>
    <row r="11" spans="2:13" ht="12.75">
      <c r="B11" s="27" t="s">
        <v>36</v>
      </c>
      <c r="C11" s="27"/>
      <c r="D11" s="27" t="s">
        <v>37</v>
      </c>
      <c r="G11" s="31">
        <v>1.56</v>
      </c>
      <c r="H11" s="31"/>
      <c r="I11" s="31">
        <v>1.65</v>
      </c>
      <c r="J11" s="31"/>
      <c r="K11" s="31">
        <v>1.57</v>
      </c>
      <c r="L11" s="31"/>
      <c r="M11" s="29"/>
    </row>
    <row r="12" spans="2:13" ht="12.75">
      <c r="B12" s="27" t="s">
        <v>39</v>
      </c>
      <c r="C12" s="27"/>
      <c r="D12" s="27" t="s">
        <v>37</v>
      </c>
      <c r="G12" s="31">
        <v>0.022</v>
      </c>
      <c r="H12" s="31"/>
      <c r="I12" s="31">
        <v>0.028</v>
      </c>
      <c r="J12" s="31"/>
      <c r="K12" s="31">
        <v>0.058</v>
      </c>
      <c r="L12" s="31"/>
      <c r="M12" s="29"/>
    </row>
    <row r="13" spans="2:13" ht="12.75">
      <c r="B13" s="27"/>
      <c r="C13" s="27"/>
      <c r="G13" s="31"/>
      <c r="H13" s="31"/>
      <c r="I13" s="31"/>
      <c r="J13" s="31"/>
      <c r="K13" s="31"/>
      <c r="L13" s="31"/>
      <c r="M13" s="29"/>
    </row>
    <row r="14" spans="2:13" ht="12.75">
      <c r="B14" s="27" t="s">
        <v>201</v>
      </c>
      <c r="C14" s="27" t="s">
        <v>183</v>
      </c>
      <c r="D14" s="27" t="s">
        <v>227</v>
      </c>
      <c r="G14" s="31"/>
      <c r="H14" s="31"/>
      <c r="I14" s="31"/>
      <c r="J14" s="31"/>
      <c r="K14" s="31"/>
      <c r="L14" s="31"/>
      <c r="M14" s="29"/>
    </row>
    <row r="15" spans="2:13" ht="12.75">
      <c r="B15" s="27" t="s">
        <v>170</v>
      </c>
      <c r="C15" s="27"/>
      <c r="D15" s="27" t="s">
        <v>40</v>
      </c>
      <c r="G15" s="31">
        <v>28273</v>
      </c>
      <c r="H15" s="31"/>
      <c r="I15" s="33">
        <v>27821</v>
      </c>
      <c r="J15" s="33"/>
      <c r="K15" s="31">
        <v>26126</v>
      </c>
      <c r="L15" s="31"/>
      <c r="M15" s="34">
        <f>AVERAGE(K15,I15,G15)</f>
        <v>27406.666666666668</v>
      </c>
    </row>
    <row r="16" spans="2:13" ht="12.75">
      <c r="B16" s="27" t="s">
        <v>190</v>
      </c>
      <c r="C16" s="27"/>
      <c r="D16" s="27" t="s">
        <v>41</v>
      </c>
      <c r="G16" s="31">
        <v>9.5</v>
      </c>
      <c r="H16" s="31"/>
      <c r="I16" s="31">
        <v>9.2</v>
      </c>
      <c r="J16" s="31"/>
      <c r="K16" s="31">
        <v>9.1</v>
      </c>
      <c r="L16" s="31"/>
      <c r="M16" s="34">
        <f>AVERAGE(K16,I16,G16)</f>
        <v>9.266666666666666</v>
      </c>
    </row>
    <row r="17" spans="2:13" ht="12.75">
      <c r="B17" s="27" t="s">
        <v>191</v>
      </c>
      <c r="C17" s="27"/>
      <c r="D17" s="27" t="s">
        <v>41</v>
      </c>
      <c r="G17" s="31">
        <v>14.5</v>
      </c>
      <c r="H17" s="31"/>
      <c r="I17" s="31">
        <v>15.1</v>
      </c>
      <c r="J17" s="31"/>
      <c r="K17" s="31">
        <v>16.2</v>
      </c>
      <c r="L17" s="31"/>
      <c r="M17" s="34">
        <f>AVERAGE(K17,I17,G17)</f>
        <v>15.266666666666666</v>
      </c>
    </row>
    <row r="18" spans="2:13" ht="12.75">
      <c r="B18" s="27" t="s">
        <v>169</v>
      </c>
      <c r="C18" s="27"/>
      <c r="D18" s="27" t="s">
        <v>42</v>
      </c>
      <c r="G18" s="31">
        <v>303</v>
      </c>
      <c r="H18" s="31"/>
      <c r="I18" s="31">
        <v>315.3</v>
      </c>
      <c r="J18" s="31"/>
      <c r="K18" s="31">
        <v>310.68</v>
      </c>
      <c r="L18" s="31"/>
      <c r="M18" s="34">
        <f>AVERAGE(K18,I18,G18)</f>
        <v>309.66</v>
      </c>
    </row>
    <row r="19" spans="2:12" ht="12.75">
      <c r="B19" s="27"/>
      <c r="C19" s="27"/>
      <c r="G19" s="31"/>
      <c r="H19" s="31"/>
      <c r="I19" s="31"/>
      <c r="J19" s="31"/>
      <c r="K19" s="31"/>
      <c r="L19" s="31"/>
    </row>
    <row r="20" spans="2:13" ht="12.75">
      <c r="B20" s="27" t="s">
        <v>36</v>
      </c>
      <c r="C20" s="27" t="s">
        <v>227</v>
      </c>
      <c r="D20" s="27" t="s">
        <v>35</v>
      </c>
      <c r="E20" s="27" t="s">
        <v>34</v>
      </c>
      <c r="G20" s="35">
        <f>G11*454/60/G15/0.0283*(21-7)/(21-G16)*667.8</f>
        <v>11.993542603189344</v>
      </c>
      <c r="H20" s="31"/>
      <c r="I20" s="35">
        <f>I11*454/60/I15/0.0283*(21-7)/(21-I16)*667.8</f>
        <v>12.56382324896914</v>
      </c>
      <c r="J20" s="31"/>
      <c r="K20" s="35">
        <f>K11*454/60/K15/0.0283*(21-7)/(21-K16)*667.8</f>
        <v>12.623284951062908</v>
      </c>
      <c r="L20" s="35"/>
      <c r="M20" s="36">
        <f>AVERAGE(K20,I20,G20)</f>
        <v>12.393550267740466</v>
      </c>
    </row>
    <row r="21" spans="2:13" ht="12.75">
      <c r="B21" s="27" t="s">
        <v>39</v>
      </c>
      <c r="C21" s="27" t="s">
        <v>227</v>
      </c>
      <c r="D21" s="27" t="s">
        <v>35</v>
      </c>
      <c r="E21" s="27" t="s">
        <v>34</v>
      </c>
      <c r="G21" s="35">
        <f>G12*454/60/G15/0.0283*(21-7)/(21-G16)*343.4</f>
        <v>0.08697600200675665</v>
      </c>
      <c r="H21" s="31"/>
      <c r="I21" s="35">
        <f>I12*454/60/I15/0.0283*(21-7)/(21-I16)*343.4</f>
        <v>0.1096351414445335</v>
      </c>
      <c r="J21" s="31"/>
      <c r="K21" s="35">
        <f>K12*454/60/K15/0.0283*(21-7)/(21-K16)*343.4</f>
        <v>0.23980299512546208</v>
      </c>
      <c r="L21" s="35"/>
      <c r="M21" s="36">
        <f>AVERAGE(K21,I21,G21)</f>
        <v>0.14547137952558406</v>
      </c>
    </row>
    <row r="22" spans="2:13" ht="12.75">
      <c r="B22" s="27" t="s">
        <v>194</v>
      </c>
      <c r="C22" s="27" t="s">
        <v>227</v>
      </c>
      <c r="D22" s="27" t="s">
        <v>35</v>
      </c>
      <c r="E22" s="27" t="s">
        <v>34</v>
      </c>
      <c r="G22" s="35">
        <f>G21*2+G20</f>
        <v>12.167494607202856</v>
      </c>
      <c r="H22" s="31"/>
      <c r="I22" s="35">
        <f>I21*2+I20</f>
        <v>12.783093531858206</v>
      </c>
      <c r="J22" s="31"/>
      <c r="K22" s="35">
        <f>K21*2+K20</f>
        <v>13.102890941313833</v>
      </c>
      <c r="L22" s="35"/>
      <c r="M22" s="36">
        <f>AVERAGE(K22,I22,G22)</f>
        <v>12.68449302679163</v>
      </c>
    </row>
    <row r="23" spans="2:12" ht="12.75">
      <c r="B23" s="27"/>
      <c r="C23" s="27"/>
      <c r="G23" s="31"/>
      <c r="H23" s="31"/>
      <c r="I23" s="31"/>
      <c r="J23" s="31"/>
      <c r="K23" s="31"/>
      <c r="L23" s="31"/>
    </row>
    <row r="24" spans="2:12" ht="12.75">
      <c r="B24" s="27"/>
      <c r="C24" s="27"/>
      <c r="G24" s="31"/>
      <c r="H24" s="31"/>
      <c r="I24" s="31"/>
      <c r="J24" s="31"/>
      <c r="K24" s="31"/>
      <c r="L24" s="31"/>
    </row>
    <row r="25" spans="2:12" ht="12.75">
      <c r="B25" s="27"/>
      <c r="C25" s="27"/>
      <c r="G25" s="31"/>
      <c r="H25" s="31"/>
      <c r="I25" s="31"/>
      <c r="J25" s="31"/>
      <c r="K25" s="31"/>
      <c r="L25" s="31"/>
    </row>
    <row r="26" spans="1:13" ht="12.75">
      <c r="A26" s="28">
        <v>2</v>
      </c>
      <c r="B26" s="30" t="s">
        <v>110</v>
      </c>
      <c r="C26" s="30" t="s">
        <v>184</v>
      </c>
      <c r="G26" s="29" t="s">
        <v>215</v>
      </c>
      <c r="H26" s="29"/>
      <c r="I26" s="29" t="s">
        <v>216</v>
      </c>
      <c r="J26" s="29"/>
      <c r="K26" s="29" t="s">
        <v>217</v>
      </c>
      <c r="L26" s="29"/>
      <c r="M26" s="29" t="s">
        <v>90</v>
      </c>
    </row>
    <row r="27" spans="2:12" ht="12.75">
      <c r="B27" s="27"/>
      <c r="C27" s="27"/>
      <c r="G27" s="31"/>
      <c r="H27" s="31"/>
      <c r="I27" s="31"/>
      <c r="J27" s="31"/>
      <c r="K27" s="31" t="s">
        <v>102</v>
      </c>
      <c r="L27" s="31"/>
    </row>
    <row r="28" spans="2:13" ht="12.75">
      <c r="B28" s="28" t="s">
        <v>32</v>
      </c>
      <c r="C28" s="27" t="s">
        <v>227</v>
      </c>
      <c r="D28" s="27" t="s">
        <v>33</v>
      </c>
      <c r="E28" s="27" t="s">
        <v>34</v>
      </c>
      <c r="G28" s="37">
        <v>0.019</v>
      </c>
      <c r="H28" s="37"/>
      <c r="I28" s="37">
        <v>0.019</v>
      </c>
      <c r="J28" s="37"/>
      <c r="K28" s="37">
        <v>0.02</v>
      </c>
      <c r="L28" s="37"/>
      <c r="M28" s="28">
        <v>0.014</v>
      </c>
    </row>
    <row r="29" spans="2:13" ht="12.75">
      <c r="B29" s="27" t="s">
        <v>198</v>
      </c>
      <c r="C29" s="27" t="s">
        <v>227</v>
      </c>
      <c r="D29" s="27" t="s">
        <v>35</v>
      </c>
      <c r="E29" s="27" t="s">
        <v>34</v>
      </c>
      <c r="G29" s="31">
        <v>4.2</v>
      </c>
      <c r="H29" s="31"/>
      <c r="I29" s="31">
        <v>8.3</v>
      </c>
      <c r="J29" s="31"/>
      <c r="K29" s="31">
        <v>4.3</v>
      </c>
      <c r="L29" s="31"/>
      <c r="M29" s="32">
        <f>AVERAGE(G29,I29,K29)</f>
        <v>5.6000000000000005</v>
      </c>
    </row>
    <row r="30" spans="2:13" ht="12.75">
      <c r="B30" s="27" t="s">
        <v>199</v>
      </c>
      <c r="C30" s="27" t="s">
        <v>227</v>
      </c>
      <c r="D30" s="27" t="s">
        <v>35</v>
      </c>
      <c r="E30" s="27" t="s">
        <v>34</v>
      </c>
      <c r="G30" s="31">
        <v>7</v>
      </c>
      <c r="H30" s="31"/>
      <c r="I30" s="31">
        <v>10</v>
      </c>
      <c r="J30" s="31"/>
      <c r="K30" s="31">
        <v>11</v>
      </c>
      <c r="L30" s="31"/>
      <c r="M30" s="32">
        <f>AVERAGE(G30,I30,K30)</f>
        <v>9.333333333333334</v>
      </c>
    </row>
    <row r="31" spans="2:12" ht="12.75">
      <c r="B31" s="28" t="s">
        <v>36</v>
      </c>
      <c r="D31" s="27" t="s">
        <v>37</v>
      </c>
      <c r="G31" s="37">
        <v>1.49</v>
      </c>
      <c r="H31" s="37"/>
      <c r="I31" s="37">
        <v>1.54</v>
      </c>
      <c r="J31" s="37"/>
      <c r="K31" s="37">
        <v>1.38</v>
      </c>
      <c r="L31" s="37"/>
    </row>
    <row r="32" spans="2:11" ht="12.75">
      <c r="B32" s="27" t="s">
        <v>39</v>
      </c>
      <c r="C32" s="27"/>
      <c r="D32" s="27" t="s">
        <v>37</v>
      </c>
      <c r="G32" s="28">
        <v>0.042</v>
      </c>
      <c r="I32" s="28">
        <v>0.24</v>
      </c>
      <c r="K32" s="28">
        <v>0.015</v>
      </c>
    </row>
    <row r="33" spans="2:12" ht="12.75">
      <c r="B33" s="27"/>
      <c r="C33" s="27"/>
      <c r="G33" s="31"/>
      <c r="H33" s="31"/>
      <c r="I33" s="31"/>
      <c r="J33" s="31"/>
      <c r="K33" s="31"/>
      <c r="L33" s="31"/>
    </row>
    <row r="34" spans="2:12" ht="12.75">
      <c r="B34" s="27" t="s">
        <v>201</v>
      </c>
      <c r="C34" s="27" t="s">
        <v>183</v>
      </c>
      <c r="D34" s="27" t="s">
        <v>227</v>
      </c>
      <c r="G34" s="31"/>
      <c r="H34" s="31"/>
      <c r="I34" s="31"/>
      <c r="J34" s="31"/>
      <c r="K34" s="31"/>
      <c r="L34" s="31"/>
    </row>
    <row r="35" spans="2:13" ht="12.75">
      <c r="B35" s="28" t="s">
        <v>118</v>
      </c>
      <c r="D35" s="27" t="s">
        <v>40</v>
      </c>
      <c r="G35" s="31">
        <v>27000</v>
      </c>
      <c r="H35" s="31"/>
      <c r="I35" s="31">
        <v>27000</v>
      </c>
      <c r="J35" s="31"/>
      <c r="K35" s="31">
        <v>27000</v>
      </c>
      <c r="L35" s="31"/>
      <c r="M35" s="33">
        <f>AVERAGE(G35,I35,K35)</f>
        <v>27000</v>
      </c>
    </row>
    <row r="36" spans="2:13" ht="12.75">
      <c r="B36" s="27" t="s">
        <v>190</v>
      </c>
      <c r="C36" s="27"/>
      <c r="D36" s="27" t="s">
        <v>41</v>
      </c>
      <c r="G36" s="31"/>
      <c r="H36" s="31"/>
      <c r="I36" s="31"/>
      <c r="J36" s="31"/>
      <c r="K36" s="31"/>
      <c r="L36" s="31"/>
      <c r="M36" s="33"/>
    </row>
    <row r="37" spans="2:13" ht="12.75">
      <c r="B37" s="27" t="s">
        <v>191</v>
      </c>
      <c r="C37" s="27"/>
      <c r="D37" s="27" t="s">
        <v>41</v>
      </c>
      <c r="G37" s="31"/>
      <c r="H37" s="31"/>
      <c r="I37" s="31"/>
      <c r="J37" s="31"/>
      <c r="K37" s="31"/>
      <c r="L37" s="31"/>
      <c r="M37" s="33"/>
    </row>
    <row r="38" spans="2:13" ht="12.75">
      <c r="B38" s="27" t="s">
        <v>169</v>
      </c>
      <c r="C38" s="27"/>
      <c r="D38" s="27" t="s">
        <v>42</v>
      </c>
      <c r="G38" s="31"/>
      <c r="H38" s="31"/>
      <c r="I38" s="31"/>
      <c r="J38" s="31"/>
      <c r="K38" s="31"/>
      <c r="L38" s="31"/>
      <c r="M38" s="33"/>
    </row>
    <row r="39" spans="7:12" ht="12.75">
      <c r="G39" s="31"/>
      <c r="H39" s="31"/>
      <c r="I39" s="31"/>
      <c r="J39" s="31"/>
      <c r="K39" s="31"/>
      <c r="L39" s="31"/>
    </row>
    <row r="40" spans="2:13" ht="12.75">
      <c r="B40" s="27" t="s">
        <v>36</v>
      </c>
      <c r="C40" s="27" t="s">
        <v>227</v>
      </c>
      <c r="D40" s="27" t="s">
        <v>35</v>
      </c>
      <c r="E40" s="27" t="s">
        <v>34</v>
      </c>
      <c r="G40" s="35">
        <f>G31*454/60/G35/0.0283*(21-7)/(21-G16)*667.8</f>
        <v>11.995470340212698</v>
      </c>
      <c r="H40" s="31"/>
      <c r="I40" s="35">
        <f>I31*454/60/I35/0.0283*(21-7)/(21-I16)*667.8</f>
        <v>12.082799438355524</v>
      </c>
      <c r="J40" s="31"/>
      <c r="K40" s="35">
        <f>K31*454/60/K35/0.0283*(21-7)/(21-K16)*667.8</f>
        <v>10.736456731102338</v>
      </c>
      <c r="L40" s="35"/>
      <c r="M40" s="36">
        <f>AVERAGE(K40,I40,G40)</f>
        <v>11.604908836556854</v>
      </c>
    </row>
    <row r="41" spans="2:13" ht="12.75">
      <c r="B41" s="27" t="s">
        <v>39</v>
      </c>
      <c r="C41" s="27" t="s">
        <v>227</v>
      </c>
      <c r="D41" s="27" t="s">
        <v>35</v>
      </c>
      <c r="E41" s="27" t="s">
        <v>34</v>
      </c>
      <c r="G41" s="35">
        <f>G32*454/60/G35/0.0283*(21-7)/(21-G16)*343.4</f>
        <v>0.17387381346625475</v>
      </c>
      <c r="H41" s="31"/>
      <c r="I41" s="35">
        <f>I32*454/60/I35/0.0283*(21-7)/(21-I16)*343.4</f>
        <v>0.9683045301994814</v>
      </c>
      <c r="J41" s="31"/>
      <c r="K41" s="35">
        <f>K32*454/60/K35/0.0283*(21-7)/(21-K16)*343.4</f>
        <v>0.06001046983379139</v>
      </c>
      <c r="L41" s="35"/>
      <c r="M41" s="36">
        <f>AVERAGE(K41,I41,G41)</f>
        <v>0.4007296044998425</v>
      </c>
    </row>
    <row r="42" spans="2:13" ht="12.75">
      <c r="B42" s="27" t="s">
        <v>194</v>
      </c>
      <c r="C42" s="27" t="s">
        <v>227</v>
      </c>
      <c r="D42" s="27" t="s">
        <v>35</v>
      </c>
      <c r="E42" s="27" t="s">
        <v>34</v>
      </c>
      <c r="G42" s="35">
        <f>G41*2+G40</f>
        <v>12.343217967145208</v>
      </c>
      <c r="H42" s="31"/>
      <c r="I42" s="35">
        <f>I41*2+I40</f>
        <v>14.019408498754487</v>
      </c>
      <c r="J42" s="31"/>
      <c r="K42" s="35">
        <f>K41*2+K40</f>
        <v>10.856477670769921</v>
      </c>
      <c r="L42" s="35"/>
      <c r="M42" s="36">
        <f>AVERAGE(K42,I42,G42)</f>
        <v>12.406368045556539</v>
      </c>
    </row>
    <row r="43" spans="7:12" ht="12.75">
      <c r="G43" s="37"/>
      <c r="H43" s="37"/>
      <c r="I43" s="37"/>
      <c r="J43" s="37"/>
      <c r="K43" s="37"/>
      <c r="L43" s="37"/>
    </row>
    <row r="44" spans="1:13" ht="12.75">
      <c r="A44" s="28">
        <v>3</v>
      </c>
      <c r="B44" s="26" t="s">
        <v>111</v>
      </c>
      <c r="C44" s="26" t="s">
        <v>184</v>
      </c>
      <c r="G44" s="29" t="s">
        <v>215</v>
      </c>
      <c r="H44" s="29"/>
      <c r="I44" s="29" t="s">
        <v>216</v>
      </c>
      <c r="J44" s="29"/>
      <c r="K44" s="29" t="s">
        <v>217</v>
      </c>
      <c r="L44" s="29"/>
      <c r="M44" s="29" t="s">
        <v>90</v>
      </c>
    </row>
    <row r="45" spans="7:12" ht="12.75">
      <c r="G45" s="37"/>
      <c r="H45" s="37"/>
      <c r="I45" s="37"/>
      <c r="J45" s="37"/>
      <c r="K45" s="37"/>
      <c r="L45" s="37"/>
    </row>
    <row r="46" spans="2:13" ht="12.75">
      <c r="B46" s="28" t="s">
        <v>198</v>
      </c>
      <c r="D46" s="27" t="s">
        <v>35</v>
      </c>
      <c r="E46" s="27" t="s">
        <v>34</v>
      </c>
      <c r="G46" s="37">
        <v>0</v>
      </c>
      <c r="H46" s="37"/>
      <c r="I46" s="37">
        <v>0</v>
      </c>
      <c r="J46" s="37"/>
      <c r="K46" s="37">
        <v>0</v>
      </c>
      <c r="L46" s="37"/>
      <c r="M46" s="34">
        <f>AVERAGE(K46,I46,G46)</f>
        <v>0</v>
      </c>
    </row>
    <row r="47" spans="2:13" ht="12.75">
      <c r="B47" s="28" t="s">
        <v>199</v>
      </c>
      <c r="D47" s="27" t="s">
        <v>35</v>
      </c>
      <c r="E47" s="27" t="s">
        <v>34</v>
      </c>
      <c r="G47" s="37">
        <v>0</v>
      </c>
      <c r="H47" s="37"/>
      <c r="I47" s="37">
        <v>0</v>
      </c>
      <c r="J47" s="37"/>
      <c r="K47" s="37">
        <v>0</v>
      </c>
      <c r="L47" s="37"/>
      <c r="M47" s="34">
        <f>AVERAGE(K47,I47,G47)</f>
        <v>0</v>
      </c>
    </row>
    <row r="50" spans="1:13" ht="12.75">
      <c r="A50" s="28">
        <v>4</v>
      </c>
      <c r="B50" s="30" t="s">
        <v>112</v>
      </c>
      <c r="C50" s="30" t="s">
        <v>184</v>
      </c>
      <c r="G50" s="29" t="s">
        <v>215</v>
      </c>
      <c r="H50" s="29"/>
      <c r="I50" s="29" t="s">
        <v>216</v>
      </c>
      <c r="J50" s="29"/>
      <c r="K50" s="29" t="s">
        <v>217</v>
      </c>
      <c r="L50" s="29"/>
      <c r="M50" s="29" t="s">
        <v>90</v>
      </c>
    </row>
    <row r="51" spans="2:12" ht="12.75">
      <c r="B51" s="27"/>
      <c r="C51" s="27"/>
      <c r="D51" s="6"/>
      <c r="E51" s="6"/>
      <c r="F51" s="6"/>
      <c r="G51" s="6"/>
      <c r="H51" s="6"/>
      <c r="I51" s="6"/>
      <c r="J51" s="6"/>
      <c r="K51" s="6" t="s">
        <v>102</v>
      </c>
      <c r="L51" s="6"/>
    </row>
    <row r="52" spans="2:13" ht="12.75">
      <c r="B52" s="27" t="s">
        <v>32</v>
      </c>
      <c r="C52" s="27" t="s">
        <v>227</v>
      </c>
      <c r="D52" s="27" t="s">
        <v>33</v>
      </c>
      <c r="E52" s="27" t="s">
        <v>34</v>
      </c>
      <c r="G52" s="31">
        <v>0.027</v>
      </c>
      <c r="H52" s="31"/>
      <c r="I52" s="31">
        <v>0.019</v>
      </c>
      <c r="J52" s="31"/>
      <c r="K52" s="31">
        <v>0.075</v>
      </c>
      <c r="L52" s="31"/>
      <c r="M52" s="28">
        <v>0.028</v>
      </c>
    </row>
    <row r="53" spans="2:13" ht="12.75">
      <c r="B53" s="27" t="s">
        <v>198</v>
      </c>
      <c r="C53" s="27" t="s">
        <v>227</v>
      </c>
      <c r="D53" s="27" t="s">
        <v>35</v>
      </c>
      <c r="E53" s="27" t="s">
        <v>34</v>
      </c>
      <c r="G53" s="31">
        <v>3.2</v>
      </c>
      <c r="H53" s="31"/>
      <c r="I53" s="31">
        <v>38.4</v>
      </c>
      <c r="J53" s="31"/>
      <c r="K53" s="31">
        <v>42.5</v>
      </c>
      <c r="L53" s="31"/>
      <c r="M53" s="34">
        <f>AVERAGE(K53,I53,G53)</f>
        <v>28.033333333333335</v>
      </c>
    </row>
    <row r="54" spans="2:13" ht="12.75">
      <c r="B54" s="27" t="s">
        <v>199</v>
      </c>
      <c r="C54" s="27" t="s">
        <v>227</v>
      </c>
      <c r="D54" s="27" t="s">
        <v>35</v>
      </c>
      <c r="E54" s="27" t="s">
        <v>34</v>
      </c>
      <c r="G54" s="31">
        <v>4</v>
      </c>
      <c r="H54" s="31"/>
      <c r="I54" s="31">
        <v>47</v>
      </c>
      <c r="J54" s="31"/>
      <c r="K54" s="31">
        <v>53</v>
      </c>
      <c r="L54" s="31"/>
      <c r="M54" s="34">
        <f>AVERAGE(K54,I54,G54)</f>
        <v>34.666666666666664</v>
      </c>
    </row>
    <row r="55" spans="2:12" ht="12.75">
      <c r="B55" s="27" t="s">
        <v>36</v>
      </c>
      <c r="C55" s="27"/>
      <c r="D55" s="27" t="s">
        <v>37</v>
      </c>
      <c r="E55" s="27" t="s">
        <v>38</v>
      </c>
      <c r="G55" s="31">
        <v>1.65</v>
      </c>
      <c r="H55" s="31"/>
      <c r="I55" s="31">
        <v>1.03</v>
      </c>
      <c r="J55" s="31"/>
      <c r="K55" s="31">
        <v>0.88</v>
      </c>
      <c r="L55" s="31"/>
    </row>
    <row r="56" spans="2:12" ht="12.75">
      <c r="B56" s="27" t="s">
        <v>39</v>
      </c>
      <c r="C56" s="27"/>
      <c r="D56" s="27" t="s">
        <v>37</v>
      </c>
      <c r="E56" s="27" t="s">
        <v>38</v>
      </c>
      <c r="G56" s="31">
        <v>0.027</v>
      </c>
      <c r="H56" s="31"/>
      <c r="I56" s="31">
        <v>0.021</v>
      </c>
      <c r="J56" s="31"/>
      <c r="K56" s="31">
        <v>0.035</v>
      </c>
      <c r="L56" s="31"/>
    </row>
    <row r="57" spans="2:12" ht="12.75">
      <c r="B57" s="27"/>
      <c r="C57" s="27"/>
      <c r="G57" s="31"/>
      <c r="H57" s="31"/>
      <c r="I57" s="31"/>
      <c r="J57" s="31"/>
      <c r="K57" s="31"/>
      <c r="L57" s="31"/>
    </row>
    <row r="58" spans="2:4" ht="12.75">
      <c r="B58" s="27" t="s">
        <v>201</v>
      </c>
      <c r="C58" s="27" t="s">
        <v>183</v>
      </c>
      <c r="D58" s="27" t="s">
        <v>227</v>
      </c>
    </row>
    <row r="59" spans="2:13" ht="12.75">
      <c r="B59" s="28" t="s">
        <v>118</v>
      </c>
      <c r="D59" s="27" t="s">
        <v>40</v>
      </c>
      <c r="G59" s="28">
        <v>28000</v>
      </c>
      <c r="I59" s="28">
        <v>28000</v>
      </c>
      <c r="K59" s="28">
        <v>28000</v>
      </c>
      <c r="M59" s="38">
        <f>AVERAGE(K59,I59,G59)</f>
        <v>28000</v>
      </c>
    </row>
    <row r="60" spans="2:13" ht="12.75">
      <c r="B60" s="27" t="s">
        <v>190</v>
      </c>
      <c r="D60" s="27" t="s">
        <v>41</v>
      </c>
      <c r="M60" s="38"/>
    </row>
    <row r="61" spans="2:13" ht="12.75">
      <c r="B61" s="27" t="s">
        <v>191</v>
      </c>
      <c r="D61" s="27" t="s">
        <v>41</v>
      </c>
      <c r="M61" s="38"/>
    </row>
    <row r="62" spans="2:13" ht="12.75">
      <c r="B62" s="27" t="s">
        <v>169</v>
      </c>
      <c r="D62" s="27" t="s">
        <v>42</v>
      </c>
      <c r="M62" s="38"/>
    </row>
    <row r="63" ht="12.75">
      <c r="M63" s="38"/>
    </row>
    <row r="64" spans="2:13" ht="12.75">
      <c r="B64" s="27" t="s">
        <v>36</v>
      </c>
      <c r="C64" s="27" t="s">
        <v>227</v>
      </c>
      <c r="D64" s="27" t="s">
        <v>35</v>
      </c>
      <c r="E64" s="27" t="s">
        <v>34</v>
      </c>
      <c r="G64" s="35">
        <f>G55*454/60/G59/0.0283*(21-7)/(21-G16)*667.8</f>
        <v>12.809161161468733</v>
      </c>
      <c r="H64" s="31"/>
      <c r="I64" s="35">
        <f>I55*454/60/I59/0.0283*(21-7)/(21-I16)*667.8</f>
        <v>7.792733125711206</v>
      </c>
      <c r="J64" s="31"/>
      <c r="K64" s="35">
        <f>K55*454/60/K59/0.0283*(21-7)/(21-K16)*667.8</f>
        <v>6.601920598628142</v>
      </c>
      <c r="L64" s="35"/>
      <c r="M64" s="36">
        <f>AVERAGE(K64,I64,G64)</f>
        <v>9.06793829526936</v>
      </c>
    </row>
    <row r="65" spans="2:13" ht="12.75">
      <c r="B65" s="27" t="s">
        <v>39</v>
      </c>
      <c r="C65" s="27" t="s">
        <v>227</v>
      </c>
      <c r="D65" s="27" t="s">
        <v>35</v>
      </c>
      <c r="E65" s="27" t="s">
        <v>34</v>
      </c>
      <c r="G65" s="35">
        <f>G56*454/60/G59/0.0283*(21-7)/(21-G16)*343.4</f>
        <v>0.10778402212321402</v>
      </c>
      <c r="H65" s="31"/>
      <c r="I65" s="35">
        <f>I56*454/60/I59/0.0283*(21-7)/(21-I16)*343.4</f>
        <v>0.08170069473558125</v>
      </c>
      <c r="J65" s="31"/>
      <c r="K65" s="35">
        <f>K56*454/60/K59/0.0283*(21-7)/(21-K16)*343.4</f>
        <v>0.13502355712603062</v>
      </c>
      <c r="L65" s="35"/>
      <c r="M65" s="36">
        <f>AVERAGE(K65,I65,G65)</f>
        <v>0.10816942466160863</v>
      </c>
    </row>
    <row r="66" spans="2:13" ht="12.75">
      <c r="B66" s="27" t="s">
        <v>194</v>
      </c>
      <c r="C66" s="27" t="s">
        <v>227</v>
      </c>
      <c r="D66" s="27" t="s">
        <v>35</v>
      </c>
      <c r="E66" s="27" t="s">
        <v>34</v>
      </c>
      <c r="G66" s="35">
        <f>G65*2+G64</f>
        <v>13.024729205715161</v>
      </c>
      <c r="H66" s="31"/>
      <c r="I66" s="35">
        <f>I65*2+I64</f>
        <v>7.956134515182368</v>
      </c>
      <c r="J66" s="31"/>
      <c r="K66" s="35">
        <f>K65*2+K64</f>
        <v>6.8719677128802035</v>
      </c>
      <c r="L66" s="35"/>
      <c r="M66" s="36">
        <f>AVERAGE(K66,I66,G66)</f>
        <v>9.284277144592577</v>
      </c>
    </row>
    <row r="68" spans="1:13" ht="12.75">
      <c r="A68" s="28">
        <v>5</v>
      </c>
      <c r="B68" s="30" t="s">
        <v>117</v>
      </c>
      <c r="C68" s="30" t="s">
        <v>184</v>
      </c>
      <c r="G68" s="29" t="s">
        <v>215</v>
      </c>
      <c r="H68" s="29"/>
      <c r="I68" s="29" t="s">
        <v>216</v>
      </c>
      <c r="J68" s="29"/>
      <c r="K68" s="29" t="s">
        <v>217</v>
      </c>
      <c r="L68" s="29"/>
      <c r="M68" s="29" t="s">
        <v>90</v>
      </c>
    </row>
    <row r="69" spans="2:12" ht="12.75">
      <c r="B69" s="27"/>
      <c r="C69" s="27"/>
      <c r="D69" s="6"/>
      <c r="E69" s="6"/>
      <c r="F69" s="6"/>
      <c r="G69" s="6"/>
      <c r="H69" s="6"/>
      <c r="I69" s="6"/>
      <c r="J69" s="6"/>
      <c r="K69" s="6" t="s">
        <v>102</v>
      </c>
      <c r="L69" s="6"/>
    </row>
    <row r="70" spans="2:13" ht="12.75">
      <c r="B70" s="27" t="s">
        <v>32</v>
      </c>
      <c r="C70" s="27" t="s">
        <v>227</v>
      </c>
      <c r="D70" s="27" t="s">
        <v>33</v>
      </c>
      <c r="E70" s="27" t="s">
        <v>34</v>
      </c>
      <c r="G70" s="31">
        <v>0.0018</v>
      </c>
      <c r="H70" s="31"/>
      <c r="I70" s="31">
        <v>0.0021</v>
      </c>
      <c r="J70" s="31"/>
      <c r="K70" s="31">
        <v>0.0092</v>
      </c>
      <c r="L70" s="31"/>
      <c r="M70" s="28">
        <v>0.0023</v>
      </c>
    </row>
    <row r="71" spans="2:13" ht="12.75">
      <c r="B71" s="27" t="s">
        <v>24</v>
      </c>
      <c r="C71" s="27" t="s">
        <v>227</v>
      </c>
      <c r="D71" s="27" t="s">
        <v>35</v>
      </c>
      <c r="E71" s="27" t="s">
        <v>34</v>
      </c>
      <c r="G71" s="31">
        <v>0</v>
      </c>
      <c r="H71" s="31"/>
      <c r="I71" s="31">
        <v>0</v>
      </c>
      <c r="J71" s="31"/>
      <c r="K71" s="31">
        <v>0</v>
      </c>
      <c r="L71" s="31"/>
      <c r="M71" s="28">
        <v>0</v>
      </c>
    </row>
    <row r="72" spans="2:12" ht="12.75">
      <c r="B72" s="27"/>
      <c r="C72" s="27"/>
      <c r="G72" s="31"/>
      <c r="H72" s="31"/>
      <c r="I72" s="31"/>
      <c r="J72" s="31"/>
      <c r="K72" s="31"/>
      <c r="L72" s="31"/>
    </row>
    <row r="73" spans="2:12" ht="12.75">
      <c r="B73" s="27" t="s">
        <v>201</v>
      </c>
      <c r="C73" s="27" t="s">
        <v>32</v>
      </c>
      <c r="D73" s="27" t="s">
        <v>227</v>
      </c>
      <c r="G73" s="31"/>
      <c r="H73" s="31"/>
      <c r="I73" s="31"/>
      <c r="J73" s="31"/>
      <c r="K73" s="31"/>
      <c r="L73" s="31"/>
    </row>
    <row r="74" spans="2:13" ht="12.75">
      <c r="B74" s="27" t="s">
        <v>118</v>
      </c>
      <c r="C74" s="27"/>
      <c r="D74" s="27" t="s">
        <v>40</v>
      </c>
      <c r="G74" s="31">
        <v>34482</v>
      </c>
      <c r="H74" s="31"/>
      <c r="I74" s="31">
        <v>35458</v>
      </c>
      <c r="J74" s="31"/>
      <c r="K74" s="31">
        <v>34222</v>
      </c>
      <c r="L74" s="31"/>
      <c r="M74" s="38">
        <f>AVERAGE(K74,I74,G74)</f>
        <v>34720.666666666664</v>
      </c>
    </row>
    <row r="75" spans="2:13" ht="12.75">
      <c r="B75" s="27" t="s">
        <v>190</v>
      </c>
      <c r="D75" s="27" t="s">
        <v>41</v>
      </c>
      <c r="G75" s="31"/>
      <c r="H75" s="31"/>
      <c r="I75" s="31"/>
      <c r="J75" s="31"/>
      <c r="K75" s="31"/>
      <c r="L75" s="31"/>
      <c r="M75" s="38"/>
    </row>
    <row r="76" spans="2:13" ht="12.75">
      <c r="B76" s="27" t="s">
        <v>191</v>
      </c>
      <c r="D76" s="27" t="s">
        <v>41</v>
      </c>
      <c r="G76" s="31"/>
      <c r="H76" s="31"/>
      <c r="I76" s="31"/>
      <c r="J76" s="31"/>
      <c r="K76" s="31"/>
      <c r="L76" s="31"/>
      <c r="M76" s="38"/>
    </row>
    <row r="77" spans="2:13" ht="12.75">
      <c r="B77" s="27" t="s">
        <v>169</v>
      </c>
      <c r="D77" s="27" t="s">
        <v>42</v>
      </c>
      <c r="G77" s="31"/>
      <c r="H77" s="31"/>
      <c r="I77" s="31"/>
      <c r="J77" s="31"/>
      <c r="K77" s="31"/>
      <c r="L77" s="31"/>
      <c r="M77" s="38"/>
    </row>
    <row r="79" spans="1:13" ht="12.75">
      <c r="A79" s="28">
        <v>6</v>
      </c>
      <c r="B79" s="30" t="s">
        <v>122</v>
      </c>
      <c r="C79" s="30" t="s">
        <v>185</v>
      </c>
      <c r="G79" s="29" t="s">
        <v>215</v>
      </c>
      <c r="H79" s="29"/>
      <c r="I79" s="29" t="s">
        <v>216</v>
      </c>
      <c r="J79" s="29"/>
      <c r="K79" s="29" t="s">
        <v>217</v>
      </c>
      <c r="L79" s="29"/>
      <c r="M79" s="29" t="s">
        <v>90</v>
      </c>
    </row>
    <row r="81" spans="2:13" ht="12.75">
      <c r="B81" s="28" t="s">
        <v>199</v>
      </c>
      <c r="C81" s="28" t="s">
        <v>227</v>
      </c>
      <c r="D81" s="27" t="s">
        <v>35</v>
      </c>
      <c r="E81" s="27" t="s">
        <v>34</v>
      </c>
      <c r="G81" s="28">
        <v>30</v>
      </c>
      <c r="I81" s="28">
        <v>2</v>
      </c>
      <c r="K81" s="28">
        <v>32</v>
      </c>
      <c r="M81" s="34">
        <f>AVERAGE(K81,I81,G81)</f>
        <v>21.333333333333332</v>
      </c>
    </row>
    <row r="82" ht="12.75">
      <c r="M82" s="34"/>
    </row>
    <row r="83" spans="2:3" ht="12.75">
      <c r="B83" s="28" t="s">
        <v>192</v>
      </c>
      <c r="C83" s="28" t="s">
        <v>43</v>
      </c>
    </row>
    <row r="84" spans="2:12" ht="12.75">
      <c r="B84" s="28" t="s">
        <v>189</v>
      </c>
      <c r="D84" s="27" t="s">
        <v>44</v>
      </c>
      <c r="G84" s="39">
        <v>1.86E-05</v>
      </c>
      <c r="I84" s="39">
        <v>5.35E-05</v>
      </c>
      <c r="K84" s="39">
        <v>1.96E-05</v>
      </c>
      <c r="L84" s="39"/>
    </row>
    <row r="85" spans="2:12" ht="12.75">
      <c r="B85" s="28" t="s">
        <v>193</v>
      </c>
      <c r="G85" s="39"/>
      <c r="I85" s="39"/>
      <c r="K85" s="39"/>
      <c r="L85" s="39"/>
    </row>
    <row r="86" spans="2:11" ht="12.75">
      <c r="B86" s="28" t="s">
        <v>29</v>
      </c>
      <c r="C86" s="28" t="s">
        <v>227</v>
      </c>
      <c r="D86" s="27" t="s">
        <v>41</v>
      </c>
      <c r="G86" s="28">
        <v>99.999812</v>
      </c>
      <c r="I86" s="28">
        <v>99.999269</v>
      </c>
      <c r="K86" s="28">
        <v>99.99654</v>
      </c>
    </row>
    <row r="88" spans="2:4" ht="12.75">
      <c r="B88" s="27" t="s">
        <v>201</v>
      </c>
      <c r="C88" s="27" t="s">
        <v>186</v>
      </c>
      <c r="D88" s="27" t="s">
        <v>227</v>
      </c>
    </row>
    <row r="89" spans="2:13" ht="12.75">
      <c r="B89" s="27" t="s">
        <v>170</v>
      </c>
      <c r="C89" s="27"/>
      <c r="D89" s="27" t="s">
        <v>40</v>
      </c>
      <c r="G89" s="34">
        <v>36884.9</v>
      </c>
      <c r="H89" s="34"/>
      <c r="I89" s="34">
        <v>35976.257</v>
      </c>
      <c r="J89" s="34"/>
      <c r="K89" s="34">
        <v>37561.732</v>
      </c>
      <c r="L89" s="34"/>
      <c r="M89" s="34">
        <f>AVERAGE(K89,I89,G89)</f>
        <v>36807.62966666667</v>
      </c>
    </row>
    <row r="90" spans="2:13" ht="12.75">
      <c r="B90" s="27" t="s">
        <v>190</v>
      </c>
      <c r="C90" s="27"/>
      <c r="D90" s="27" t="s">
        <v>41</v>
      </c>
      <c r="G90" s="28">
        <v>10</v>
      </c>
      <c r="I90" s="28">
        <v>8.7</v>
      </c>
      <c r="K90" s="28">
        <v>9.4</v>
      </c>
      <c r="M90" s="34">
        <f>AVERAGE(K90,I90,G90)</f>
        <v>9.366666666666667</v>
      </c>
    </row>
    <row r="91" spans="2:13" ht="12.75">
      <c r="B91" s="27" t="s">
        <v>191</v>
      </c>
      <c r="C91" s="27"/>
      <c r="D91" s="27" t="s">
        <v>41</v>
      </c>
      <c r="G91" s="34">
        <v>9.88</v>
      </c>
      <c r="I91" s="34">
        <v>10.81</v>
      </c>
      <c r="K91" s="28">
        <v>10</v>
      </c>
      <c r="M91" s="34">
        <f>AVERAGE(K91,I91,G91)</f>
        <v>10.230000000000002</v>
      </c>
    </row>
    <row r="92" spans="2:13" ht="12.75">
      <c r="B92" s="27" t="s">
        <v>169</v>
      </c>
      <c r="C92" s="27"/>
      <c r="D92" s="27" t="s">
        <v>42</v>
      </c>
      <c r="G92" s="28">
        <v>306</v>
      </c>
      <c r="I92" s="28">
        <v>308</v>
      </c>
      <c r="K92" s="28">
        <v>303</v>
      </c>
      <c r="M92" s="34">
        <f>AVERAGE(K92,I92,G92)</f>
        <v>305.6666666666667</v>
      </c>
    </row>
    <row r="94" spans="1:13" ht="12.75">
      <c r="A94" s="28">
        <v>7</v>
      </c>
      <c r="B94" s="30" t="s">
        <v>123</v>
      </c>
      <c r="C94" s="30" t="s">
        <v>185</v>
      </c>
      <c r="G94" s="29" t="s">
        <v>215</v>
      </c>
      <c r="H94" s="29"/>
      <c r="I94" s="29" t="s">
        <v>216</v>
      </c>
      <c r="J94" s="29"/>
      <c r="K94" s="29" t="s">
        <v>217</v>
      </c>
      <c r="L94" s="29"/>
      <c r="M94" s="29" t="s">
        <v>90</v>
      </c>
    </row>
    <row r="96" spans="2:13" ht="12.75">
      <c r="B96" s="28" t="s">
        <v>199</v>
      </c>
      <c r="C96" s="28" t="s">
        <v>227</v>
      </c>
      <c r="D96" s="27" t="s">
        <v>35</v>
      </c>
      <c r="E96" s="27" t="s">
        <v>34</v>
      </c>
      <c r="G96" s="28">
        <v>0</v>
      </c>
      <c r="I96" s="28">
        <v>0</v>
      </c>
      <c r="K96" s="28">
        <v>0</v>
      </c>
      <c r="M96" s="34">
        <f>AVERAGE(K96,I96,G96)</f>
        <v>0</v>
      </c>
    </row>
    <row r="97" ht="12.75">
      <c r="M97" s="34"/>
    </row>
    <row r="98" spans="2:3" ht="12.75">
      <c r="B98" s="28" t="s">
        <v>192</v>
      </c>
      <c r="C98" s="28" t="s">
        <v>43</v>
      </c>
    </row>
    <row r="99" spans="2:12" ht="12.75">
      <c r="B99" s="28" t="s">
        <v>189</v>
      </c>
      <c r="D99" s="27" t="s">
        <v>44</v>
      </c>
      <c r="G99" s="39">
        <v>2.82E-05</v>
      </c>
      <c r="I99" s="39">
        <v>3.52E-05</v>
      </c>
      <c r="K99" s="39">
        <v>1.94E-05</v>
      </c>
      <c r="L99" s="39"/>
    </row>
    <row r="100" spans="2:12" ht="12.75">
      <c r="B100" s="28" t="s">
        <v>193</v>
      </c>
      <c r="G100" s="39"/>
      <c r="I100" s="39"/>
      <c r="K100" s="39"/>
      <c r="L100" s="39"/>
    </row>
    <row r="101" spans="2:11" ht="12.75">
      <c r="B101" s="28" t="s">
        <v>29</v>
      </c>
      <c r="C101" s="28" t="s">
        <v>227</v>
      </c>
      <c r="D101" s="27" t="s">
        <v>41</v>
      </c>
      <c r="G101" s="28">
        <v>99.9942</v>
      </c>
      <c r="I101" s="28">
        <v>99.994816</v>
      </c>
      <c r="K101" s="28">
        <v>99.996185</v>
      </c>
    </row>
    <row r="103" spans="2:4" ht="12.75">
      <c r="B103" s="27" t="s">
        <v>201</v>
      </c>
      <c r="C103" s="27" t="s">
        <v>186</v>
      </c>
      <c r="D103" s="27" t="s">
        <v>227</v>
      </c>
    </row>
    <row r="104" spans="2:13" ht="12.75">
      <c r="B104" s="27" t="s">
        <v>170</v>
      </c>
      <c r="C104" s="27"/>
      <c r="D104" s="27" t="s">
        <v>40</v>
      </c>
      <c r="G104" s="34">
        <v>20256.12761</v>
      </c>
      <c r="H104" s="34"/>
      <c r="I104" s="34">
        <v>21042.6655</v>
      </c>
      <c r="J104" s="34"/>
      <c r="K104" s="34">
        <v>20656.69299</v>
      </c>
      <c r="L104" s="34"/>
      <c r="M104" s="34">
        <f>AVERAGE(K104,I104,G104)</f>
        <v>20651.8287</v>
      </c>
    </row>
    <row r="105" spans="2:13" ht="12.75">
      <c r="B105" s="27" t="s">
        <v>190</v>
      </c>
      <c r="C105" s="27"/>
      <c r="D105" s="27" t="s">
        <v>41</v>
      </c>
      <c r="G105" s="28">
        <v>11.2</v>
      </c>
      <c r="I105" s="28">
        <v>11.2</v>
      </c>
      <c r="K105" s="28">
        <v>11.2</v>
      </c>
      <c r="M105" s="34">
        <f>AVERAGE(K105,I105,G105)</f>
        <v>11.199999999999998</v>
      </c>
    </row>
    <row r="106" spans="2:13" ht="12.75">
      <c r="B106" s="27" t="s">
        <v>191</v>
      </c>
      <c r="C106" s="27"/>
      <c r="D106" s="27" t="s">
        <v>41</v>
      </c>
      <c r="G106" s="28">
        <v>9.76</v>
      </c>
      <c r="I106" s="28">
        <v>9.4</v>
      </c>
      <c r="K106" s="28">
        <v>9.6</v>
      </c>
      <c r="M106" s="34">
        <f>AVERAGE(K106,I106,G106)</f>
        <v>9.586666666666666</v>
      </c>
    </row>
    <row r="107" spans="2:13" ht="12.75">
      <c r="B107" s="27" t="s">
        <v>169</v>
      </c>
      <c r="C107" s="27"/>
      <c r="D107" s="27" t="s">
        <v>42</v>
      </c>
      <c r="G107" s="28">
        <v>225</v>
      </c>
      <c r="I107" s="28">
        <v>216</v>
      </c>
      <c r="K107" s="28">
        <v>230</v>
      </c>
      <c r="M107" s="34">
        <f>AVERAGE(K107,I107,G107)</f>
        <v>223.66666666666666</v>
      </c>
    </row>
    <row r="109" spans="1:13" ht="12.75">
      <c r="A109" s="28">
        <v>8</v>
      </c>
      <c r="B109" s="30" t="s">
        <v>48</v>
      </c>
      <c r="C109" s="30" t="s">
        <v>187</v>
      </c>
      <c r="G109" s="29" t="s">
        <v>215</v>
      </c>
      <c r="H109" s="29"/>
      <c r="I109" s="29" t="s">
        <v>216</v>
      </c>
      <c r="J109" s="29"/>
      <c r="K109" s="29" t="s">
        <v>217</v>
      </c>
      <c r="L109" s="29"/>
      <c r="M109" s="29" t="s">
        <v>90</v>
      </c>
    </row>
    <row r="111" spans="2:12" ht="12.75">
      <c r="B111" s="28" t="s">
        <v>171</v>
      </c>
      <c r="D111" s="27" t="s">
        <v>45</v>
      </c>
      <c r="G111" s="39">
        <v>2.85E-07</v>
      </c>
      <c r="I111" s="39">
        <v>1.26E-07</v>
      </c>
      <c r="K111" s="39">
        <v>7.47E-07</v>
      </c>
      <c r="L111" s="39"/>
    </row>
    <row r="112" spans="2:12" ht="12.75">
      <c r="B112" s="28" t="s">
        <v>172</v>
      </c>
      <c r="D112" s="27" t="s">
        <v>45</v>
      </c>
      <c r="G112" s="39">
        <v>6.28E-05</v>
      </c>
      <c r="I112" s="39">
        <v>4.29E-05</v>
      </c>
      <c r="K112" s="39">
        <v>3.37E-05</v>
      </c>
      <c r="L112" s="39"/>
    </row>
    <row r="113" spans="2:12" ht="12.75">
      <c r="B113" s="28" t="s">
        <v>173</v>
      </c>
      <c r="D113" s="27" t="s">
        <v>45</v>
      </c>
      <c r="G113" s="39">
        <v>4.7E-05</v>
      </c>
      <c r="I113" s="39">
        <v>3.39E-05</v>
      </c>
      <c r="K113" s="39">
        <v>5E-05</v>
      </c>
      <c r="L113" s="39"/>
    </row>
    <row r="114" spans="2:12" ht="12.75">
      <c r="B114" s="28" t="s">
        <v>174</v>
      </c>
      <c r="D114" s="27" t="s">
        <v>45</v>
      </c>
      <c r="G114" s="39">
        <v>3.94E-05</v>
      </c>
      <c r="I114" s="39">
        <v>3.58E-05</v>
      </c>
      <c r="K114" s="39">
        <v>3.94E-05</v>
      </c>
      <c r="L114" s="39"/>
    </row>
    <row r="115" spans="2:12" ht="12.75">
      <c r="B115" s="28" t="s">
        <v>175</v>
      </c>
      <c r="D115" s="27" t="s">
        <v>45</v>
      </c>
      <c r="G115" s="39">
        <v>6.74E-06</v>
      </c>
      <c r="I115" s="39">
        <v>8.68E-06</v>
      </c>
      <c r="K115" s="39">
        <v>6.67E-06</v>
      </c>
      <c r="L115" s="39"/>
    </row>
    <row r="116" spans="2:12" ht="12.75">
      <c r="B116" s="28" t="s">
        <v>176</v>
      </c>
      <c r="D116" s="27" t="s">
        <v>45</v>
      </c>
      <c r="G116" s="39">
        <v>1.72E-05</v>
      </c>
      <c r="I116" s="39">
        <v>3.27E-05</v>
      </c>
      <c r="K116" s="39">
        <v>2.24E-05</v>
      </c>
      <c r="L116" s="39"/>
    </row>
    <row r="117" spans="2:12" ht="12.75">
      <c r="B117" s="28" t="s">
        <v>200</v>
      </c>
      <c r="D117" s="27" t="s">
        <v>45</v>
      </c>
      <c r="G117" s="39">
        <v>2.5E-05</v>
      </c>
      <c r="I117" s="39">
        <v>1.9E-05</v>
      </c>
      <c r="K117" s="39">
        <v>0.000146</v>
      </c>
      <c r="L117" s="39"/>
    </row>
    <row r="118" spans="2:12" ht="12.75">
      <c r="B118" s="28" t="s">
        <v>195</v>
      </c>
      <c r="D118" s="27" t="s">
        <v>45</v>
      </c>
      <c r="G118" s="39">
        <v>1.55E-05</v>
      </c>
      <c r="I118" s="39">
        <v>3.86E-05</v>
      </c>
      <c r="K118" s="39">
        <v>2.82E-05</v>
      </c>
      <c r="L118" s="39"/>
    </row>
    <row r="119" spans="2:12" ht="12.75">
      <c r="B119" s="28" t="s">
        <v>177</v>
      </c>
      <c r="D119" s="27" t="s">
        <v>45</v>
      </c>
      <c r="G119" s="39">
        <v>4.48E-05</v>
      </c>
      <c r="I119" s="39">
        <v>0.000402</v>
      </c>
      <c r="K119" s="39">
        <v>0.000214</v>
      </c>
      <c r="L119" s="39"/>
    </row>
    <row r="120" spans="2:12" ht="12.75">
      <c r="B120" s="28" t="s">
        <v>196</v>
      </c>
      <c r="D120" s="27" t="s">
        <v>45</v>
      </c>
      <c r="G120" s="39">
        <v>3.73E-05</v>
      </c>
      <c r="I120" s="39">
        <v>2.75E-05</v>
      </c>
      <c r="K120" s="39">
        <v>3.73E-05</v>
      </c>
      <c r="L120" s="39"/>
    </row>
    <row r="121" spans="2:12" ht="12.75">
      <c r="B121" s="28" t="s">
        <v>178</v>
      </c>
      <c r="D121" s="27" t="s">
        <v>45</v>
      </c>
      <c r="G121" s="39">
        <v>8.2E-05</v>
      </c>
      <c r="I121" s="39">
        <v>3.03E-05</v>
      </c>
      <c r="K121" s="39">
        <v>4.46E-05</v>
      </c>
      <c r="L121" s="39"/>
    </row>
    <row r="122" spans="2:12" ht="12.75">
      <c r="B122" s="28" t="s">
        <v>179</v>
      </c>
      <c r="D122" s="27" t="s">
        <v>45</v>
      </c>
      <c r="G122" s="39">
        <v>3.42E-05</v>
      </c>
      <c r="I122" s="39">
        <v>3.97E-05</v>
      </c>
      <c r="K122" s="39">
        <v>2.4E-05</v>
      </c>
      <c r="L122" s="39"/>
    </row>
    <row r="123" spans="2:11" ht="12.75">
      <c r="B123" s="28" t="s">
        <v>180</v>
      </c>
      <c r="D123" s="27" t="s">
        <v>45</v>
      </c>
      <c r="G123" s="28">
        <v>0</v>
      </c>
      <c r="I123" s="28">
        <v>0</v>
      </c>
      <c r="K123" s="28">
        <v>0</v>
      </c>
    </row>
    <row r="124" spans="2:12" ht="12.75">
      <c r="B124" s="28" t="s">
        <v>197</v>
      </c>
      <c r="D124" s="27" t="s">
        <v>45</v>
      </c>
      <c r="G124" s="39">
        <v>1.97E-05</v>
      </c>
      <c r="I124" s="39">
        <v>1.53E-05</v>
      </c>
      <c r="K124" s="39">
        <v>7.2E-06</v>
      </c>
      <c r="L124" s="39"/>
    </row>
    <row r="126" spans="2:4" ht="12.75">
      <c r="B126" s="27" t="s">
        <v>201</v>
      </c>
      <c r="C126" s="27" t="s">
        <v>149</v>
      </c>
      <c r="D126" s="27" t="s">
        <v>227</v>
      </c>
    </row>
    <row r="127" spans="2:13" ht="12.75">
      <c r="B127" s="27" t="s">
        <v>170</v>
      </c>
      <c r="C127" s="27"/>
      <c r="D127" s="27" t="s">
        <v>40</v>
      </c>
      <c r="G127" s="28">
        <v>33985</v>
      </c>
      <c r="I127" s="28">
        <v>34884</v>
      </c>
      <c r="K127" s="28">
        <v>34327</v>
      </c>
      <c r="M127" s="34">
        <f>AVERAGE(K127,I127,G127)</f>
        <v>34398.666666666664</v>
      </c>
    </row>
    <row r="128" spans="2:13" ht="12.75">
      <c r="B128" s="27" t="s">
        <v>191</v>
      </c>
      <c r="C128" s="27"/>
      <c r="D128" s="27" t="s">
        <v>41</v>
      </c>
      <c r="G128" s="28">
        <v>9.34</v>
      </c>
      <c r="I128" s="28">
        <v>9.79</v>
      </c>
      <c r="K128" s="28">
        <v>10.1</v>
      </c>
      <c r="M128" s="34">
        <f>AVERAGE(K128,I128,G128)</f>
        <v>9.743333333333334</v>
      </c>
    </row>
    <row r="129" spans="2:13" ht="12.75">
      <c r="B129" s="27" t="s">
        <v>169</v>
      </c>
      <c r="C129" s="27"/>
      <c r="D129" s="27" t="s">
        <v>42</v>
      </c>
      <c r="G129" s="28">
        <f>759-460</f>
        <v>299</v>
      </c>
      <c r="I129" s="28">
        <f>764-460</f>
        <v>304</v>
      </c>
      <c r="K129" s="28">
        <f>761-460</f>
        <v>301</v>
      </c>
      <c r="M129" s="34">
        <f>AVERAGE(K129,I129,G129)</f>
        <v>301.3333333333333</v>
      </c>
    </row>
    <row r="131" spans="2:4" ht="12.75">
      <c r="B131" s="28" t="s">
        <v>201</v>
      </c>
      <c r="C131" s="28" t="s">
        <v>188</v>
      </c>
      <c r="D131" s="27" t="s">
        <v>228</v>
      </c>
    </row>
    <row r="132" spans="2:13" ht="12.75">
      <c r="B132" s="27" t="s">
        <v>170</v>
      </c>
      <c r="C132" s="27"/>
      <c r="D132" s="27" t="s">
        <v>40</v>
      </c>
      <c r="G132" s="28">
        <v>34549</v>
      </c>
      <c r="I132" s="28">
        <v>32776</v>
      </c>
      <c r="K132" s="28">
        <v>33898</v>
      </c>
      <c r="M132" s="34">
        <f>AVERAGE(K132,I132,G132)</f>
        <v>33741</v>
      </c>
    </row>
    <row r="133" spans="2:13" ht="12.75">
      <c r="B133" s="27" t="s">
        <v>191</v>
      </c>
      <c r="C133" s="27"/>
      <c r="D133" s="27" t="s">
        <v>41</v>
      </c>
      <c r="G133" s="28">
        <v>10.7</v>
      </c>
      <c r="I133" s="28">
        <v>10.9</v>
      </c>
      <c r="K133" s="28">
        <v>10.3</v>
      </c>
      <c r="M133" s="34">
        <f>AVERAGE(K133,I133,G133)</f>
        <v>10.633333333333335</v>
      </c>
    </row>
    <row r="134" spans="2:13" ht="12.75">
      <c r="B134" s="27" t="s">
        <v>169</v>
      </c>
      <c r="C134" s="27"/>
      <c r="D134" s="27" t="s">
        <v>42</v>
      </c>
      <c r="G134" s="28">
        <f>764-460</f>
        <v>304</v>
      </c>
      <c r="I134" s="28">
        <f>763-460</f>
        <v>303</v>
      </c>
      <c r="K134" s="28">
        <f>761-460</f>
        <v>301</v>
      </c>
      <c r="M134" s="34">
        <f>AVERAGE(K134,I134,G134)</f>
        <v>302.6666666666667</v>
      </c>
    </row>
    <row r="136" spans="2:13" ht="12.75">
      <c r="B136" s="28" t="s">
        <v>171</v>
      </c>
      <c r="C136" s="28" t="s">
        <v>228</v>
      </c>
      <c r="D136" s="27" t="s">
        <v>139</v>
      </c>
      <c r="E136" s="27" t="s">
        <v>34</v>
      </c>
      <c r="G136" s="36">
        <f aca="true" t="shared" si="0" ref="G136:G149">G111/G$132*60/0.0283*1000000*(21-7)/(21-G$16)</f>
        <v>0.021291408315089154</v>
      </c>
      <c r="I136" s="36">
        <f aca="true" t="shared" si="1" ref="I136:I149">I111/I$132*60/0.0283*1000000*(21-7)/(21-I$16)</f>
        <v>0.009669976917333857</v>
      </c>
      <c r="K136" s="36">
        <f aca="true" t="shared" si="2" ref="K136:K149">K111/K$132*60/0.0283*1000000*(21-7)/(21-K$16)</f>
        <v>0.05496578257398039</v>
      </c>
      <c r="L136" s="36"/>
      <c r="M136" s="36">
        <f aca="true" t="shared" si="3" ref="M136:M149">AVERAGE(K136,I136,G136)</f>
        <v>0.028642389268801128</v>
      </c>
    </row>
    <row r="137" spans="2:13" ht="12.75">
      <c r="B137" s="28" t="s">
        <v>172</v>
      </c>
      <c r="C137" s="28" t="s">
        <v>228</v>
      </c>
      <c r="D137" s="27" t="s">
        <v>139</v>
      </c>
      <c r="E137" s="27" t="s">
        <v>34</v>
      </c>
      <c r="G137" s="36">
        <f t="shared" si="0"/>
        <v>4.691580498903855</v>
      </c>
      <c r="I137" s="36">
        <f t="shared" si="1"/>
        <v>3.2923969028065283</v>
      </c>
      <c r="K137" s="36">
        <f t="shared" si="2"/>
        <v>2.4797146890805077</v>
      </c>
      <c r="L137" s="36"/>
      <c r="M137" s="36">
        <f t="shared" si="3"/>
        <v>3.487897363596964</v>
      </c>
    </row>
    <row r="138" spans="2:13" ht="12.75">
      <c r="B138" s="28" t="s">
        <v>173</v>
      </c>
      <c r="C138" s="28" t="s">
        <v>228</v>
      </c>
      <c r="D138" s="27" t="s">
        <v>139</v>
      </c>
      <c r="E138" s="27" t="s">
        <v>34</v>
      </c>
      <c r="G138" s="36">
        <f t="shared" si="0"/>
        <v>3.5112147045936486</v>
      </c>
      <c r="I138" s="36">
        <f t="shared" si="1"/>
        <v>2.60168426585411</v>
      </c>
      <c r="K138" s="36">
        <f t="shared" si="2"/>
        <v>3.6791019125823556</v>
      </c>
      <c r="L138" s="36"/>
      <c r="M138" s="36">
        <f t="shared" si="3"/>
        <v>3.2640002943433717</v>
      </c>
    </row>
    <row r="139" spans="2:13" ht="12.75">
      <c r="B139" s="28" t="s">
        <v>174</v>
      </c>
      <c r="C139" s="28" t="s">
        <v>228</v>
      </c>
      <c r="D139" s="27" t="s">
        <v>139</v>
      </c>
      <c r="E139" s="27" t="s">
        <v>34</v>
      </c>
      <c r="G139" s="36">
        <f t="shared" si="0"/>
        <v>2.943443816191272</v>
      </c>
      <c r="I139" s="36">
        <f t="shared" si="1"/>
        <v>2.7475013780996207</v>
      </c>
      <c r="K139" s="36">
        <f t="shared" si="2"/>
        <v>2.899132307114897</v>
      </c>
      <c r="L139" s="36"/>
      <c r="M139" s="36">
        <f t="shared" si="3"/>
        <v>2.8633591671352634</v>
      </c>
    </row>
    <row r="140" spans="2:13" ht="12.75">
      <c r="B140" s="28" t="s">
        <v>175</v>
      </c>
      <c r="C140" s="28" t="s">
        <v>228</v>
      </c>
      <c r="D140" s="27" t="s">
        <v>139</v>
      </c>
      <c r="E140" s="27" t="s">
        <v>34</v>
      </c>
      <c r="G140" s="36">
        <f t="shared" si="0"/>
        <v>0.5035231299778978</v>
      </c>
      <c r="I140" s="36">
        <f t="shared" si="1"/>
        <v>0.6661539654163324</v>
      </c>
      <c r="K140" s="36">
        <f t="shared" si="2"/>
        <v>0.4907921951384862</v>
      </c>
      <c r="L140" s="36"/>
      <c r="M140" s="36">
        <f t="shared" si="3"/>
        <v>0.5534897635109055</v>
      </c>
    </row>
    <row r="141" spans="2:13" ht="12.75">
      <c r="B141" s="28" t="s">
        <v>176</v>
      </c>
      <c r="C141" s="28" t="s">
        <v>228</v>
      </c>
      <c r="D141" s="27" t="s">
        <v>139</v>
      </c>
      <c r="E141" s="27" t="s">
        <v>34</v>
      </c>
      <c r="G141" s="36">
        <f t="shared" si="0"/>
        <v>1.2849551684895908</v>
      </c>
      <c r="I141" s="36">
        <f t="shared" si="1"/>
        <v>2.5095892475937878</v>
      </c>
      <c r="K141" s="36">
        <f t="shared" si="2"/>
        <v>1.6482376568368953</v>
      </c>
      <c r="L141" s="36"/>
      <c r="M141" s="36">
        <f t="shared" si="3"/>
        <v>1.8142606909734245</v>
      </c>
    </row>
    <row r="142" spans="2:13" ht="12.75">
      <c r="B142" s="28" t="s">
        <v>200</v>
      </c>
      <c r="C142" s="28" t="s">
        <v>228</v>
      </c>
      <c r="D142" s="27" t="s">
        <v>139</v>
      </c>
      <c r="E142" s="27" t="s">
        <v>34</v>
      </c>
      <c r="G142" s="36">
        <f t="shared" si="0"/>
        <v>1.8676673960604522</v>
      </c>
      <c r="I142" s="36">
        <f t="shared" si="1"/>
        <v>1.4581711224551062</v>
      </c>
      <c r="K142" s="36">
        <f t="shared" si="2"/>
        <v>10.742977584740482</v>
      </c>
      <c r="L142" s="36"/>
      <c r="M142" s="36">
        <f t="shared" si="3"/>
        <v>4.689605367752013</v>
      </c>
    </row>
    <row r="143" spans="2:13" ht="12.75">
      <c r="B143" s="28" t="s">
        <v>195</v>
      </c>
      <c r="C143" s="28" t="s">
        <v>228</v>
      </c>
      <c r="D143" s="27" t="s">
        <v>139</v>
      </c>
      <c r="E143" s="27" t="s">
        <v>34</v>
      </c>
      <c r="G143" s="36">
        <f t="shared" si="0"/>
        <v>1.1579537855574804</v>
      </c>
      <c r="I143" s="36">
        <f t="shared" si="1"/>
        <v>2.962389754040373</v>
      </c>
      <c r="K143" s="36">
        <f t="shared" si="2"/>
        <v>2.0750134786964494</v>
      </c>
      <c r="L143" s="36"/>
      <c r="M143" s="36">
        <f t="shared" si="3"/>
        <v>2.0651190060981013</v>
      </c>
    </row>
    <row r="144" spans="2:13" ht="12.75">
      <c r="B144" s="28" t="s">
        <v>177</v>
      </c>
      <c r="C144" s="28" t="s">
        <v>228</v>
      </c>
      <c r="D144" s="27" t="s">
        <v>139</v>
      </c>
      <c r="E144" s="27" t="s">
        <v>34</v>
      </c>
      <c r="G144" s="36">
        <f t="shared" si="0"/>
        <v>3.34685997374033</v>
      </c>
      <c r="I144" s="36">
        <f t="shared" si="1"/>
        <v>30.851831117208032</v>
      </c>
      <c r="K144" s="36">
        <f t="shared" si="2"/>
        <v>15.746556185852478</v>
      </c>
      <c r="L144" s="36"/>
      <c r="M144" s="36">
        <f t="shared" si="3"/>
        <v>16.648415758933613</v>
      </c>
    </row>
    <row r="145" spans="2:13" ht="12.75">
      <c r="B145" s="28" t="s">
        <v>196</v>
      </c>
      <c r="C145" s="28" t="s">
        <v>228</v>
      </c>
      <c r="D145" s="27" t="s">
        <v>139</v>
      </c>
      <c r="E145" s="27" t="s">
        <v>34</v>
      </c>
      <c r="G145" s="36">
        <f t="shared" si="0"/>
        <v>2.786559754922194</v>
      </c>
      <c r="I145" s="36">
        <f t="shared" si="1"/>
        <v>2.11051083513239</v>
      </c>
      <c r="K145" s="36">
        <f t="shared" si="2"/>
        <v>2.7446100267864373</v>
      </c>
      <c r="L145" s="36"/>
      <c r="M145" s="36">
        <f t="shared" si="3"/>
        <v>2.5472268722803406</v>
      </c>
    </row>
    <row r="146" spans="2:13" ht="12.75">
      <c r="B146" s="28" t="s">
        <v>178</v>
      </c>
      <c r="C146" s="28" t="s">
        <v>228</v>
      </c>
      <c r="D146" s="27" t="s">
        <v>139</v>
      </c>
      <c r="E146" s="27" t="s">
        <v>34</v>
      </c>
      <c r="G146" s="36">
        <f t="shared" si="0"/>
        <v>6.125949059078282</v>
      </c>
      <c r="I146" s="36">
        <f t="shared" si="1"/>
        <v>2.3253992110731425</v>
      </c>
      <c r="K146" s="36">
        <f t="shared" si="2"/>
        <v>3.281758906023462</v>
      </c>
      <c r="L146" s="36"/>
      <c r="M146" s="36">
        <f t="shared" si="3"/>
        <v>3.911035725391629</v>
      </c>
    </row>
    <row r="147" spans="2:13" ht="12.75">
      <c r="B147" s="28" t="s">
        <v>179</v>
      </c>
      <c r="C147" s="28" t="s">
        <v>228</v>
      </c>
      <c r="D147" s="27" t="s">
        <v>139</v>
      </c>
      <c r="E147" s="27" t="s">
        <v>34</v>
      </c>
      <c r="G147" s="36">
        <f t="shared" si="0"/>
        <v>2.5549689978106978</v>
      </c>
      <c r="I147" s="36">
        <f t="shared" si="1"/>
        <v>3.046810187445669</v>
      </c>
      <c r="K147" s="36">
        <f t="shared" si="2"/>
        <v>1.7659689180395308</v>
      </c>
      <c r="L147" s="36"/>
      <c r="M147" s="36">
        <f t="shared" si="3"/>
        <v>2.455916034431966</v>
      </c>
    </row>
    <row r="148" spans="2:13" ht="12.75">
      <c r="B148" s="28" t="s">
        <v>180</v>
      </c>
      <c r="C148" s="28" t="s">
        <v>228</v>
      </c>
      <c r="D148" s="27" t="s">
        <v>139</v>
      </c>
      <c r="E148" s="27" t="s">
        <v>34</v>
      </c>
      <c r="G148" s="36">
        <f t="shared" si="0"/>
        <v>0</v>
      </c>
      <c r="I148" s="36">
        <f t="shared" si="1"/>
        <v>0</v>
      </c>
      <c r="K148" s="36">
        <f t="shared" si="2"/>
        <v>0</v>
      </c>
      <c r="L148" s="36"/>
      <c r="M148" s="36">
        <f t="shared" si="3"/>
        <v>0</v>
      </c>
    </row>
    <row r="149" spans="2:13" ht="12.75">
      <c r="B149" s="28" t="s">
        <v>197</v>
      </c>
      <c r="C149" s="28" t="s">
        <v>228</v>
      </c>
      <c r="D149" s="27" t="s">
        <v>139</v>
      </c>
      <c r="E149" s="27" t="s">
        <v>34</v>
      </c>
      <c r="G149" s="36">
        <f t="shared" si="0"/>
        <v>1.471721908095636</v>
      </c>
      <c r="I149" s="36">
        <f t="shared" si="1"/>
        <v>1.1742114828191113</v>
      </c>
      <c r="K149" s="36">
        <f t="shared" si="2"/>
        <v>0.5297906754118592</v>
      </c>
      <c r="L149" s="36"/>
      <c r="M149" s="36">
        <f t="shared" si="3"/>
        <v>1.0585746887755356</v>
      </c>
    </row>
    <row r="150" spans="2:13" ht="12.75">
      <c r="B150" s="28" t="s">
        <v>137</v>
      </c>
      <c r="C150" s="28" t="s">
        <v>228</v>
      </c>
      <c r="D150" s="27" t="s">
        <v>139</v>
      </c>
      <c r="E150" s="27" t="s">
        <v>34</v>
      </c>
      <c r="G150" s="36">
        <f>G144+G141</f>
        <v>4.631815142229921</v>
      </c>
      <c r="I150" s="36">
        <f>I144+I141</f>
        <v>33.36142036480182</v>
      </c>
      <c r="K150" s="36">
        <f>K144+K141</f>
        <v>17.394793842689374</v>
      </c>
      <c r="L150" s="36"/>
      <c r="M150" s="36">
        <f>M144+M141</f>
        <v>18.462676449907036</v>
      </c>
    </row>
    <row r="151" spans="2:13" ht="12.75">
      <c r="B151" s="28" t="s">
        <v>138</v>
      </c>
      <c r="C151" s="28" t="s">
        <v>228</v>
      </c>
      <c r="D151" s="27" t="s">
        <v>139</v>
      </c>
      <c r="E151" s="27" t="s">
        <v>34</v>
      </c>
      <c r="G151" s="36">
        <f>G138+G140+G142</f>
        <v>5.882405230631998</v>
      </c>
      <c r="I151" s="36">
        <f>I138+I140+I142</f>
        <v>4.726009353725548</v>
      </c>
      <c r="K151" s="36">
        <f>K138+K140+K142</f>
        <v>14.912871692461323</v>
      </c>
      <c r="L151" s="36"/>
      <c r="M151" s="36">
        <f>M138+M140+M142</f>
        <v>8.507095425606291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5"/>
  <sheetViews>
    <sheetView zoomScale="75" zoomScaleNormal="75" workbookViewId="0" topLeftCell="B1">
      <selection activeCell="B113" sqref="A113:IV113"/>
    </sheetView>
  </sheetViews>
  <sheetFormatPr defaultColWidth="9.140625" defaultRowHeight="12.75"/>
  <cols>
    <col min="1" max="1" width="9.140625" style="2" hidden="1" customWidth="1"/>
    <col min="2" max="2" width="22.140625" style="7" customWidth="1"/>
    <col min="3" max="3" width="1.421875" style="7" customWidth="1"/>
    <col min="4" max="4" width="9.28125" style="7" customWidth="1"/>
    <col min="5" max="5" width="3.8515625" style="2" customWidth="1"/>
    <col min="6" max="6" width="8.421875" style="2" customWidth="1"/>
    <col min="7" max="7" width="4.28125" style="2" customWidth="1"/>
    <col min="8" max="8" width="8.7109375" style="2" customWidth="1"/>
    <col min="9" max="9" width="4.140625" style="2" customWidth="1"/>
    <col min="10" max="10" width="9.57421875" style="2" customWidth="1"/>
    <col min="11" max="11" width="3.8515625" style="2" customWidth="1"/>
    <col min="12" max="12" width="10.28125" style="21" customWidth="1"/>
    <col min="13" max="13" width="2.8515625" style="21" customWidth="1"/>
    <col min="14" max="14" width="8.57421875" style="21" customWidth="1"/>
    <col min="15" max="15" width="2.8515625" style="21" customWidth="1"/>
    <col min="16" max="16" width="8.421875" style="21" customWidth="1"/>
    <col min="17" max="17" width="2.8515625" style="21" customWidth="1"/>
    <col min="18" max="18" width="7.57421875" style="21" customWidth="1"/>
    <col min="19" max="19" width="2.8515625" style="21" customWidth="1"/>
    <col min="20" max="20" width="12.00390625" style="2" customWidth="1"/>
    <col min="21" max="21" width="3.8515625" style="2" customWidth="1"/>
    <col min="22" max="22" width="10.28125" style="2" customWidth="1"/>
    <col min="23" max="23" width="3.8515625" style="2" customWidth="1"/>
    <col min="24" max="24" width="11.28125" style="2" customWidth="1"/>
    <col min="25" max="25" width="3.8515625" style="2" customWidth="1"/>
    <col min="26" max="26" width="10.140625" style="2" customWidth="1"/>
    <col min="27" max="27" width="3.8515625" style="2" customWidth="1"/>
    <col min="28" max="28" width="11.00390625" style="2" customWidth="1"/>
    <col min="29" max="29" width="3.8515625" style="2" customWidth="1"/>
    <col min="30" max="30" width="11.8515625" style="2" customWidth="1"/>
    <col min="31" max="31" width="3.8515625" style="2" customWidth="1"/>
    <col min="32" max="32" width="9.421875" style="2" customWidth="1"/>
    <col min="33" max="33" width="3.8515625" style="2" customWidth="1"/>
    <col min="34" max="34" width="9.57421875" style="2" customWidth="1"/>
    <col min="35" max="35" width="3.8515625" style="2" customWidth="1"/>
    <col min="36" max="16384" width="8.8515625" style="2" customWidth="1"/>
  </cols>
  <sheetData>
    <row r="1" spans="2:3" ht="12.75">
      <c r="B1" s="23" t="s">
        <v>155</v>
      </c>
      <c r="C1" s="23"/>
    </row>
    <row r="3" spans="1:36" ht="12.75">
      <c r="A3" s="2" t="s">
        <v>211</v>
      </c>
      <c r="B3" s="23" t="s">
        <v>203</v>
      </c>
      <c r="C3" s="23" t="s">
        <v>184</v>
      </c>
      <c r="F3" s="2" t="s">
        <v>215</v>
      </c>
      <c r="H3" s="2" t="s">
        <v>216</v>
      </c>
      <c r="J3" s="2" t="s">
        <v>217</v>
      </c>
      <c r="L3" s="21" t="s">
        <v>90</v>
      </c>
      <c r="N3" s="2" t="s">
        <v>215</v>
      </c>
      <c r="O3" s="2"/>
      <c r="P3" s="2" t="s">
        <v>216</v>
      </c>
      <c r="Q3" s="2"/>
      <c r="R3" s="2" t="s">
        <v>217</v>
      </c>
      <c r="S3" s="2"/>
      <c r="T3" s="21" t="s">
        <v>90</v>
      </c>
      <c r="V3" s="2" t="s">
        <v>215</v>
      </c>
      <c r="X3" s="2" t="s">
        <v>216</v>
      </c>
      <c r="Z3" s="2" t="s">
        <v>217</v>
      </c>
      <c r="AB3" s="21" t="s">
        <v>90</v>
      </c>
      <c r="AD3" s="2" t="s">
        <v>215</v>
      </c>
      <c r="AF3" s="2" t="s">
        <v>216</v>
      </c>
      <c r="AH3" s="2" t="s">
        <v>217</v>
      </c>
      <c r="AJ3" s="21" t="s">
        <v>90</v>
      </c>
    </row>
    <row r="5" spans="2:36" ht="12.75">
      <c r="B5" s="7" t="s">
        <v>234</v>
      </c>
      <c r="F5" s="11" t="s">
        <v>236</v>
      </c>
      <c r="H5" s="11" t="s">
        <v>236</v>
      </c>
      <c r="J5" s="11" t="s">
        <v>236</v>
      </c>
      <c r="L5" s="11" t="s">
        <v>236</v>
      </c>
      <c r="N5" s="11" t="s">
        <v>238</v>
      </c>
      <c r="P5" s="11" t="s">
        <v>238</v>
      </c>
      <c r="R5" s="11" t="s">
        <v>238</v>
      </c>
      <c r="T5" s="11" t="s">
        <v>238</v>
      </c>
      <c r="V5" s="11" t="s">
        <v>239</v>
      </c>
      <c r="X5" s="11" t="s">
        <v>239</v>
      </c>
      <c r="Z5" s="11" t="s">
        <v>239</v>
      </c>
      <c r="AB5" s="11" t="s">
        <v>239</v>
      </c>
      <c r="AD5" s="11" t="s">
        <v>241</v>
      </c>
      <c r="AF5" s="11" t="s">
        <v>241</v>
      </c>
      <c r="AH5" s="11" t="s">
        <v>241</v>
      </c>
      <c r="AJ5" s="11" t="s">
        <v>241</v>
      </c>
    </row>
    <row r="6" spans="2:36" ht="12.75">
      <c r="B6" s="7" t="s">
        <v>235</v>
      </c>
      <c r="F6" s="11" t="s">
        <v>237</v>
      </c>
      <c r="H6" s="11" t="s">
        <v>237</v>
      </c>
      <c r="J6" s="11" t="s">
        <v>237</v>
      </c>
      <c r="L6" s="11" t="s">
        <v>237</v>
      </c>
      <c r="N6" s="11" t="s">
        <v>93</v>
      </c>
      <c r="P6" s="11" t="s">
        <v>93</v>
      </c>
      <c r="R6" s="11" t="s">
        <v>93</v>
      </c>
      <c r="T6" s="11" t="s">
        <v>93</v>
      </c>
      <c r="V6" s="11" t="s">
        <v>240</v>
      </c>
      <c r="X6" s="11" t="s">
        <v>240</v>
      </c>
      <c r="Z6" s="11" t="s">
        <v>240</v>
      </c>
      <c r="AB6" s="11" t="s">
        <v>240</v>
      </c>
      <c r="AD6" s="11" t="s">
        <v>56</v>
      </c>
      <c r="AF6" s="11" t="s">
        <v>56</v>
      </c>
      <c r="AH6" s="11" t="s">
        <v>56</v>
      </c>
      <c r="AJ6" s="11" t="s">
        <v>56</v>
      </c>
    </row>
    <row r="7" spans="2:36" ht="12.75">
      <c r="B7" s="7" t="s">
        <v>242</v>
      </c>
      <c r="F7" s="11" t="s">
        <v>136</v>
      </c>
      <c r="H7" s="11" t="s">
        <v>136</v>
      </c>
      <c r="J7" s="11" t="s">
        <v>136</v>
      </c>
      <c r="L7" s="11" t="s">
        <v>136</v>
      </c>
      <c r="N7" s="11" t="s">
        <v>93</v>
      </c>
      <c r="P7" s="11" t="s">
        <v>93</v>
      </c>
      <c r="R7" s="11" t="s">
        <v>93</v>
      </c>
      <c r="T7" s="11" t="s">
        <v>93</v>
      </c>
      <c r="V7" s="11" t="s">
        <v>243</v>
      </c>
      <c r="X7" s="11" t="s">
        <v>243</v>
      </c>
      <c r="Z7" s="11" t="s">
        <v>243</v>
      </c>
      <c r="AB7" s="11" t="s">
        <v>243</v>
      </c>
      <c r="AD7" s="11" t="s">
        <v>56</v>
      </c>
      <c r="AF7" s="11" t="s">
        <v>56</v>
      </c>
      <c r="AH7" s="11" t="s">
        <v>56</v>
      </c>
      <c r="AJ7" s="11" t="s">
        <v>56</v>
      </c>
    </row>
    <row r="8" spans="2:36" ht="12.75">
      <c r="B8" s="7" t="s">
        <v>91</v>
      </c>
      <c r="F8" s="21" t="s">
        <v>113</v>
      </c>
      <c r="H8" s="21" t="s">
        <v>113</v>
      </c>
      <c r="J8" s="21" t="s">
        <v>113</v>
      </c>
      <c r="L8" s="21" t="s">
        <v>113</v>
      </c>
      <c r="N8" s="21" t="s">
        <v>93</v>
      </c>
      <c r="P8" s="21" t="s">
        <v>93</v>
      </c>
      <c r="R8" s="21" t="s">
        <v>93</v>
      </c>
      <c r="T8" s="21" t="s">
        <v>93</v>
      </c>
      <c r="U8" s="21"/>
      <c r="V8" s="21" t="s">
        <v>92</v>
      </c>
      <c r="W8" s="21"/>
      <c r="X8" s="21" t="s">
        <v>92</v>
      </c>
      <c r="Y8" s="21"/>
      <c r="Z8" s="21" t="s">
        <v>92</v>
      </c>
      <c r="AA8" s="21"/>
      <c r="AB8" s="21" t="s">
        <v>92</v>
      </c>
      <c r="AC8" s="21"/>
      <c r="AD8" s="21" t="s">
        <v>56</v>
      </c>
      <c r="AE8" s="21"/>
      <c r="AF8" s="21" t="s">
        <v>56</v>
      </c>
      <c r="AG8" s="21"/>
      <c r="AH8" s="21" t="s">
        <v>56</v>
      </c>
      <c r="AI8" s="21"/>
      <c r="AJ8" s="21" t="s">
        <v>56</v>
      </c>
    </row>
    <row r="9" spans="2:28" ht="12.75">
      <c r="B9" s="7" t="s">
        <v>212</v>
      </c>
      <c r="D9" s="7" t="s">
        <v>37</v>
      </c>
      <c r="F9" s="2">
        <v>5413</v>
      </c>
      <c r="H9" s="2">
        <v>5402</v>
      </c>
      <c r="J9" s="2">
        <v>5400</v>
      </c>
      <c r="L9" s="21">
        <v>5405</v>
      </c>
      <c r="N9" s="21">
        <v>67.78</v>
      </c>
      <c r="P9" s="21">
        <v>63.76</v>
      </c>
      <c r="R9" s="21">
        <v>62.24</v>
      </c>
      <c r="T9" s="43">
        <f>AVERAGE(R9,P9,N9)</f>
        <v>64.59333333333333</v>
      </c>
      <c r="V9" s="14">
        <f>403752/454</f>
        <v>889.3215859030837</v>
      </c>
      <c r="X9" s="14">
        <f>397879/454</f>
        <v>876.385462555066</v>
      </c>
      <c r="Z9" s="14">
        <f>348725/454</f>
        <v>768.1167400881058</v>
      </c>
      <c r="AB9" s="43">
        <f>AVERAGE(Z9,X9,V9)</f>
        <v>844.6079295154185</v>
      </c>
    </row>
    <row r="10" spans="2:36" ht="12.75">
      <c r="B10" s="7" t="s">
        <v>94</v>
      </c>
      <c r="D10" s="7" t="s">
        <v>115</v>
      </c>
      <c r="F10" s="2">
        <f>89.57</f>
        <v>89.57</v>
      </c>
      <c r="H10" s="2">
        <v>97.3375</v>
      </c>
      <c r="J10" s="2">
        <v>66.84</v>
      </c>
      <c r="L10" s="43">
        <f>AVERAGE(J10,H10,F10)</f>
        <v>84.5825</v>
      </c>
      <c r="V10" s="2">
        <v>19.315</v>
      </c>
      <c r="X10" s="2">
        <v>19.03</v>
      </c>
      <c r="Z10" s="2">
        <v>16.68</v>
      </c>
      <c r="AB10" s="43">
        <f>AVERAGE(Z10,X10,V10)</f>
        <v>18.34166666666667</v>
      </c>
      <c r="AD10" s="14">
        <f>SUM(V10,N10,F10)</f>
        <v>108.88499999999999</v>
      </c>
      <c r="AE10" s="14"/>
      <c r="AF10" s="14">
        <f>SUM(X10,P10,H10)</f>
        <v>116.3675</v>
      </c>
      <c r="AG10" s="14"/>
      <c r="AH10" s="14">
        <f>SUM(Z10,R10,J10)</f>
        <v>83.52000000000001</v>
      </c>
      <c r="AI10" s="14"/>
      <c r="AJ10" s="14">
        <f>SUM(AB10,T10,L10)</f>
        <v>102.92416666666666</v>
      </c>
    </row>
    <row r="11" spans="2:12" ht="12.75">
      <c r="B11" s="7" t="s">
        <v>95</v>
      </c>
      <c r="D11" s="7" t="s">
        <v>96</v>
      </c>
      <c r="F11" s="2">
        <v>16546.8</v>
      </c>
      <c r="H11" s="2">
        <v>18018.8</v>
      </c>
      <c r="J11" s="2">
        <v>12378.2</v>
      </c>
      <c r="L11" s="43">
        <f>AVERAGE(J11,H11,F11)</f>
        <v>15647.933333333334</v>
      </c>
    </row>
    <row r="12" spans="2:27" ht="12.75">
      <c r="B12" s="7" t="s">
        <v>97</v>
      </c>
      <c r="D12" s="7" t="s">
        <v>98</v>
      </c>
      <c r="E12" s="11"/>
      <c r="F12" s="11">
        <v>0.02</v>
      </c>
      <c r="G12" s="11"/>
      <c r="H12" s="11">
        <v>0.04</v>
      </c>
      <c r="I12" s="11"/>
      <c r="J12" s="11">
        <v>0.02</v>
      </c>
      <c r="K12" s="11"/>
      <c r="L12" s="21">
        <v>0.03</v>
      </c>
      <c r="T12" s="11"/>
      <c r="U12" s="11"/>
      <c r="V12" s="11"/>
      <c r="W12" s="11"/>
      <c r="X12" s="11"/>
      <c r="Y12" s="11"/>
      <c r="Z12" s="11"/>
      <c r="AA12" s="11"/>
    </row>
    <row r="13" spans="2:27" ht="12.75">
      <c r="B13" s="7" t="s">
        <v>99</v>
      </c>
      <c r="D13" s="7" t="s">
        <v>37</v>
      </c>
      <c r="E13" s="11" t="s">
        <v>61</v>
      </c>
      <c r="F13" s="11"/>
      <c r="G13" s="11"/>
      <c r="H13" s="11"/>
      <c r="I13" s="11"/>
      <c r="J13" s="11"/>
      <c r="K13" s="11"/>
      <c r="N13" s="21">
        <v>20.33</v>
      </c>
      <c r="P13" s="21">
        <v>19.13</v>
      </c>
      <c r="R13" s="21">
        <v>18.67</v>
      </c>
      <c r="T13" s="21">
        <v>19.38</v>
      </c>
      <c r="U13" s="21"/>
      <c r="V13" s="21"/>
      <c r="W13" s="21"/>
      <c r="X13" s="21"/>
      <c r="Y13" s="21"/>
      <c r="Z13" s="21"/>
      <c r="AA13" s="21"/>
    </row>
    <row r="14" spans="2:27" ht="12.75">
      <c r="B14" s="7" t="s">
        <v>100</v>
      </c>
      <c r="D14" s="7" t="s">
        <v>37</v>
      </c>
      <c r="E14" s="11" t="s">
        <v>61</v>
      </c>
      <c r="F14" s="28"/>
      <c r="G14" s="11"/>
      <c r="H14" s="11"/>
      <c r="I14" s="11"/>
      <c r="J14" s="11"/>
      <c r="K14" s="11"/>
      <c r="N14" s="21">
        <v>12.34</v>
      </c>
      <c r="P14" s="21">
        <v>11.6</v>
      </c>
      <c r="R14" s="21">
        <v>11.33</v>
      </c>
      <c r="T14" s="21">
        <v>11.76</v>
      </c>
      <c r="U14" s="21"/>
      <c r="V14" s="21"/>
      <c r="W14" s="21"/>
      <c r="X14" s="21"/>
      <c r="Y14" s="21"/>
      <c r="Z14" s="21"/>
      <c r="AA14" s="21"/>
    </row>
    <row r="15" spans="2:27" ht="12.75">
      <c r="B15" s="7" t="s">
        <v>172</v>
      </c>
      <c r="D15" s="7" t="s">
        <v>114</v>
      </c>
      <c r="E15" s="21" t="s">
        <v>61</v>
      </c>
      <c r="F15" s="21">
        <v>0.75</v>
      </c>
      <c r="G15" s="21" t="s">
        <v>61</v>
      </c>
      <c r="H15" s="21">
        <v>0.75</v>
      </c>
      <c r="I15" s="21" t="s">
        <v>61</v>
      </c>
      <c r="J15" s="21">
        <v>0.75</v>
      </c>
      <c r="K15" s="11"/>
      <c r="L15" s="21">
        <v>0.75</v>
      </c>
      <c r="T15" s="21"/>
      <c r="U15" s="21"/>
      <c r="V15" s="21"/>
      <c r="W15" s="21"/>
      <c r="X15" s="21"/>
      <c r="Y15" s="21"/>
      <c r="Z15" s="21"/>
      <c r="AA15" s="21"/>
    </row>
    <row r="16" spans="2:27" ht="12.75">
      <c r="B16" s="7" t="s">
        <v>173</v>
      </c>
      <c r="D16" s="7" t="s">
        <v>114</v>
      </c>
      <c r="E16" s="21" t="s">
        <v>61</v>
      </c>
      <c r="F16" s="21">
        <v>0.3</v>
      </c>
      <c r="G16" s="21" t="s">
        <v>61</v>
      </c>
      <c r="H16" s="21">
        <v>0.3</v>
      </c>
      <c r="I16" s="21" t="s">
        <v>61</v>
      </c>
      <c r="J16" s="21">
        <v>0.3</v>
      </c>
      <c r="K16" s="11"/>
      <c r="L16" s="21">
        <v>0.3</v>
      </c>
      <c r="T16" s="21"/>
      <c r="U16" s="21"/>
      <c r="V16" s="21"/>
      <c r="W16" s="21"/>
      <c r="X16" s="21"/>
      <c r="Y16" s="21"/>
      <c r="Z16" s="21"/>
      <c r="AA16" s="21"/>
    </row>
    <row r="17" spans="2:27" ht="12.75">
      <c r="B17" s="7" t="s">
        <v>174</v>
      </c>
      <c r="D17" s="7" t="s">
        <v>114</v>
      </c>
      <c r="E17" s="21" t="s">
        <v>61</v>
      </c>
      <c r="F17" s="21">
        <v>0.5</v>
      </c>
      <c r="G17" s="21" t="s">
        <v>61</v>
      </c>
      <c r="H17" s="21">
        <v>0.5</v>
      </c>
      <c r="I17" s="21" t="s">
        <v>61</v>
      </c>
      <c r="J17" s="21">
        <v>0.5</v>
      </c>
      <c r="K17" s="11"/>
      <c r="L17" s="21">
        <v>0.5</v>
      </c>
      <c r="T17" s="21"/>
      <c r="U17" s="21"/>
      <c r="V17" s="21"/>
      <c r="W17" s="21"/>
      <c r="X17" s="21"/>
      <c r="Y17" s="21"/>
      <c r="Z17" s="21"/>
      <c r="AA17" s="21"/>
    </row>
    <row r="18" spans="2:27" ht="12.75">
      <c r="B18" s="7" t="s">
        <v>175</v>
      </c>
      <c r="D18" s="7" t="s">
        <v>114</v>
      </c>
      <c r="E18" s="21" t="s">
        <v>61</v>
      </c>
      <c r="F18" s="21">
        <v>0.05</v>
      </c>
      <c r="G18" s="21" t="s">
        <v>61</v>
      </c>
      <c r="H18" s="21">
        <v>0.05</v>
      </c>
      <c r="I18" s="21" t="s">
        <v>61</v>
      </c>
      <c r="J18" s="21">
        <v>0.05</v>
      </c>
      <c r="K18" s="11"/>
      <c r="L18" s="21">
        <v>0.05</v>
      </c>
      <c r="T18" s="21"/>
      <c r="U18" s="21"/>
      <c r="V18" s="21"/>
      <c r="W18" s="21"/>
      <c r="X18" s="21"/>
      <c r="Y18" s="21"/>
      <c r="Z18" s="21"/>
      <c r="AA18" s="21"/>
    </row>
    <row r="19" spans="2:27" ht="12.75">
      <c r="B19" s="7" t="s">
        <v>176</v>
      </c>
      <c r="D19" s="7" t="s">
        <v>114</v>
      </c>
      <c r="E19" s="21" t="s">
        <v>61</v>
      </c>
      <c r="F19" s="21">
        <v>0.25</v>
      </c>
      <c r="G19" s="21" t="s">
        <v>61</v>
      </c>
      <c r="H19" s="21">
        <v>0.25</v>
      </c>
      <c r="I19" s="21" t="s">
        <v>61</v>
      </c>
      <c r="J19" s="21">
        <v>0.25</v>
      </c>
      <c r="K19" s="11"/>
      <c r="L19" s="21">
        <v>0.25</v>
      </c>
      <c r="T19" s="21"/>
      <c r="U19" s="21"/>
      <c r="V19" s="21"/>
      <c r="W19" s="21"/>
      <c r="X19" s="21"/>
      <c r="Y19" s="21"/>
      <c r="Z19" s="21"/>
      <c r="AA19" s="21"/>
    </row>
    <row r="20" spans="2:27" ht="12.75">
      <c r="B20" s="7" t="s">
        <v>200</v>
      </c>
      <c r="D20" s="7" t="s">
        <v>114</v>
      </c>
      <c r="E20" s="21" t="s">
        <v>61</v>
      </c>
      <c r="F20" s="21">
        <v>0.5</v>
      </c>
      <c r="G20" s="21" t="s">
        <v>61</v>
      </c>
      <c r="H20" s="21">
        <v>0.5</v>
      </c>
      <c r="I20" s="21" t="s">
        <v>61</v>
      </c>
      <c r="J20" s="21">
        <v>0.5</v>
      </c>
      <c r="K20" s="11"/>
      <c r="L20" s="21">
        <v>0.5</v>
      </c>
      <c r="T20" s="21"/>
      <c r="U20" s="21"/>
      <c r="V20" s="21"/>
      <c r="W20" s="21"/>
      <c r="X20" s="21"/>
      <c r="Y20" s="21"/>
      <c r="Z20" s="21"/>
      <c r="AA20" s="21"/>
    </row>
    <row r="21" spans="2:35" ht="12.75">
      <c r="B21" s="7" t="s">
        <v>177</v>
      </c>
      <c r="D21" s="7" t="s">
        <v>114</v>
      </c>
      <c r="E21" s="21"/>
      <c r="F21" s="21">
        <v>0.3</v>
      </c>
      <c r="G21" s="21"/>
      <c r="H21" s="21">
        <v>0.3</v>
      </c>
      <c r="I21" s="21" t="s">
        <v>61</v>
      </c>
      <c r="J21" s="21">
        <v>0.25</v>
      </c>
      <c r="K21" s="11"/>
      <c r="L21" s="21">
        <v>0.3</v>
      </c>
      <c r="T21" s="21"/>
      <c r="U21" s="21"/>
      <c r="V21" s="21"/>
      <c r="W21" s="21"/>
      <c r="X21" s="21"/>
      <c r="Y21" s="21"/>
      <c r="Z21" s="21"/>
      <c r="AA21" s="21"/>
      <c r="AB21" s="11"/>
      <c r="AC21" s="11"/>
      <c r="AD21" s="11"/>
      <c r="AE21" s="11"/>
      <c r="AF21" s="11"/>
      <c r="AG21" s="11"/>
      <c r="AH21" s="11"/>
      <c r="AI21" s="11"/>
    </row>
    <row r="22" spans="2:35" ht="12.75">
      <c r="B22" s="7" t="s">
        <v>171</v>
      </c>
      <c r="D22" s="7" t="s">
        <v>114</v>
      </c>
      <c r="E22" s="21" t="s">
        <v>61</v>
      </c>
      <c r="F22" s="21">
        <v>0.02</v>
      </c>
      <c r="G22" s="21" t="s">
        <v>61</v>
      </c>
      <c r="H22" s="21">
        <v>0.02</v>
      </c>
      <c r="I22" s="21" t="s">
        <v>61</v>
      </c>
      <c r="J22" s="21">
        <v>0.02</v>
      </c>
      <c r="K22" s="11"/>
      <c r="L22" s="21">
        <v>0.02</v>
      </c>
      <c r="T22" s="21"/>
      <c r="U22" s="21"/>
      <c r="V22" s="21"/>
      <c r="W22" s="21"/>
      <c r="X22" s="21"/>
      <c r="Y22" s="21"/>
      <c r="Z22" s="21"/>
      <c r="AA22" s="21"/>
      <c r="AB22" s="11"/>
      <c r="AC22" s="11"/>
      <c r="AD22" s="11"/>
      <c r="AE22" s="11"/>
      <c r="AF22" s="11"/>
      <c r="AG22" s="11"/>
      <c r="AH22" s="11"/>
      <c r="AI22" s="11"/>
    </row>
    <row r="23" spans="2:35" ht="12.75">
      <c r="B23" s="7" t="s">
        <v>202</v>
      </c>
      <c r="D23" s="7" t="s">
        <v>114</v>
      </c>
      <c r="E23" s="21" t="s">
        <v>61</v>
      </c>
      <c r="F23" s="21">
        <v>0.5</v>
      </c>
      <c r="G23" s="21" t="s">
        <v>61</v>
      </c>
      <c r="H23" s="21">
        <v>0.5</v>
      </c>
      <c r="I23" s="21" t="s">
        <v>61</v>
      </c>
      <c r="J23" s="21">
        <v>0.5</v>
      </c>
      <c r="K23" s="11"/>
      <c r="L23" s="21">
        <v>0.5</v>
      </c>
      <c r="T23" s="21"/>
      <c r="U23" s="21"/>
      <c r="V23" s="21"/>
      <c r="W23" s="21"/>
      <c r="X23" s="21"/>
      <c r="Y23" s="21"/>
      <c r="Z23" s="21"/>
      <c r="AA23" s="21"/>
      <c r="AB23" s="11"/>
      <c r="AC23" s="11"/>
      <c r="AD23" s="11"/>
      <c r="AE23" s="11"/>
      <c r="AF23" s="11"/>
      <c r="AG23" s="11"/>
      <c r="AH23" s="11"/>
      <c r="AI23" s="11"/>
    </row>
    <row r="24" spans="2:35" ht="12.75">
      <c r="B24" s="7" t="s">
        <v>180</v>
      </c>
      <c r="D24" s="7" t="s">
        <v>114</v>
      </c>
      <c r="E24" s="21" t="s">
        <v>61</v>
      </c>
      <c r="F24" s="21">
        <v>0.5</v>
      </c>
      <c r="G24" s="21" t="s">
        <v>61</v>
      </c>
      <c r="H24" s="21">
        <v>0.5</v>
      </c>
      <c r="I24" s="21" t="s">
        <v>61</v>
      </c>
      <c r="J24" s="21">
        <v>0.5</v>
      </c>
      <c r="K24" s="11"/>
      <c r="L24" s="21">
        <v>0.5</v>
      </c>
      <c r="T24" s="21"/>
      <c r="U24" s="21"/>
      <c r="V24" s="21"/>
      <c r="W24" s="21"/>
      <c r="X24" s="21"/>
      <c r="Y24" s="21"/>
      <c r="Z24" s="21"/>
      <c r="AA24" s="21"/>
      <c r="AB24" s="11"/>
      <c r="AC24" s="11"/>
      <c r="AD24" s="11"/>
      <c r="AE24" s="11"/>
      <c r="AF24" s="11"/>
      <c r="AG24" s="11"/>
      <c r="AH24" s="11"/>
      <c r="AI24" s="11"/>
    </row>
    <row r="25" spans="5:35" ht="12.75">
      <c r="E25" s="11"/>
      <c r="F25" s="11"/>
      <c r="G25" s="11"/>
      <c r="H25" s="11"/>
      <c r="I25" s="11"/>
      <c r="J25" s="11"/>
      <c r="K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2:36" ht="12.75">
      <c r="B26" s="7" t="s">
        <v>129</v>
      </c>
      <c r="E26" s="11"/>
      <c r="F26" s="21">
        <f>emiss!$G$15</f>
        <v>28273</v>
      </c>
      <c r="G26" s="11"/>
      <c r="H26" s="24">
        <f>emiss!$I$15</f>
        <v>27821</v>
      </c>
      <c r="I26" s="11"/>
      <c r="J26" s="21">
        <f>emiss!$K$15</f>
        <v>26126</v>
      </c>
      <c r="K26" s="11"/>
      <c r="L26" s="43">
        <f>emiss!$M$15</f>
        <v>27406.666666666668</v>
      </c>
      <c r="M26" s="14"/>
      <c r="N26" s="21">
        <f>emiss!$G$15</f>
        <v>28273</v>
      </c>
      <c r="O26" s="11"/>
      <c r="P26" s="24">
        <f>emiss!$I$15</f>
        <v>27821</v>
      </c>
      <c r="Q26" s="11"/>
      <c r="R26" s="21">
        <f>emiss!$K$15</f>
        <v>26126</v>
      </c>
      <c r="S26" s="11"/>
      <c r="T26" s="43">
        <f>emiss!$M$15</f>
        <v>27406.666666666668</v>
      </c>
      <c r="U26" s="14"/>
      <c r="V26" s="14"/>
      <c r="W26" s="14"/>
      <c r="X26" s="14"/>
      <c r="Y26" s="14"/>
      <c r="Z26" s="14"/>
      <c r="AA26" s="14"/>
      <c r="AB26" s="11"/>
      <c r="AC26" s="11"/>
      <c r="AD26" s="21">
        <f>emiss!$G$15</f>
        <v>28273</v>
      </c>
      <c r="AE26" s="11"/>
      <c r="AF26" s="24">
        <f>emiss!$I$15</f>
        <v>27821</v>
      </c>
      <c r="AG26" s="11"/>
      <c r="AH26" s="21">
        <f>emiss!$K$15</f>
        <v>26126</v>
      </c>
      <c r="AI26" s="11"/>
      <c r="AJ26" s="43">
        <f>emiss!$M$15</f>
        <v>27406.666666666668</v>
      </c>
    </row>
    <row r="27" spans="2:36" ht="12.75">
      <c r="B27" s="7" t="s">
        <v>130</v>
      </c>
      <c r="E27" s="11"/>
      <c r="F27" s="21">
        <f>emiss!$G$16</f>
        <v>9.5</v>
      </c>
      <c r="G27" s="11"/>
      <c r="H27" s="21">
        <f>emiss!$I$16</f>
        <v>9.2</v>
      </c>
      <c r="I27" s="11"/>
      <c r="J27" s="21">
        <f>emiss!$K$16</f>
        <v>9.1</v>
      </c>
      <c r="K27" s="11"/>
      <c r="L27" s="43">
        <f>emiss!$M$16</f>
        <v>9.266666666666666</v>
      </c>
      <c r="M27" s="14"/>
      <c r="N27" s="21">
        <f>emiss!$G$16</f>
        <v>9.5</v>
      </c>
      <c r="O27" s="11"/>
      <c r="P27" s="21">
        <f>emiss!$I$16</f>
        <v>9.2</v>
      </c>
      <c r="Q27" s="11"/>
      <c r="R27" s="21">
        <f>emiss!$K$16</f>
        <v>9.1</v>
      </c>
      <c r="S27" s="11"/>
      <c r="T27" s="43">
        <f>emiss!$M$16</f>
        <v>9.266666666666666</v>
      </c>
      <c r="U27" s="14"/>
      <c r="V27" s="14"/>
      <c r="W27" s="14"/>
      <c r="X27" s="14"/>
      <c r="Y27" s="14"/>
      <c r="Z27" s="14"/>
      <c r="AA27" s="14"/>
      <c r="AB27" s="11"/>
      <c r="AC27" s="11"/>
      <c r="AD27" s="21">
        <f>emiss!$G$16</f>
        <v>9.5</v>
      </c>
      <c r="AE27" s="11"/>
      <c r="AF27" s="21">
        <f>emiss!$I$16</f>
        <v>9.2</v>
      </c>
      <c r="AG27" s="11"/>
      <c r="AH27" s="21">
        <f>emiss!$K$16</f>
        <v>9.1</v>
      </c>
      <c r="AI27" s="11"/>
      <c r="AJ27" s="43">
        <f>emiss!$M$16</f>
        <v>9.266666666666666</v>
      </c>
    </row>
    <row r="29" spans="2:36" ht="12.75">
      <c r="B29" s="7" t="s">
        <v>131</v>
      </c>
      <c r="D29" s="7" t="s">
        <v>115</v>
      </c>
      <c r="AJ29" s="14">
        <f>AJ26*60/9000*(21-AJ27)/21</f>
        <v>102.08620811287479</v>
      </c>
    </row>
    <row r="30" ht="12.75">
      <c r="AJ30" s="14"/>
    </row>
    <row r="31" spans="2:36" ht="12.75">
      <c r="B31" s="47" t="s">
        <v>161</v>
      </c>
      <c r="C31" s="47"/>
      <c r="AJ31" s="14"/>
    </row>
    <row r="32" spans="2:36" ht="12.75">
      <c r="B32" s="7" t="s">
        <v>99</v>
      </c>
      <c r="D32" s="7" t="s">
        <v>132</v>
      </c>
      <c r="E32" s="11"/>
      <c r="F32" s="24"/>
      <c r="G32" s="11"/>
      <c r="H32" s="24"/>
      <c r="I32" s="11"/>
      <c r="J32" s="11"/>
      <c r="K32" s="11"/>
      <c r="N32" s="21">
        <f>N13*454/N26/60/0.0283*1000*(21-7)/(21-N27)</f>
        <v>234.05280362118953</v>
      </c>
      <c r="P32" s="21">
        <f>P13*454/P26/60/0.0283*1000*(21-7)/(21-P27)</f>
        <v>218.12549461622493</v>
      </c>
      <c r="R32" s="21">
        <f>R13*454/R26/60/0.0283*1000*(21-7)/(21-R27)</f>
        <v>224.78671294119536</v>
      </c>
      <c r="T32" s="43">
        <f>AVERAGE(R32,P32,N32)</f>
        <v>225.65500372620326</v>
      </c>
      <c r="U32" s="24"/>
      <c r="V32" s="24"/>
      <c r="W32" s="24"/>
      <c r="X32" s="24"/>
      <c r="Y32" s="24"/>
      <c r="Z32" s="24"/>
      <c r="AA32" s="24"/>
      <c r="AD32" s="25">
        <f>SUM(V32,N32,F32)</f>
        <v>234.05280362118953</v>
      </c>
      <c r="AF32" s="25">
        <f>SUM(X32,P32,H32)</f>
        <v>218.12549461622493</v>
      </c>
      <c r="AH32" s="25">
        <f>SUM(Z32,R32,J32)</f>
        <v>224.78671294119536</v>
      </c>
      <c r="AJ32" s="25">
        <f>SUM(AB32,T32,L32)</f>
        <v>225.65500372620326</v>
      </c>
    </row>
    <row r="33" spans="2:36" ht="12.75">
      <c r="B33" s="7" t="s">
        <v>100</v>
      </c>
      <c r="D33" s="7" t="s">
        <v>128</v>
      </c>
      <c r="E33" s="11"/>
      <c r="F33" s="24"/>
      <c r="G33" s="11"/>
      <c r="H33" s="24"/>
      <c r="I33" s="11"/>
      <c r="J33" s="11"/>
      <c r="K33" s="11"/>
      <c r="L33" s="24"/>
      <c r="M33" s="24"/>
      <c r="N33" s="24">
        <f>N14*454/N26/60/0.0283*1000000*(21-7)/(21-N27)</f>
        <v>142066.48286696896</v>
      </c>
      <c r="O33" s="24"/>
      <c r="P33" s="24">
        <f>P14*454/P26/60/0.0283*1000000*(21-7)/(21-P27)</f>
        <v>132266.37415306896</v>
      </c>
      <c r="Q33" s="24"/>
      <c r="R33" s="24">
        <f>R14*454/R26/60/0.0283*1000000*(21-7)/(21-R27)</f>
        <v>136413.14716784912</v>
      </c>
      <c r="S33" s="24"/>
      <c r="T33" s="43">
        <f>AVERAGE(R33,P33,N33)</f>
        <v>136915.3347292957</v>
      </c>
      <c r="U33" s="24"/>
      <c r="V33" s="24"/>
      <c r="W33" s="24"/>
      <c r="X33" s="24"/>
      <c r="Y33" s="24"/>
      <c r="Z33" s="24"/>
      <c r="AA33" s="24"/>
      <c r="AD33" s="25">
        <f>SUM(V33,N33,F33)</f>
        <v>142066.48286696896</v>
      </c>
      <c r="AF33" s="25">
        <f>SUM(X33,P33,H33)</f>
        <v>132266.37415306896</v>
      </c>
      <c r="AH33" s="25">
        <f>SUM(Z33,R33,J33)</f>
        <v>136413.14716784912</v>
      </c>
      <c r="AJ33" s="25">
        <f>SUM(AB33,T33,L33)</f>
        <v>136915.3347292957</v>
      </c>
    </row>
    <row r="34" spans="2:36" ht="12.75">
      <c r="B34" s="7" t="s">
        <v>172</v>
      </c>
      <c r="D34" s="7" t="s">
        <v>128</v>
      </c>
      <c r="E34" s="11">
        <v>100</v>
      </c>
      <c r="F34" s="24">
        <f>(F15*F$9*0.000001)*454/F$26/60/0.0283*1000000*(21-7)/(21-F$27)</f>
        <v>46.73860646832878</v>
      </c>
      <c r="G34" s="11">
        <v>100</v>
      </c>
      <c r="H34" s="24">
        <f>(H15*H$9*0.000001)*454/H$26/60/0.0283*1000000*(21-7)/(21-H$27)</f>
        <v>46.1963116276861</v>
      </c>
      <c r="I34" s="11">
        <v>100</v>
      </c>
      <c r="J34" s="24">
        <f aca="true" t="shared" si="0" ref="J34:J43">(J15*J$9*0.000001)*454/J$26/60/0.0283*1000000*(21-7)/(21-J$27)</f>
        <v>48.761981114721</v>
      </c>
      <c r="K34" s="24">
        <f aca="true" t="shared" si="1" ref="K34:K43">AVERAGE(I34*J34,G34*H34,E34*F34)/L34</f>
        <v>100</v>
      </c>
      <c r="L34" s="43">
        <f aca="true" t="shared" si="2" ref="L34:L43">AVERAGE(J34,H34,F34)</f>
        <v>47.23229973691196</v>
      </c>
      <c r="M34" s="24"/>
      <c r="N34" s="24"/>
      <c r="O34" s="24"/>
      <c r="P34" s="24"/>
      <c r="Q34" s="24"/>
      <c r="R34" s="24"/>
      <c r="S34" s="24"/>
      <c r="AC34" s="2">
        <f>E34</f>
        <v>100</v>
      </c>
      <c r="AD34" s="14">
        <f>SUM(V34,N34,F34)</f>
        <v>46.73860646832878</v>
      </c>
      <c r="AE34" s="2">
        <f>G34</f>
        <v>100</v>
      </c>
      <c r="AF34" s="14">
        <f>SUM(X34,P34,H34)</f>
        <v>46.1963116276861</v>
      </c>
      <c r="AG34" s="2">
        <f>I34</f>
        <v>100</v>
      </c>
      <c r="AH34" s="14">
        <f>SUM(Z34,R34,J34)</f>
        <v>48.761981114721</v>
      </c>
      <c r="AI34" s="2">
        <f>K34</f>
        <v>100</v>
      </c>
      <c r="AJ34" s="14">
        <f aca="true" t="shared" si="3" ref="AJ34:AJ46">SUM(AB34,T34,L34)</f>
        <v>47.23229973691196</v>
      </c>
    </row>
    <row r="35" spans="2:36" ht="12.75">
      <c r="B35" s="7" t="s">
        <v>173</v>
      </c>
      <c r="D35" s="7" t="s">
        <v>128</v>
      </c>
      <c r="E35" s="11">
        <v>100</v>
      </c>
      <c r="F35" s="24">
        <f aca="true" t="shared" si="4" ref="F35:H43">(F16*F$9*0.000001)*454/F$26/60/0.0283*1000000*(21-7)/(21-F$27)</f>
        <v>18.695442587331513</v>
      </c>
      <c r="G35" s="11">
        <v>100</v>
      </c>
      <c r="H35" s="24">
        <f t="shared" si="4"/>
        <v>18.47852465107444</v>
      </c>
      <c r="I35" s="11">
        <v>100</v>
      </c>
      <c r="J35" s="24">
        <f t="shared" si="0"/>
        <v>19.5047924458884</v>
      </c>
      <c r="K35" s="24">
        <f t="shared" si="1"/>
        <v>99.99999999999999</v>
      </c>
      <c r="L35" s="43">
        <f t="shared" si="2"/>
        <v>18.892919894764784</v>
      </c>
      <c r="M35" s="24"/>
      <c r="N35" s="24"/>
      <c r="O35" s="24"/>
      <c r="P35" s="24"/>
      <c r="Q35" s="24"/>
      <c r="R35" s="24"/>
      <c r="S35" s="24"/>
      <c r="AC35" s="2">
        <f>E35</f>
        <v>100</v>
      </c>
      <c r="AD35" s="14">
        <f aca="true" t="shared" si="5" ref="AD35:AD43">SUM(V35,N35,F35)</f>
        <v>18.695442587331513</v>
      </c>
      <c r="AE35" s="2">
        <f>G35</f>
        <v>100</v>
      </c>
      <c r="AF35" s="14">
        <f aca="true" t="shared" si="6" ref="AF35:AF43">SUM(X35,P35,H35)</f>
        <v>18.47852465107444</v>
      </c>
      <c r="AG35" s="2">
        <f>I35</f>
        <v>100</v>
      </c>
      <c r="AH35" s="14">
        <f aca="true" t="shared" si="7" ref="AH35:AH43">SUM(Z35,R35,J35)</f>
        <v>19.5047924458884</v>
      </c>
      <c r="AI35" s="2">
        <f>K35</f>
        <v>99.99999999999999</v>
      </c>
      <c r="AJ35" s="14">
        <f t="shared" si="3"/>
        <v>18.892919894764784</v>
      </c>
    </row>
    <row r="36" spans="2:36" ht="12.75">
      <c r="B36" s="7" t="s">
        <v>174</v>
      </c>
      <c r="D36" s="7" t="s">
        <v>128</v>
      </c>
      <c r="E36" s="11">
        <v>100</v>
      </c>
      <c r="F36" s="24">
        <f t="shared" si="4"/>
        <v>31.159070978885854</v>
      </c>
      <c r="G36" s="11">
        <v>100</v>
      </c>
      <c r="H36" s="24">
        <f t="shared" si="4"/>
        <v>30.797541085124074</v>
      </c>
      <c r="I36" s="11">
        <v>100</v>
      </c>
      <c r="J36" s="24">
        <f t="shared" si="0"/>
        <v>32.507987409814</v>
      </c>
      <c r="K36" s="24">
        <f t="shared" si="1"/>
        <v>100.00000000000001</v>
      </c>
      <c r="L36" s="43">
        <f t="shared" si="2"/>
        <v>31.488199824607975</v>
      </c>
      <c r="M36" s="24"/>
      <c r="N36" s="24"/>
      <c r="O36" s="24"/>
      <c r="P36" s="24"/>
      <c r="Q36" s="24"/>
      <c r="R36" s="24"/>
      <c r="S36" s="24"/>
      <c r="AC36" s="2">
        <f aca="true" t="shared" si="8" ref="AC36:AI43">E36</f>
        <v>100</v>
      </c>
      <c r="AD36" s="14">
        <f t="shared" si="5"/>
        <v>31.159070978885854</v>
      </c>
      <c r="AE36" s="2">
        <f t="shared" si="8"/>
        <v>100</v>
      </c>
      <c r="AF36" s="14">
        <f t="shared" si="6"/>
        <v>30.797541085124074</v>
      </c>
      <c r="AG36" s="2">
        <f t="shared" si="8"/>
        <v>100</v>
      </c>
      <c r="AH36" s="14">
        <f t="shared" si="7"/>
        <v>32.507987409814</v>
      </c>
      <c r="AI36" s="2">
        <f t="shared" si="8"/>
        <v>100.00000000000001</v>
      </c>
      <c r="AJ36" s="14">
        <f t="shared" si="3"/>
        <v>31.488199824607975</v>
      </c>
    </row>
    <row r="37" spans="2:36" ht="12.75">
      <c r="B37" s="7" t="s">
        <v>175</v>
      </c>
      <c r="D37" s="7" t="s">
        <v>128</v>
      </c>
      <c r="E37" s="11">
        <v>100</v>
      </c>
      <c r="F37" s="24">
        <f t="shared" si="4"/>
        <v>3.1159070978885866</v>
      </c>
      <c r="G37" s="11">
        <v>100</v>
      </c>
      <c r="H37" s="24">
        <f t="shared" si="4"/>
        <v>3.079754108512407</v>
      </c>
      <c r="I37" s="11">
        <v>100</v>
      </c>
      <c r="J37" s="24">
        <f t="shared" si="0"/>
        <v>3.2507987409814003</v>
      </c>
      <c r="K37" s="24">
        <f t="shared" si="1"/>
        <v>99.99999999999999</v>
      </c>
      <c r="L37" s="43">
        <f t="shared" si="2"/>
        <v>3.148819982460798</v>
      </c>
      <c r="M37" s="24"/>
      <c r="N37" s="24"/>
      <c r="O37" s="24"/>
      <c r="P37" s="24"/>
      <c r="Q37" s="24"/>
      <c r="R37" s="24"/>
      <c r="S37" s="24"/>
      <c r="AC37" s="2">
        <f t="shared" si="8"/>
        <v>100</v>
      </c>
      <c r="AD37" s="14">
        <f t="shared" si="5"/>
        <v>3.1159070978885866</v>
      </c>
      <c r="AE37" s="2">
        <f t="shared" si="8"/>
        <v>100</v>
      </c>
      <c r="AF37" s="14">
        <f t="shared" si="6"/>
        <v>3.079754108512407</v>
      </c>
      <c r="AG37" s="2">
        <f t="shared" si="8"/>
        <v>100</v>
      </c>
      <c r="AH37" s="14">
        <f t="shared" si="7"/>
        <v>3.2507987409814003</v>
      </c>
      <c r="AI37" s="2">
        <f t="shared" si="8"/>
        <v>99.99999999999999</v>
      </c>
      <c r="AJ37" s="14">
        <f t="shared" si="3"/>
        <v>3.148819982460798</v>
      </c>
    </row>
    <row r="38" spans="2:36" ht="12.75">
      <c r="B38" s="7" t="s">
        <v>176</v>
      </c>
      <c r="D38" s="7" t="s">
        <v>128</v>
      </c>
      <c r="E38" s="11">
        <v>100</v>
      </c>
      <c r="F38" s="24">
        <f t="shared" si="4"/>
        <v>15.579535489442927</v>
      </c>
      <c r="G38" s="11">
        <v>100</v>
      </c>
      <c r="H38" s="24">
        <f t="shared" si="4"/>
        <v>15.398770542562037</v>
      </c>
      <c r="I38" s="11">
        <v>100</v>
      </c>
      <c r="J38" s="24">
        <f t="shared" si="0"/>
        <v>16.253993704907</v>
      </c>
      <c r="K38" s="24">
        <f t="shared" si="1"/>
        <v>100.00000000000001</v>
      </c>
      <c r="L38" s="43">
        <f t="shared" si="2"/>
        <v>15.744099912303987</v>
      </c>
      <c r="M38" s="24"/>
      <c r="N38" s="24"/>
      <c r="O38" s="24"/>
      <c r="P38" s="24"/>
      <c r="Q38" s="24"/>
      <c r="R38" s="24"/>
      <c r="S38" s="24"/>
      <c r="AC38" s="2">
        <f t="shared" si="8"/>
        <v>100</v>
      </c>
      <c r="AD38" s="14">
        <f t="shared" si="5"/>
        <v>15.579535489442927</v>
      </c>
      <c r="AE38" s="2">
        <f t="shared" si="8"/>
        <v>100</v>
      </c>
      <c r="AF38" s="14">
        <f t="shared" si="6"/>
        <v>15.398770542562037</v>
      </c>
      <c r="AG38" s="2">
        <f t="shared" si="8"/>
        <v>100</v>
      </c>
      <c r="AH38" s="14">
        <f t="shared" si="7"/>
        <v>16.253993704907</v>
      </c>
      <c r="AI38" s="2">
        <f t="shared" si="8"/>
        <v>100.00000000000001</v>
      </c>
      <c r="AJ38" s="14">
        <f t="shared" si="3"/>
        <v>15.744099912303987</v>
      </c>
    </row>
    <row r="39" spans="2:36" ht="12.75">
      <c r="B39" s="7" t="s">
        <v>200</v>
      </c>
      <c r="D39" s="7" t="s">
        <v>128</v>
      </c>
      <c r="E39" s="11">
        <v>100</v>
      </c>
      <c r="F39" s="24">
        <f t="shared" si="4"/>
        <v>31.159070978885854</v>
      </c>
      <c r="G39" s="11">
        <v>100</v>
      </c>
      <c r="H39" s="24">
        <f t="shared" si="4"/>
        <v>30.797541085124074</v>
      </c>
      <c r="I39" s="11">
        <v>100</v>
      </c>
      <c r="J39" s="24">
        <f t="shared" si="0"/>
        <v>32.507987409814</v>
      </c>
      <c r="K39" s="24">
        <f t="shared" si="1"/>
        <v>100.00000000000001</v>
      </c>
      <c r="L39" s="43">
        <f t="shared" si="2"/>
        <v>31.488199824607975</v>
      </c>
      <c r="M39" s="24"/>
      <c r="N39" s="24"/>
      <c r="O39" s="24"/>
      <c r="P39" s="24"/>
      <c r="Q39" s="24"/>
      <c r="R39" s="24"/>
      <c r="S39" s="24"/>
      <c r="AC39" s="2">
        <f t="shared" si="8"/>
        <v>100</v>
      </c>
      <c r="AD39" s="14">
        <f t="shared" si="5"/>
        <v>31.159070978885854</v>
      </c>
      <c r="AE39" s="2">
        <f t="shared" si="8"/>
        <v>100</v>
      </c>
      <c r="AF39" s="14">
        <f t="shared" si="6"/>
        <v>30.797541085124074</v>
      </c>
      <c r="AG39" s="2">
        <f t="shared" si="8"/>
        <v>100</v>
      </c>
      <c r="AH39" s="14">
        <f t="shared" si="7"/>
        <v>32.507987409814</v>
      </c>
      <c r="AI39" s="2">
        <f t="shared" si="8"/>
        <v>100.00000000000001</v>
      </c>
      <c r="AJ39" s="14">
        <f t="shared" si="3"/>
        <v>31.488199824607975</v>
      </c>
    </row>
    <row r="40" spans="2:36" ht="12.75">
      <c r="B40" s="7" t="s">
        <v>177</v>
      </c>
      <c r="D40" s="7" t="s">
        <v>128</v>
      </c>
      <c r="E40" s="11"/>
      <c r="F40" s="24">
        <f t="shared" si="4"/>
        <v>18.695442587331513</v>
      </c>
      <c r="G40" s="11"/>
      <c r="H40" s="24">
        <f t="shared" si="4"/>
        <v>18.47852465107444</v>
      </c>
      <c r="I40" s="11">
        <v>100</v>
      </c>
      <c r="J40" s="24">
        <f t="shared" si="0"/>
        <v>16.253993704907</v>
      </c>
      <c r="K40" s="24">
        <f t="shared" si="1"/>
        <v>30.42226096210649</v>
      </c>
      <c r="L40" s="43">
        <f t="shared" si="2"/>
        <v>17.809320314437652</v>
      </c>
      <c r="M40" s="24"/>
      <c r="N40" s="24"/>
      <c r="O40" s="24"/>
      <c r="P40" s="24"/>
      <c r="Q40" s="24"/>
      <c r="R40" s="24"/>
      <c r="S40" s="24"/>
      <c r="AC40" s="2">
        <f t="shared" si="8"/>
        <v>0</v>
      </c>
      <c r="AD40" s="14">
        <f t="shared" si="5"/>
        <v>18.695442587331513</v>
      </c>
      <c r="AE40" s="2">
        <f t="shared" si="8"/>
        <v>0</v>
      </c>
      <c r="AF40" s="14">
        <f t="shared" si="6"/>
        <v>18.47852465107444</v>
      </c>
      <c r="AG40" s="2">
        <f t="shared" si="8"/>
        <v>100</v>
      </c>
      <c r="AH40" s="14">
        <f t="shared" si="7"/>
        <v>16.253993704907</v>
      </c>
      <c r="AI40" s="2">
        <f t="shared" si="8"/>
        <v>30.42226096210649</v>
      </c>
      <c r="AJ40" s="14">
        <f t="shared" si="3"/>
        <v>17.809320314437652</v>
      </c>
    </row>
    <row r="41" spans="2:36" ht="12.75">
      <c r="B41" s="7" t="s">
        <v>171</v>
      </c>
      <c r="D41" s="7" t="s">
        <v>128</v>
      </c>
      <c r="E41" s="11">
        <v>100</v>
      </c>
      <c r="F41" s="24">
        <f t="shared" si="4"/>
        <v>1.2463628391554342</v>
      </c>
      <c r="G41" s="11">
        <v>100</v>
      </c>
      <c r="H41" s="24">
        <f t="shared" si="4"/>
        <v>1.231901643404963</v>
      </c>
      <c r="I41" s="11">
        <v>100</v>
      </c>
      <c r="J41" s="24">
        <f t="shared" si="0"/>
        <v>1.3003194963925602</v>
      </c>
      <c r="K41" s="24">
        <f t="shared" si="1"/>
        <v>100</v>
      </c>
      <c r="L41" s="43">
        <f t="shared" si="2"/>
        <v>1.259527992984319</v>
      </c>
      <c r="M41" s="24"/>
      <c r="N41" s="24"/>
      <c r="O41" s="24"/>
      <c r="P41" s="24"/>
      <c r="Q41" s="24"/>
      <c r="R41" s="24"/>
      <c r="S41" s="24"/>
      <c r="AC41" s="2">
        <f t="shared" si="8"/>
        <v>100</v>
      </c>
      <c r="AD41" s="14">
        <f t="shared" si="5"/>
        <v>1.2463628391554342</v>
      </c>
      <c r="AE41" s="2">
        <f t="shared" si="8"/>
        <v>100</v>
      </c>
      <c r="AF41" s="14">
        <f t="shared" si="6"/>
        <v>1.231901643404963</v>
      </c>
      <c r="AG41" s="2">
        <f t="shared" si="8"/>
        <v>100</v>
      </c>
      <c r="AH41" s="14">
        <f t="shared" si="7"/>
        <v>1.3003194963925602</v>
      </c>
      <c r="AI41" s="2">
        <f t="shared" si="8"/>
        <v>100</v>
      </c>
      <c r="AJ41" s="14">
        <f t="shared" si="3"/>
        <v>1.259527992984319</v>
      </c>
    </row>
    <row r="42" spans="2:36" ht="12.75">
      <c r="B42" s="7" t="s">
        <v>202</v>
      </c>
      <c r="D42" s="7" t="s">
        <v>128</v>
      </c>
      <c r="E42" s="11">
        <v>100</v>
      </c>
      <c r="F42" s="24">
        <f t="shared" si="4"/>
        <v>31.159070978885854</v>
      </c>
      <c r="G42" s="11">
        <v>100</v>
      </c>
      <c r="H42" s="24">
        <f t="shared" si="4"/>
        <v>30.797541085124074</v>
      </c>
      <c r="I42" s="11">
        <v>100</v>
      </c>
      <c r="J42" s="24">
        <f t="shared" si="0"/>
        <v>32.507987409814</v>
      </c>
      <c r="K42" s="24">
        <f t="shared" si="1"/>
        <v>100.00000000000001</v>
      </c>
      <c r="L42" s="43">
        <f t="shared" si="2"/>
        <v>31.488199824607975</v>
      </c>
      <c r="M42" s="24"/>
      <c r="N42" s="24"/>
      <c r="O42" s="24"/>
      <c r="P42" s="24"/>
      <c r="Q42" s="24"/>
      <c r="R42" s="24"/>
      <c r="S42" s="24"/>
      <c r="AC42" s="2">
        <f t="shared" si="8"/>
        <v>100</v>
      </c>
      <c r="AD42" s="14">
        <f t="shared" si="5"/>
        <v>31.159070978885854</v>
      </c>
      <c r="AE42" s="2">
        <f t="shared" si="8"/>
        <v>100</v>
      </c>
      <c r="AF42" s="14">
        <f t="shared" si="6"/>
        <v>30.797541085124074</v>
      </c>
      <c r="AG42" s="2">
        <f t="shared" si="8"/>
        <v>100</v>
      </c>
      <c r="AH42" s="14">
        <f t="shared" si="7"/>
        <v>32.507987409814</v>
      </c>
      <c r="AI42" s="2">
        <f t="shared" si="8"/>
        <v>100.00000000000001</v>
      </c>
      <c r="AJ42" s="14">
        <f t="shared" si="3"/>
        <v>31.488199824607975</v>
      </c>
    </row>
    <row r="43" spans="2:36" ht="12.75">
      <c r="B43" s="7" t="s">
        <v>180</v>
      </c>
      <c r="D43" s="7" t="s">
        <v>128</v>
      </c>
      <c r="E43" s="11">
        <v>100</v>
      </c>
      <c r="F43" s="24">
        <f t="shared" si="4"/>
        <v>31.159070978885854</v>
      </c>
      <c r="G43" s="11">
        <v>100</v>
      </c>
      <c r="H43" s="24">
        <f t="shared" si="4"/>
        <v>30.797541085124074</v>
      </c>
      <c r="I43" s="11">
        <v>100</v>
      </c>
      <c r="J43" s="24">
        <f t="shared" si="0"/>
        <v>32.507987409814</v>
      </c>
      <c r="K43" s="24">
        <f t="shared" si="1"/>
        <v>100.00000000000001</v>
      </c>
      <c r="L43" s="43">
        <f t="shared" si="2"/>
        <v>31.488199824607975</v>
      </c>
      <c r="M43" s="24"/>
      <c r="N43" s="24"/>
      <c r="O43" s="24"/>
      <c r="P43" s="24"/>
      <c r="Q43" s="24"/>
      <c r="R43" s="24"/>
      <c r="S43" s="24"/>
      <c r="AC43" s="2">
        <f t="shared" si="8"/>
        <v>100</v>
      </c>
      <c r="AD43" s="14">
        <f t="shared" si="5"/>
        <v>31.159070978885854</v>
      </c>
      <c r="AE43" s="2">
        <f t="shared" si="8"/>
        <v>100</v>
      </c>
      <c r="AF43" s="14">
        <f t="shared" si="6"/>
        <v>30.797541085124074</v>
      </c>
      <c r="AG43" s="2">
        <f t="shared" si="8"/>
        <v>100</v>
      </c>
      <c r="AH43" s="14">
        <f t="shared" si="7"/>
        <v>32.507987409814</v>
      </c>
      <c r="AI43" s="2">
        <f t="shared" si="8"/>
        <v>100.00000000000001</v>
      </c>
      <c r="AJ43" s="14">
        <f t="shared" si="3"/>
        <v>31.488199824607975</v>
      </c>
    </row>
    <row r="44" spans="5:36" ht="12.75">
      <c r="E44" s="11"/>
      <c r="F44" s="24"/>
      <c r="G44" s="11"/>
      <c r="H44" s="24"/>
      <c r="I44" s="11"/>
      <c r="J44" s="24"/>
      <c r="K44" s="11"/>
      <c r="L44" s="43"/>
      <c r="M44" s="24"/>
      <c r="N44" s="24"/>
      <c r="O44" s="24"/>
      <c r="P44" s="24"/>
      <c r="Q44" s="24"/>
      <c r="R44" s="24"/>
      <c r="S44" s="24"/>
      <c r="AD44" s="14"/>
      <c r="AE44" s="14"/>
      <c r="AF44" s="14"/>
      <c r="AG44" s="14"/>
      <c r="AH44" s="14"/>
      <c r="AI44" s="14"/>
      <c r="AJ44" s="14"/>
    </row>
    <row r="45" spans="2:36" ht="12.75">
      <c r="B45" s="7" t="s">
        <v>137</v>
      </c>
      <c r="D45" s="7" t="s">
        <v>128</v>
      </c>
      <c r="E45" s="24">
        <f>(E40*F40+E38*F38)/F45</f>
        <v>45.45454545454545</v>
      </c>
      <c r="F45" s="24">
        <f>F40+F38</f>
        <v>34.27497807677444</v>
      </c>
      <c r="G45" s="24">
        <f>(G40*H40+G38*H38)/H45</f>
        <v>45.45454545454546</v>
      </c>
      <c r="H45" s="24">
        <f>H40+H38</f>
        <v>33.87729519363648</v>
      </c>
      <c r="I45" s="24">
        <f>(I40*J40+I38*J38)/J45</f>
        <v>100</v>
      </c>
      <c r="J45" s="24">
        <f>J40+J38</f>
        <v>32.507987409814</v>
      </c>
      <c r="K45" s="24">
        <f>(K40*L40+K38*L38)/L45</f>
        <v>63.06986790298574</v>
      </c>
      <c r="L45" s="43">
        <f>AVERAGE(J45,H45,F45)</f>
        <v>33.55342022674164</v>
      </c>
      <c r="M45" s="24"/>
      <c r="N45" s="24"/>
      <c r="O45" s="24"/>
      <c r="P45" s="24"/>
      <c r="Q45" s="24"/>
      <c r="R45" s="24"/>
      <c r="S45" s="24"/>
      <c r="AC45" s="24">
        <f>(AC40*AD40+AC38*AD38)/AD45</f>
        <v>45.45454545454545</v>
      </c>
      <c r="AD45" s="14">
        <f>SUM(V45,N45,F45)</f>
        <v>34.27497807677444</v>
      </c>
      <c r="AE45" s="24">
        <f>(AE40*AF40+AE38*AF38)/AF45</f>
        <v>45.45454545454546</v>
      </c>
      <c r="AF45" s="14">
        <f>SUM(X45,P45,H45)</f>
        <v>33.87729519363648</v>
      </c>
      <c r="AG45" s="24">
        <f>(AG40*AH40+AG38*AH38)/AH45</f>
        <v>100</v>
      </c>
      <c r="AH45" s="14">
        <f>SUM(Z45,R45,J45)</f>
        <v>32.507987409814</v>
      </c>
      <c r="AI45" s="24">
        <f>(AI40*AJ40+AI38*AJ38)/AJ45</f>
        <v>63.06986790298574</v>
      </c>
      <c r="AJ45" s="14">
        <f t="shared" si="3"/>
        <v>33.55342022674164</v>
      </c>
    </row>
    <row r="46" spans="2:36" ht="12.75">
      <c r="B46" s="7" t="s">
        <v>138</v>
      </c>
      <c r="D46" s="7" t="s">
        <v>128</v>
      </c>
      <c r="E46" s="24">
        <f>(E35*F35+E37*F37+E39*F39)/F46</f>
        <v>99.99999999999999</v>
      </c>
      <c r="F46" s="24">
        <f>(F35+F37+F39)</f>
        <v>52.97042066410596</v>
      </c>
      <c r="G46" s="24">
        <f>(G35*H35+G37*H37+G39*H39)/H46</f>
        <v>100</v>
      </c>
      <c r="H46" s="24">
        <f>(H35+H37+H39)</f>
        <v>52.35581984471092</v>
      </c>
      <c r="I46" s="24">
        <f>(I35*J35+I37*J37+I39*J39)/J46</f>
        <v>100</v>
      </c>
      <c r="J46" s="24">
        <f>(J35+J37+J39)</f>
        <v>55.2635785966838</v>
      </c>
      <c r="K46" s="24">
        <f>(K35*L35+K37*L37+K39*L39)/L46</f>
        <v>99.99999999999999</v>
      </c>
      <c r="L46" s="43">
        <f>AVERAGE(J46,H46,F46)</f>
        <v>53.52993970183356</v>
      </c>
      <c r="M46" s="24"/>
      <c r="N46" s="24"/>
      <c r="O46" s="24"/>
      <c r="P46" s="24"/>
      <c r="Q46" s="24"/>
      <c r="R46" s="24"/>
      <c r="S46" s="24"/>
      <c r="AC46" s="24">
        <f>(AC35*AD35+AC37*AD37+AC39*AD39)/AD46</f>
        <v>99.99999999999999</v>
      </c>
      <c r="AD46" s="14">
        <f>SUM(V46,N46,F46)</f>
        <v>52.97042066410596</v>
      </c>
      <c r="AE46" s="24">
        <f>(AE35*AF35+AE37*AF37+AE39*AF39)/AF46</f>
        <v>100</v>
      </c>
      <c r="AF46" s="14">
        <f>SUM(X46,P46,H46)</f>
        <v>52.35581984471092</v>
      </c>
      <c r="AG46" s="24">
        <f>(AG35*AH35+AG37*AH37+AG39*AH39)/AH46</f>
        <v>100</v>
      </c>
      <c r="AH46" s="14">
        <f>SUM(Z46,R46,J46)</f>
        <v>55.2635785966838</v>
      </c>
      <c r="AI46" s="24">
        <f>(AI35*AJ35+AI37*AJ37+AI39*AJ39)/AJ46</f>
        <v>99.99999999999999</v>
      </c>
      <c r="AJ46" s="14">
        <f t="shared" si="3"/>
        <v>53.52993970183356</v>
      </c>
    </row>
    <row r="49" spans="1:36" ht="12.75">
      <c r="A49" s="2" t="s">
        <v>211</v>
      </c>
      <c r="B49" s="23" t="s">
        <v>204</v>
      </c>
      <c r="C49" s="23" t="s">
        <v>184</v>
      </c>
      <c r="F49" s="2" t="s">
        <v>215</v>
      </c>
      <c r="H49" s="2" t="s">
        <v>216</v>
      </c>
      <c r="J49" s="2" t="s">
        <v>217</v>
      </c>
      <c r="L49" s="21" t="s">
        <v>90</v>
      </c>
      <c r="N49" s="2" t="s">
        <v>215</v>
      </c>
      <c r="O49" s="2"/>
      <c r="P49" s="2" t="s">
        <v>216</v>
      </c>
      <c r="Q49" s="2"/>
      <c r="R49" s="2" t="s">
        <v>217</v>
      </c>
      <c r="S49" s="2"/>
      <c r="T49" s="21" t="s">
        <v>90</v>
      </c>
      <c r="V49" s="2" t="s">
        <v>215</v>
      </c>
      <c r="X49" s="2" t="s">
        <v>216</v>
      </c>
      <c r="Z49" s="2" t="s">
        <v>217</v>
      </c>
      <c r="AB49" s="21" t="s">
        <v>90</v>
      </c>
      <c r="AD49" s="2" t="s">
        <v>215</v>
      </c>
      <c r="AF49" s="2" t="s">
        <v>216</v>
      </c>
      <c r="AH49" s="2" t="s">
        <v>217</v>
      </c>
      <c r="AJ49" s="21" t="s">
        <v>90</v>
      </c>
    </row>
    <row r="51" spans="2:36" ht="12.75">
      <c r="B51" s="7" t="s">
        <v>234</v>
      </c>
      <c r="F51" s="11" t="s">
        <v>236</v>
      </c>
      <c r="H51" s="11" t="s">
        <v>236</v>
      </c>
      <c r="J51" s="11" t="s">
        <v>236</v>
      </c>
      <c r="L51" s="11" t="s">
        <v>236</v>
      </c>
      <c r="N51" s="11" t="s">
        <v>238</v>
      </c>
      <c r="P51" s="11" t="s">
        <v>238</v>
      </c>
      <c r="R51" s="11" t="s">
        <v>238</v>
      </c>
      <c r="T51" s="11" t="s">
        <v>238</v>
      </c>
      <c r="V51" s="11" t="s">
        <v>239</v>
      </c>
      <c r="X51" s="11" t="s">
        <v>239</v>
      </c>
      <c r="Z51" s="11" t="s">
        <v>239</v>
      </c>
      <c r="AB51" s="11" t="s">
        <v>239</v>
      </c>
      <c r="AD51" s="11" t="s">
        <v>241</v>
      </c>
      <c r="AF51" s="11" t="s">
        <v>241</v>
      </c>
      <c r="AH51" s="11" t="s">
        <v>241</v>
      </c>
      <c r="AJ51" s="11" t="s">
        <v>241</v>
      </c>
    </row>
    <row r="52" spans="2:36" ht="12.75">
      <c r="B52" s="7" t="s">
        <v>235</v>
      </c>
      <c r="F52" s="11" t="s">
        <v>237</v>
      </c>
      <c r="H52" s="11" t="s">
        <v>237</v>
      </c>
      <c r="J52" s="11" t="s">
        <v>237</v>
      </c>
      <c r="L52" s="11" t="s">
        <v>237</v>
      </c>
      <c r="N52" s="11" t="s">
        <v>93</v>
      </c>
      <c r="P52" s="11" t="s">
        <v>93</v>
      </c>
      <c r="R52" s="11" t="s">
        <v>93</v>
      </c>
      <c r="T52" s="11" t="s">
        <v>93</v>
      </c>
      <c r="V52" s="11" t="s">
        <v>240</v>
      </c>
      <c r="X52" s="11" t="s">
        <v>240</v>
      </c>
      <c r="Z52" s="11" t="s">
        <v>240</v>
      </c>
      <c r="AB52" s="11" t="s">
        <v>240</v>
      </c>
      <c r="AD52" s="11" t="s">
        <v>56</v>
      </c>
      <c r="AF52" s="11" t="s">
        <v>56</v>
      </c>
      <c r="AH52" s="11" t="s">
        <v>56</v>
      </c>
      <c r="AJ52" s="11" t="s">
        <v>56</v>
      </c>
    </row>
    <row r="53" spans="2:36" ht="12.75">
      <c r="B53" s="7" t="s">
        <v>242</v>
      </c>
      <c r="F53" s="11" t="s">
        <v>136</v>
      </c>
      <c r="H53" s="11" t="s">
        <v>136</v>
      </c>
      <c r="J53" s="11" t="s">
        <v>136</v>
      </c>
      <c r="L53" s="11" t="s">
        <v>136</v>
      </c>
      <c r="N53" s="11" t="s">
        <v>93</v>
      </c>
      <c r="P53" s="11" t="s">
        <v>93</v>
      </c>
      <c r="R53" s="11" t="s">
        <v>93</v>
      </c>
      <c r="T53" s="11" t="s">
        <v>93</v>
      </c>
      <c r="V53" s="11" t="s">
        <v>243</v>
      </c>
      <c r="X53" s="11" t="s">
        <v>243</v>
      </c>
      <c r="Z53" s="11" t="s">
        <v>243</v>
      </c>
      <c r="AB53" s="11" t="s">
        <v>243</v>
      </c>
      <c r="AD53" s="11" t="s">
        <v>56</v>
      </c>
      <c r="AF53" s="11" t="s">
        <v>56</v>
      </c>
      <c r="AH53" s="11" t="s">
        <v>56</v>
      </c>
      <c r="AJ53" s="11" t="s">
        <v>56</v>
      </c>
    </row>
    <row r="54" spans="2:36" ht="12.75">
      <c r="B54" s="7" t="s">
        <v>91</v>
      </c>
      <c r="F54" s="21" t="s">
        <v>113</v>
      </c>
      <c r="H54" s="21" t="s">
        <v>113</v>
      </c>
      <c r="J54" s="21" t="s">
        <v>113</v>
      </c>
      <c r="L54" s="21" t="s">
        <v>113</v>
      </c>
      <c r="N54" s="21" t="s">
        <v>93</v>
      </c>
      <c r="P54" s="21" t="s">
        <v>93</v>
      </c>
      <c r="R54" s="21" t="s">
        <v>93</v>
      </c>
      <c r="T54" s="21" t="s">
        <v>93</v>
      </c>
      <c r="U54" s="21"/>
      <c r="V54" s="21" t="s">
        <v>92</v>
      </c>
      <c r="W54" s="21"/>
      <c r="X54" s="21" t="s">
        <v>92</v>
      </c>
      <c r="Y54" s="21"/>
      <c r="Z54" s="21" t="s">
        <v>92</v>
      </c>
      <c r="AA54" s="21"/>
      <c r="AB54" s="21" t="s">
        <v>92</v>
      </c>
      <c r="AC54" s="21"/>
      <c r="AD54" s="21" t="s">
        <v>56</v>
      </c>
      <c r="AE54" s="21"/>
      <c r="AF54" s="21" t="s">
        <v>56</v>
      </c>
      <c r="AG54" s="21"/>
      <c r="AH54" s="21" t="s">
        <v>56</v>
      </c>
      <c r="AI54" s="21"/>
      <c r="AJ54" s="21" t="s">
        <v>56</v>
      </c>
    </row>
    <row r="55" spans="2:20" ht="12.75">
      <c r="B55" s="7" t="s">
        <v>212</v>
      </c>
      <c r="D55" s="7" t="s">
        <v>37</v>
      </c>
      <c r="F55" s="2">
        <v>4952</v>
      </c>
      <c r="H55" s="2">
        <v>4952</v>
      </c>
      <c r="J55" s="2">
        <v>4953</v>
      </c>
      <c r="L55" s="21">
        <v>5000</v>
      </c>
      <c r="N55" s="21">
        <v>43.62</v>
      </c>
      <c r="P55" s="21">
        <v>45.88</v>
      </c>
      <c r="R55" s="21">
        <v>44.06</v>
      </c>
      <c r="T55" s="2">
        <v>44</v>
      </c>
    </row>
    <row r="56" spans="2:36" ht="12.75">
      <c r="B56" s="7" t="s">
        <v>95</v>
      </c>
      <c r="D56" s="7" t="s">
        <v>96</v>
      </c>
      <c r="F56" s="21">
        <v>15209.3</v>
      </c>
      <c r="G56" s="21"/>
      <c r="H56" s="21">
        <v>16179.7</v>
      </c>
      <c r="I56" s="21"/>
      <c r="J56" s="21">
        <v>15854</v>
      </c>
      <c r="L56" s="21">
        <v>15854</v>
      </c>
      <c r="AD56" s="25"/>
      <c r="AF56" s="25"/>
      <c r="AH56" s="25"/>
      <c r="AJ56" s="25"/>
    </row>
    <row r="57" spans="2:35" ht="12.75">
      <c r="B57" s="7" t="s">
        <v>97</v>
      </c>
      <c r="D57" s="7" t="s">
        <v>98</v>
      </c>
      <c r="E57" s="11"/>
      <c r="F57" s="21">
        <v>0.02</v>
      </c>
      <c r="G57" s="21"/>
      <c r="H57" s="21">
        <v>0.02</v>
      </c>
      <c r="I57" s="21"/>
      <c r="J57" s="21">
        <v>0.03</v>
      </c>
      <c r="K57" s="11"/>
      <c r="L57" s="21">
        <v>0.02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12.75">
      <c r="B58" s="7" t="s">
        <v>99</v>
      </c>
      <c r="D58" s="7" t="s">
        <v>37</v>
      </c>
      <c r="E58" s="11" t="s">
        <v>61</v>
      </c>
      <c r="F58" s="11"/>
      <c r="G58" s="11"/>
      <c r="H58" s="11"/>
      <c r="I58" s="11"/>
      <c r="J58" s="11"/>
      <c r="K58" s="11"/>
      <c r="L58" s="21">
        <v>0</v>
      </c>
      <c r="N58" s="21">
        <v>13.38</v>
      </c>
      <c r="P58" s="21">
        <v>13.15</v>
      </c>
      <c r="R58" s="21">
        <v>13.21</v>
      </c>
      <c r="T58" s="21">
        <v>13.2</v>
      </c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 ht="12.75">
      <c r="B59" s="7" t="s">
        <v>100</v>
      </c>
      <c r="D59" s="7" t="s">
        <v>37</v>
      </c>
      <c r="E59" s="11" t="s">
        <v>61</v>
      </c>
      <c r="F59" s="28">
        <v>0.2</v>
      </c>
      <c r="G59" s="11"/>
      <c r="H59" s="11">
        <v>0.2</v>
      </c>
      <c r="I59" s="11"/>
      <c r="J59" s="11">
        <v>0.2</v>
      </c>
      <c r="K59" s="11"/>
      <c r="L59" s="21">
        <v>0.001</v>
      </c>
      <c r="N59" s="21">
        <v>8.1</v>
      </c>
      <c r="P59" s="21">
        <v>7.93</v>
      </c>
      <c r="R59" s="21">
        <v>8.04</v>
      </c>
      <c r="T59" s="21">
        <v>8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12" ht="12.75">
      <c r="B60" s="7" t="s">
        <v>172</v>
      </c>
      <c r="D60" s="7" t="s">
        <v>114</v>
      </c>
      <c r="E60" s="21" t="s">
        <v>61</v>
      </c>
      <c r="F60" s="21">
        <v>0.75</v>
      </c>
      <c r="G60" s="21" t="s">
        <v>61</v>
      </c>
      <c r="H60" s="21">
        <v>0.75</v>
      </c>
      <c r="I60" s="21" t="s">
        <v>61</v>
      </c>
      <c r="J60" s="21">
        <v>0.75</v>
      </c>
      <c r="K60" s="11"/>
      <c r="L60" s="21">
        <v>0.75</v>
      </c>
    </row>
    <row r="61" spans="2:27" ht="12.75">
      <c r="B61" s="7" t="s">
        <v>173</v>
      </c>
      <c r="D61" s="7" t="s">
        <v>114</v>
      </c>
      <c r="E61" s="21" t="s">
        <v>61</v>
      </c>
      <c r="F61" s="21">
        <v>0.3</v>
      </c>
      <c r="G61" s="21" t="s">
        <v>61</v>
      </c>
      <c r="H61" s="21">
        <v>0.3</v>
      </c>
      <c r="I61" s="21" t="s">
        <v>61</v>
      </c>
      <c r="J61" s="21">
        <v>0.3</v>
      </c>
      <c r="K61" s="11"/>
      <c r="L61" s="21">
        <v>0.3</v>
      </c>
      <c r="T61" s="21"/>
      <c r="U61" s="21"/>
      <c r="V61" s="21"/>
      <c r="W61" s="21"/>
      <c r="X61" s="21"/>
      <c r="Y61" s="21"/>
      <c r="Z61" s="21"/>
      <c r="AA61" s="21"/>
    </row>
    <row r="62" spans="2:27" ht="12.75">
      <c r="B62" s="7" t="s">
        <v>174</v>
      </c>
      <c r="D62" s="7" t="s">
        <v>114</v>
      </c>
      <c r="E62" s="21" t="s">
        <v>61</v>
      </c>
      <c r="F62" s="21">
        <v>0.5</v>
      </c>
      <c r="G62" s="21" t="s">
        <v>61</v>
      </c>
      <c r="H62" s="21">
        <v>0.5</v>
      </c>
      <c r="I62" s="21" t="s">
        <v>61</v>
      </c>
      <c r="J62" s="21">
        <v>0.5</v>
      </c>
      <c r="K62" s="11"/>
      <c r="L62" s="21">
        <v>0.5</v>
      </c>
      <c r="T62" s="21"/>
      <c r="U62" s="21"/>
      <c r="V62" s="21"/>
      <c r="W62" s="21"/>
      <c r="X62" s="21"/>
      <c r="Y62" s="21"/>
      <c r="Z62" s="21"/>
      <c r="AA62" s="21"/>
    </row>
    <row r="63" spans="2:27" ht="12.75">
      <c r="B63" s="7" t="s">
        <v>175</v>
      </c>
      <c r="D63" s="7" t="s">
        <v>114</v>
      </c>
      <c r="E63" s="21" t="s">
        <v>61</v>
      </c>
      <c r="F63" s="21">
        <v>0.05</v>
      </c>
      <c r="G63" s="21" t="s">
        <v>61</v>
      </c>
      <c r="H63" s="21">
        <v>0.05</v>
      </c>
      <c r="I63" s="21" t="s">
        <v>61</v>
      </c>
      <c r="J63" s="21">
        <v>0.05</v>
      </c>
      <c r="K63" s="11"/>
      <c r="L63" s="21">
        <v>0.05</v>
      </c>
      <c r="T63" s="21"/>
      <c r="U63" s="21"/>
      <c r="V63" s="21"/>
      <c r="W63" s="21"/>
      <c r="X63" s="21"/>
      <c r="Y63" s="21"/>
      <c r="Z63" s="21"/>
      <c r="AA63" s="21"/>
    </row>
    <row r="64" spans="2:27" ht="12.75">
      <c r="B64" s="7" t="s">
        <v>176</v>
      </c>
      <c r="D64" s="7" t="s">
        <v>114</v>
      </c>
      <c r="E64" s="21" t="s">
        <v>61</v>
      </c>
      <c r="F64" s="21">
        <v>0.25</v>
      </c>
      <c r="G64" s="21" t="s">
        <v>61</v>
      </c>
      <c r="H64" s="21">
        <v>0.25</v>
      </c>
      <c r="I64" s="21" t="s">
        <v>61</v>
      </c>
      <c r="J64" s="21">
        <v>0.25</v>
      </c>
      <c r="K64" s="11"/>
      <c r="L64" s="21">
        <v>0.25</v>
      </c>
      <c r="T64" s="21"/>
      <c r="U64" s="21"/>
      <c r="V64" s="21"/>
      <c r="W64" s="21"/>
      <c r="X64" s="21"/>
      <c r="Y64" s="21"/>
      <c r="Z64" s="21"/>
      <c r="AA64" s="21"/>
    </row>
    <row r="65" spans="2:27" ht="12.75">
      <c r="B65" s="7" t="s">
        <v>200</v>
      </c>
      <c r="D65" s="7" t="s">
        <v>114</v>
      </c>
      <c r="E65" s="21" t="s">
        <v>61</v>
      </c>
      <c r="F65" s="21">
        <v>0.5</v>
      </c>
      <c r="G65" s="21" t="s">
        <v>61</v>
      </c>
      <c r="H65" s="21">
        <v>0.5</v>
      </c>
      <c r="I65" s="21" t="s">
        <v>61</v>
      </c>
      <c r="J65" s="21">
        <v>0.5</v>
      </c>
      <c r="K65" s="11"/>
      <c r="L65" s="21">
        <v>0.5</v>
      </c>
      <c r="T65" s="21"/>
      <c r="U65" s="21"/>
      <c r="V65" s="21"/>
      <c r="W65" s="21"/>
      <c r="X65" s="21"/>
      <c r="Y65" s="21"/>
      <c r="Z65" s="21"/>
      <c r="AA65" s="21"/>
    </row>
    <row r="66" spans="2:35" ht="12.75">
      <c r="B66" s="7" t="s">
        <v>177</v>
      </c>
      <c r="D66" s="7" t="s">
        <v>114</v>
      </c>
      <c r="E66" s="21"/>
      <c r="F66" s="21">
        <v>0.3</v>
      </c>
      <c r="G66" s="21"/>
      <c r="H66" s="21">
        <v>0.3</v>
      </c>
      <c r="I66" s="21"/>
      <c r="J66" s="21">
        <v>0.3</v>
      </c>
      <c r="K66" s="11"/>
      <c r="L66" s="21">
        <v>0.3</v>
      </c>
      <c r="T66" s="21"/>
      <c r="U66" s="21"/>
      <c r="V66" s="21"/>
      <c r="W66" s="21"/>
      <c r="X66" s="21"/>
      <c r="Y66" s="21"/>
      <c r="Z66" s="21"/>
      <c r="AA66" s="21"/>
      <c r="AB66" s="11"/>
      <c r="AC66" s="11"/>
      <c r="AD66" s="11"/>
      <c r="AE66" s="11"/>
      <c r="AF66" s="11"/>
      <c r="AG66" s="11"/>
      <c r="AH66" s="11"/>
      <c r="AI66" s="11"/>
    </row>
    <row r="67" spans="2:35" ht="12.75">
      <c r="B67" s="7" t="s">
        <v>171</v>
      </c>
      <c r="D67" s="7" t="s">
        <v>114</v>
      </c>
      <c r="E67" s="21" t="s">
        <v>61</v>
      </c>
      <c r="F67" s="21">
        <v>0.02</v>
      </c>
      <c r="G67" s="21" t="s">
        <v>61</v>
      </c>
      <c r="H67" s="21">
        <v>0.02</v>
      </c>
      <c r="I67" s="21" t="s">
        <v>61</v>
      </c>
      <c r="J67" s="21">
        <v>0.02</v>
      </c>
      <c r="K67" s="11"/>
      <c r="L67" s="21">
        <v>0.02</v>
      </c>
      <c r="T67" s="21"/>
      <c r="U67" s="21"/>
      <c r="V67" s="21"/>
      <c r="W67" s="21"/>
      <c r="X67" s="21"/>
      <c r="Y67" s="21"/>
      <c r="Z67" s="21"/>
      <c r="AA67" s="21"/>
      <c r="AB67" s="11"/>
      <c r="AC67" s="11"/>
      <c r="AD67" s="11"/>
      <c r="AE67" s="11"/>
      <c r="AF67" s="11"/>
      <c r="AG67" s="11"/>
      <c r="AH67" s="11"/>
      <c r="AI67" s="11"/>
    </row>
    <row r="68" spans="2:35" ht="12.75">
      <c r="B68" s="7" t="s">
        <v>202</v>
      </c>
      <c r="D68" s="7" t="s">
        <v>114</v>
      </c>
      <c r="E68" s="21" t="s">
        <v>61</v>
      </c>
      <c r="F68" s="21">
        <v>0.5</v>
      </c>
      <c r="G68" s="21" t="s">
        <v>61</v>
      </c>
      <c r="H68" s="21">
        <v>0.5</v>
      </c>
      <c r="I68" s="21" t="s">
        <v>61</v>
      </c>
      <c r="J68" s="21">
        <v>0.5</v>
      </c>
      <c r="K68" s="11"/>
      <c r="L68" s="21">
        <v>0.5</v>
      </c>
      <c r="T68" s="21"/>
      <c r="U68" s="21"/>
      <c r="V68" s="21"/>
      <c r="W68" s="21"/>
      <c r="X68" s="21"/>
      <c r="Y68" s="21"/>
      <c r="Z68" s="21"/>
      <c r="AA68" s="21"/>
      <c r="AB68" s="11"/>
      <c r="AC68" s="11"/>
      <c r="AD68" s="11"/>
      <c r="AE68" s="11"/>
      <c r="AF68" s="11"/>
      <c r="AG68" s="11"/>
      <c r="AH68" s="11"/>
      <c r="AI68" s="11"/>
    </row>
    <row r="69" spans="2:35" ht="12.75">
      <c r="B69" s="7" t="s">
        <v>180</v>
      </c>
      <c r="D69" s="7" t="s">
        <v>114</v>
      </c>
      <c r="E69" s="21" t="s">
        <v>61</v>
      </c>
      <c r="F69" s="21">
        <v>0.5</v>
      </c>
      <c r="G69" s="21" t="s">
        <v>61</v>
      </c>
      <c r="H69" s="21">
        <v>0.5</v>
      </c>
      <c r="I69" s="21" t="s">
        <v>61</v>
      </c>
      <c r="J69" s="21">
        <v>0.5</v>
      </c>
      <c r="K69" s="11"/>
      <c r="L69" s="21">
        <v>0.5</v>
      </c>
      <c r="T69" s="21"/>
      <c r="U69" s="21"/>
      <c r="V69" s="21"/>
      <c r="W69" s="21"/>
      <c r="X69" s="21"/>
      <c r="Y69" s="21"/>
      <c r="Z69" s="21"/>
      <c r="AA69" s="21"/>
      <c r="AB69" s="11"/>
      <c r="AC69" s="11"/>
      <c r="AD69" s="11"/>
      <c r="AE69" s="11"/>
      <c r="AF69" s="11"/>
      <c r="AG69" s="11"/>
      <c r="AH69" s="11"/>
      <c r="AI69" s="11"/>
    </row>
    <row r="70" spans="5:35" ht="12.75">
      <c r="E70" s="11"/>
      <c r="F70" s="11"/>
      <c r="G70" s="11"/>
      <c r="H70" s="11"/>
      <c r="I70" s="11"/>
      <c r="J70" s="11"/>
      <c r="K70" s="11"/>
      <c r="T70" s="21"/>
      <c r="U70" s="21"/>
      <c r="V70" s="21"/>
      <c r="W70" s="21"/>
      <c r="X70" s="21"/>
      <c r="Y70" s="21"/>
      <c r="Z70" s="21"/>
      <c r="AA70" s="21"/>
      <c r="AB70" s="11"/>
      <c r="AC70" s="11"/>
      <c r="AD70" s="11"/>
      <c r="AE70" s="11"/>
      <c r="AF70" s="11"/>
      <c r="AG70" s="11"/>
      <c r="AH70" s="11"/>
      <c r="AI70" s="11"/>
    </row>
    <row r="71" spans="2:36" ht="12.75">
      <c r="B71" s="7" t="s">
        <v>129</v>
      </c>
      <c r="E71" s="11"/>
      <c r="F71" s="21">
        <f>emiss!$G$35</f>
        <v>27000</v>
      </c>
      <c r="G71" s="11"/>
      <c r="H71" s="21">
        <f>emiss!$I$35</f>
        <v>27000</v>
      </c>
      <c r="I71" s="11"/>
      <c r="J71" s="21">
        <f>emiss!$K$35</f>
        <v>27000</v>
      </c>
      <c r="K71" s="11"/>
      <c r="L71" s="24">
        <f>emiss!$M$35</f>
        <v>27000</v>
      </c>
      <c r="M71" s="14"/>
      <c r="N71" s="21">
        <f>emiss!$G$35</f>
        <v>27000</v>
      </c>
      <c r="O71" s="11"/>
      <c r="P71" s="21">
        <f>emiss!$I$35</f>
        <v>27000</v>
      </c>
      <c r="Q71" s="11"/>
      <c r="R71" s="21">
        <f>emiss!$K$35</f>
        <v>27000</v>
      </c>
      <c r="S71" s="11"/>
      <c r="T71" s="24">
        <f>emiss!$M$35</f>
        <v>27000</v>
      </c>
      <c r="U71" s="14"/>
      <c r="V71" s="14"/>
      <c r="W71" s="14"/>
      <c r="X71" s="14"/>
      <c r="Y71" s="14"/>
      <c r="Z71" s="14"/>
      <c r="AA71" s="14"/>
      <c r="AB71" s="11"/>
      <c r="AC71" s="11"/>
      <c r="AD71" s="21">
        <f>emiss!$G$35</f>
        <v>27000</v>
      </c>
      <c r="AE71" s="11"/>
      <c r="AF71" s="21">
        <f>emiss!$I$35</f>
        <v>27000</v>
      </c>
      <c r="AG71" s="11"/>
      <c r="AH71" s="21">
        <f>emiss!$K$35</f>
        <v>27000</v>
      </c>
      <c r="AI71" s="11"/>
      <c r="AJ71" s="24">
        <f>emiss!$M$35</f>
        <v>27000</v>
      </c>
    </row>
    <row r="72" spans="2:36" ht="12.75">
      <c r="B72" s="7" t="s">
        <v>130</v>
      </c>
      <c r="E72" s="11"/>
      <c r="F72" s="21">
        <f>emiss!$G$16</f>
        <v>9.5</v>
      </c>
      <c r="G72" s="11"/>
      <c r="H72" s="21">
        <f>emiss!$I$16</f>
        <v>9.2</v>
      </c>
      <c r="I72" s="11"/>
      <c r="J72" s="21">
        <f>emiss!$K$16</f>
        <v>9.1</v>
      </c>
      <c r="K72" s="11"/>
      <c r="L72" s="43">
        <f>emiss!$M$16</f>
        <v>9.266666666666666</v>
      </c>
      <c r="M72" s="14"/>
      <c r="N72" s="21">
        <f>emiss!$G$16</f>
        <v>9.5</v>
      </c>
      <c r="O72" s="11"/>
      <c r="P72" s="21">
        <f>emiss!$I$16</f>
        <v>9.2</v>
      </c>
      <c r="Q72" s="11"/>
      <c r="R72" s="21">
        <f>emiss!$K$16</f>
        <v>9.1</v>
      </c>
      <c r="S72" s="11"/>
      <c r="T72" s="43">
        <f>emiss!$M$16</f>
        <v>9.266666666666666</v>
      </c>
      <c r="U72" s="14"/>
      <c r="V72" s="14"/>
      <c r="W72" s="14"/>
      <c r="X72" s="14"/>
      <c r="Y72" s="14"/>
      <c r="Z72" s="14"/>
      <c r="AA72" s="14"/>
      <c r="AB72" s="11"/>
      <c r="AC72" s="11"/>
      <c r="AD72" s="21">
        <f>emiss!$G$16</f>
        <v>9.5</v>
      </c>
      <c r="AE72" s="11"/>
      <c r="AF72" s="21">
        <f>emiss!$I$16</f>
        <v>9.2</v>
      </c>
      <c r="AG72" s="11"/>
      <c r="AH72" s="21">
        <f>emiss!$K$16</f>
        <v>9.1</v>
      </c>
      <c r="AI72" s="11"/>
      <c r="AJ72" s="43">
        <f>emiss!$M$16</f>
        <v>9.266666666666666</v>
      </c>
    </row>
    <row r="74" spans="2:36" ht="12.75">
      <c r="B74" s="7" t="s">
        <v>94</v>
      </c>
      <c r="D74" s="7" t="s">
        <v>115</v>
      </c>
      <c r="F74" s="14">
        <f>F55*F56/1000000</f>
        <v>75.31645359999999</v>
      </c>
      <c r="H74" s="14">
        <f>H55*H56/1000000</f>
        <v>80.12187440000001</v>
      </c>
      <c r="J74" s="14">
        <f>J55*J56/1000000</f>
        <v>78.524862</v>
      </c>
      <c r="L74" s="14">
        <f>L55*L56/1000000</f>
        <v>79.27</v>
      </c>
      <c r="AD74" s="14">
        <f>V74+F74</f>
        <v>75.31645359999999</v>
      </c>
      <c r="AF74" s="14">
        <f>X74+H74</f>
        <v>80.12187440000001</v>
      </c>
      <c r="AH74" s="14">
        <f>Z74+J74</f>
        <v>78.524862</v>
      </c>
      <c r="AJ74" s="14">
        <f>AB74+L74</f>
        <v>79.27</v>
      </c>
    </row>
    <row r="75" spans="2:36" ht="12.75">
      <c r="B75" s="7" t="s">
        <v>131</v>
      </c>
      <c r="D75" s="7" t="s">
        <v>115</v>
      </c>
      <c r="AD75" s="14">
        <f>AD71/9000*(21-AD72)/21*60</f>
        <v>98.57142857142857</v>
      </c>
      <c r="AF75" s="14">
        <f>AF71/9000*(21-AF72)/21*60</f>
        <v>101.14285714285715</v>
      </c>
      <c r="AH75" s="14">
        <f>AH71/9000*(21-AH72)/21*60</f>
        <v>102.00000000000001</v>
      </c>
      <c r="AJ75" s="14">
        <f>AJ71/9000*(21-AJ72)/21*60</f>
        <v>100.57142857142857</v>
      </c>
    </row>
    <row r="76" ht="12.75">
      <c r="AJ76" s="14"/>
    </row>
    <row r="77" spans="2:36" ht="12.75">
      <c r="B77" s="47" t="s">
        <v>161</v>
      </c>
      <c r="C77" s="47"/>
      <c r="AJ77" s="14"/>
    </row>
    <row r="78" spans="2:36" ht="12.75">
      <c r="B78" s="7" t="s">
        <v>99</v>
      </c>
      <c r="D78" s="7" t="s">
        <v>132</v>
      </c>
      <c r="E78" s="11"/>
      <c r="F78" s="24"/>
      <c r="G78" s="11"/>
      <c r="H78" s="24"/>
      <c r="I78" s="11"/>
      <c r="J78" s="11"/>
      <c r="K78" s="11"/>
      <c r="L78" s="21">
        <f>L58*454/L71/60/0.0283*1000*(21-7)/(21-L72)</f>
        <v>0</v>
      </c>
      <c r="N78" s="43">
        <f>N58*454/N$71/60/0.0283*1000*(21-7)/(21-N$72)</f>
        <v>161.30235628161583</v>
      </c>
      <c r="O78" s="43"/>
      <c r="P78" s="43">
        <f>P58*454/P$71/60/0.0283*1000*(21-7)/(21-P$72)</f>
        <v>154.49918185938628</v>
      </c>
      <c r="R78" s="21">
        <f>R58*454/R$71/60/0.0283*1000*(21-7)/(21-R$72)</f>
        <v>153.89988478050557</v>
      </c>
      <c r="T78" s="43">
        <f>AVERAGE(R78,P78,N78)</f>
        <v>156.5671409738359</v>
      </c>
      <c r="U78" s="24"/>
      <c r="V78" s="24"/>
      <c r="W78" s="24"/>
      <c r="X78" s="24"/>
      <c r="Y78" s="24"/>
      <c r="Z78" s="24"/>
      <c r="AA78" s="24"/>
      <c r="AC78" s="2">
        <f>E78</f>
        <v>0</v>
      </c>
      <c r="AD78" s="25">
        <f>SUM(V78,N78,F78)</f>
        <v>161.30235628161583</v>
      </c>
      <c r="AE78" s="2">
        <f>G78</f>
        <v>0</v>
      </c>
      <c r="AF78" s="25">
        <f>SUM(X78,P78,H78)</f>
        <v>154.49918185938628</v>
      </c>
      <c r="AG78" s="2">
        <f>I78</f>
        <v>0</v>
      </c>
      <c r="AH78" s="25">
        <f>SUM(Z78,R78,J78)</f>
        <v>153.89988478050557</v>
      </c>
      <c r="AI78" s="2">
        <f>K78</f>
        <v>0</v>
      </c>
      <c r="AJ78" s="25">
        <f>SUM(AB78,T78,L78)</f>
        <v>156.5671409738359</v>
      </c>
    </row>
    <row r="79" spans="2:36" ht="12.75">
      <c r="B79" s="7" t="s">
        <v>100</v>
      </c>
      <c r="D79" s="7" t="s">
        <v>128</v>
      </c>
      <c r="E79" s="11"/>
      <c r="F79" s="24"/>
      <c r="G79" s="11"/>
      <c r="H79" s="24"/>
      <c r="I79" s="11"/>
      <c r="J79" s="11"/>
      <c r="K79" s="11"/>
      <c r="L79" s="24"/>
      <c r="M79" s="24"/>
      <c r="N79" s="24">
        <f>N59*454/N$71/60/0.0283*1000000*(21-7)/(21-N$72)</f>
        <v>97649.40851129204</v>
      </c>
      <c r="O79" s="24"/>
      <c r="P79" s="24">
        <f>P59*454/P$71/60/0.0283*1000000*(21-7)/(21-P$72)</f>
        <v>93169.46860417743</v>
      </c>
      <c r="Q79" s="24"/>
      <c r="R79" s="24">
        <f>R59*454/R$71/60/0.0283*1000000*(21-7)/(21-R$72)</f>
        <v>93668.06007836979</v>
      </c>
      <c r="S79" s="24"/>
      <c r="T79" s="43">
        <f>AVERAGE(R79,P79,N79)</f>
        <v>94828.97906461307</v>
      </c>
      <c r="U79" s="24"/>
      <c r="V79" s="24"/>
      <c r="W79" s="24"/>
      <c r="X79" s="24"/>
      <c r="Y79" s="24"/>
      <c r="Z79" s="24"/>
      <c r="AA79" s="24"/>
      <c r="AC79" s="2">
        <f aca="true" t="shared" si="9" ref="AC79:AI89">E79</f>
        <v>0</v>
      </c>
      <c r="AD79" s="25">
        <f>SUM(V79,N79,F79)</f>
        <v>97649.40851129204</v>
      </c>
      <c r="AE79" s="2">
        <f t="shared" si="9"/>
        <v>0</v>
      </c>
      <c r="AF79" s="25">
        <f>SUM(X79,P79,H79)</f>
        <v>93169.46860417743</v>
      </c>
      <c r="AG79" s="2">
        <f t="shared" si="9"/>
        <v>0</v>
      </c>
      <c r="AH79" s="25">
        <f>SUM(Z79,R79,J79)</f>
        <v>93668.06007836979</v>
      </c>
      <c r="AI79" s="2">
        <f t="shared" si="9"/>
        <v>0</v>
      </c>
      <c r="AJ79" s="25">
        <f>SUM(AB79,T79,L79)</f>
        <v>94828.97906461307</v>
      </c>
    </row>
    <row r="80" spans="2:36" ht="12.75">
      <c r="B80" s="7" t="s">
        <v>172</v>
      </c>
      <c r="D80" s="7" t="s">
        <v>128</v>
      </c>
      <c r="E80" s="11">
        <v>100</v>
      </c>
      <c r="F80" s="24">
        <f>(F60*F$55*0.000001)*454/F$71/60/0.0283*1000000*(21-7)/(21-F$72)</f>
        <v>44.774062124807244</v>
      </c>
      <c r="G80" s="11">
        <v>100</v>
      </c>
      <c r="H80" s="24">
        <f>(H60*H$55*0.000001)*454/H$71/60/0.0283*1000000*(21-7)/(21-H$72)</f>
        <v>43.63573851146469</v>
      </c>
      <c r="I80" s="11">
        <v>100</v>
      </c>
      <c r="J80" s="24">
        <f aca="true" t="shared" si="10" ref="J80:J89">(J60*J$55*0.000001)*454/J$71/60/0.0283*1000000*(21-7)/(21-J$72)</f>
        <v>43.277789325388575</v>
      </c>
      <c r="K80" s="11">
        <v>100</v>
      </c>
      <c r="L80" s="43">
        <f>AVERAGE(J80,H80,F80)</f>
        <v>43.8958633205535</v>
      </c>
      <c r="M80" s="24"/>
      <c r="N80" s="24"/>
      <c r="O80" s="24"/>
      <c r="P80" s="24"/>
      <c r="Q80" s="24"/>
      <c r="R80" s="24"/>
      <c r="S80" s="24"/>
      <c r="AC80" s="2">
        <f t="shared" si="9"/>
        <v>100</v>
      </c>
      <c r="AD80" s="14">
        <f aca="true" t="shared" si="11" ref="AD80:AD85">SUM(V80,N80,F80/2)</f>
        <v>22.387031062403622</v>
      </c>
      <c r="AE80" s="2">
        <f t="shared" si="9"/>
        <v>100</v>
      </c>
      <c r="AF80" s="14">
        <f aca="true" t="shared" si="12" ref="AF80:AF85">SUM(X80,P80,H80/2)</f>
        <v>21.817869255732344</v>
      </c>
      <c r="AG80" s="2">
        <f t="shared" si="9"/>
        <v>100</v>
      </c>
      <c r="AH80" s="14">
        <f aca="true" t="shared" si="13" ref="AH80:AH85">SUM(Z80,R80,J80/2)</f>
        <v>21.638894662694288</v>
      </c>
      <c r="AI80" s="2">
        <f t="shared" si="9"/>
        <v>100</v>
      </c>
      <c r="AJ80" s="14">
        <f>SUM(AB80,T80,L80)</f>
        <v>43.8958633205535</v>
      </c>
    </row>
    <row r="81" spans="2:36" ht="12.75">
      <c r="B81" s="7" t="s">
        <v>173</v>
      </c>
      <c r="D81" s="7" t="s">
        <v>128</v>
      </c>
      <c r="E81" s="11">
        <v>100</v>
      </c>
      <c r="F81" s="24">
        <f aca="true" t="shared" si="14" ref="F81:H89">(F61*F$55*0.000001)*454/F$71/60/0.0283*1000000*(21-7)/(21-F$72)</f>
        <v>17.909624849922896</v>
      </c>
      <c r="G81" s="11">
        <v>100</v>
      </c>
      <c r="H81" s="24">
        <f t="shared" si="14"/>
        <v>17.45429540458587</v>
      </c>
      <c r="I81" s="11">
        <v>100</v>
      </c>
      <c r="J81" s="24">
        <f t="shared" si="10"/>
        <v>17.311115730155432</v>
      </c>
      <c r="K81" s="11">
        <v>100</v>
      </c>
      <c r="L81" s="43">
        <f aca="true" t="shared" si="15" ref="L81:L89">AVERAGE(J81,H81,F81)</f>
        <v>17.558345328221396</v>
      </c>
      <c r="M81" s="24"/>
      <c r="N81" s="24"/>
      <c r="O81" s="24"/>
      <c r="P81" s="24"/>
      <c r="Q81" s="24"/>
      <c r="R81" s="24"/>
      <c r="S81" s="24"/>
      <c r="AC81" s="2">
        <f t="shared" si="9"/>
        <v>100</v>
      </c>
      <c r="AD81" s="14">
        <f t="shared" si="11"/>
        <v>8.954812424961448</v>
      </c>
      <c r="AE81" s="2">
        <f t="shared" si="9"/>
        <v>100</v>
      </c>
      <c r="AF81" s="14">
        <f t="shared" si="12"/>
        <v>8.727147702292935</v>
      </c>
      <c r="AG81" s="2">
        <f t="shared" si="9"/>
        <v>100</v>
      </c>
      <c r="AH81" s="14">
        <f t="shared" si="13"/>
        <v>8.655557865077716</v>
      </c>
      <c r="AI81" s="2">
        <f t="shared" si="9"/>
        <v>100</v>
      </c>
      <c r="AJ81" s="14">
        <f aca="true" t="shared" si="16" ref="AJ81:AJ86">SUM(AB81,T81,L81)</f>
        <v>17.558345328221396</v>
      </c>
    </row>
    <row r="82" spans="2:36" ht="12.75">
      <c r="B82" s="7" t="s">
        <v>174</v>
      </c>
      <c r="D82" s="7" t="s">
        <v>128</v>
      </c>
      <c r="E82" s="11">
        <v>100</v>
      </c>
      <c r="F82" s="24">
        <f t="shared" si="14"/>
        <v>29.849374749871497</v>
      </c>
      <c r="G82" s="11">
        <v>100</v>
      </c>
      <c r="H82" s="24">
        <f t="shared" si="14"/>
        <v>29.090492340976457</v>
      </c>
      <c r="I82" s="11">
        <v>100</v>
      </c>
      <c r="J82" s="24">
        <f t="shared" si="10"/>
        <v>28.851859550259054</v>
      </c>
      <c r="K82" s="11">
        <v>100</v>
      </c>
      <c r="L82" s="43">
        <f t="shared" si="15"/>
        <v>29.263908880369</v>
      </c>
      <c r="M82" s="24"/>
      <c r="N82" s="24"/>
      <c r="O82" s="24"/>
      <c r="P82" s="24"/>
      <c r="Q82" s="24"/>
      <c r="R82" s="24"/>
      <c r="S82" s="24"/>
      <c r="AC82" s="2">
        <f t="shared" si="9"/>
        <v>100</v>
      </c>
      <c r="AD82" s="14">
        <f t="shared" si="11"/>
        <v>14.924687374935749</v>
      </c>
      <c r="AE82" s="2">
        <f t="shared" si="9"/>
        <v>100</v>
      </c>
      <c r="AF82" s="14">
        <f t="shared" si="12"/>
        <v>14.545246170488229</v>
      </c>
      <c r="AG82" s="2">
        <f t="shared" si="9"/>
        <v>100</v>
      </c>
      <c r="AH82" s="14">
        <f t="shared" si="13"/>
        <v>14.425929775129527</v>
      </c>
      <c r="AI82" s="2">
        <f t="shared" si="9"/>
        <v>100</v>
      </c>
      <c r="AJ82" s="14">
        <f t="shared" si="16"/>
        <v>29.263908880369</v>
      </c>
    </row>
    <row r="83" spans="2:36" ht="12.75">
      <c r="B83" s="7" t="s">
        <v>175</v>
      </c>
      <c r="D83" s="7" t="s">
        <v>128</v>
      </c>
      <c r="E83" s="11">
        <v>100</v>
      </c>
      <c r="F83" s="24">
        <f t="shared" si="14"/>
        <v>2.984937474987149</v>
      </c>
      <c r="G83" s="11">
        <v>100</v>
      </c>
      <c r="H83" s="24">
        <f t="shared" si="14"/>
        <v>2.9090492340976453</v>
      </c>
      <c r="I83" s="11">
        <v>100</v>
      </c>
      <c r="J83" s="24">
        <f t="shared" si="10"/>
        <v>2.885185955025905</v>
      </c>
      <c r="K83" s="11">
        <v>100</v>
      </c>
      <c r="L83" s="43">
        <f t="shared" si="15"/>
        <v>2.9263908880369</v>
      </c>
      <c r="M83" s="24"/>
      <c r="N83" s="24"/>
      <c r="O83" s="24"/>
      <c r="P83" s="24"/>
      <c r="Q83" s="24"/>
      <c r="R83" s="24"/>
      <c r="S83" s="24"/>
      <c r="AC83" s="2">
        <f t="shared" si="9"/>
        <v>100</v>
      </c>
      <c r="AD83" s="14">
        <f t="shared" si="11"/>
        <v>1.4924687374935746</v>
      </c>
      <c r="AE83" s="2">
        <f t="shared" si="9"/>
        <v>100</v>
      </c>
      <c r="AF83" s="14">
        <f t="shared" si="12"/>
        <v>1.4545246170488226</v>
      </c>
      <c r="AG83" s="2">
        <f t="shared" si="9"/>
        <v>100</v>
      </c>
      <c r="AH83" s="14">
        <f t="shared" si="13"/>
        <v>1.4425929775129525</v>
      </c>
      <c r="AI83" s="2">
        <f t="shared" si="9"/>
        <v>100</v>
      </c>
      <c r="AJ83" s="14">
        <f t="shared" si="16"/>
        <v>2.9263908880369</v>
      </c>
    </row>
    <row r="84" spans="2:36" ht="12.75">
      <c r="B84" s="7" t="s">
        <v>176</v>
      </c>
      <c r="D84" s="7" t="s">
        <v>128</v>
      </c>
      <c r="E84" s="11">
        <v>100</v>
      </c>
      <c r="F84" s="24">
        <f t="shared" si="14"/>
        <v>14.924687374935749</v>
      </c>
      <c r="G84" s="11">
        <v>100</v>
      </c>
      <c r="H84" s="24">
        <f t="shared" si="14"/>
        <v>14.545246170488229</v>
      </c>
      <c r="I84" s="11">
        <v>100</v>
      </c>
      <c r="J84" s="24">
        <f t="shared" si="10"/>
        <v>14.425929775129527</v>
      </c>
      <c r="K84" s="11">
        <v>100</v>
      </c>
      <c r="L84" s="43">
        <f t="shared" si="15"/>
        <v>14.6319544401845</v>
      </c>
      <c r="M84" s="24"/>
      <c r="N84" s="24"/>
      <c r="O84" s="24"/>
      <c r="P84" s="24"/>
      <c r="Q84" s="24"/>
      <c r="R84" s="24"/>
      <c r="S84" s="24"/>
      <c r="AC84" s="2">
        <f t="shared" si="9"/>
        <v>100</v>
      </c>
      <c r="AD84" s="14">
        <f t="shared" si="11"/>
        <v>7.462343687467874</v>
      </c>
      <c r="AE84" s="2">
        <f t="shared" si="9"/>
        <v>100</v>
      </c>
      <c r="AF84" s="14">
        <f t="shared" si="12"/>
        <v>7.272623085244114</v>
      </c>
      <c r="AG84" s="2">
        <f t="shared" si="9"/>
        <v>100</v>
      </c>
      <c r="AH84" s="14">
        <f t="shared" si="13"/>
        <v>7.212964887564763</v>
      </c>
      <c r="AI84" s="2">
        <f t="shared" si="9"/>
        <v>100</v>
      </c>
      <c r="AJ84" s="14">
        <f t="shared" si="16"/>
        <v>14.6319544401845</v>
      </c>
    </row>
    <row r="85" spans="2:36" ht="12.75">
      <c r="B85" s="7" t="s">
        <v>200</v>
      </c>
      <c r="D85" s="7" t="s">
        <v>128</v>
      </c>
      <c r="E85" s="11">
        <v>100</v>
      </c>
      <c r="F85" s="24">
        <f t="shared" si="14"/>
        <v>29.849374749871497</v>
      </c>
      <c r="G85" s="11">
        <v>100</v>
      </c>
      <c r="H85" s="24">
        <f t="shared" si="14"/>
        <v>29.090492340976457</v>
      </c>
      <c r="I85" s="11">
        <v>100</v>
      </c>
      <c r="J85" s="24">
        <f t="shared" si="10"/>
        <v>28.851859550259054</v>
      </c>
      <c r="K85" s="11">
        <v>100</v>
      </c>
      <c r="L85" s="43">
        <f t="shared" si="15"/>
        <v>29.263908880369</v>
      </c>
      <c r="M85" s="24"/>
      <c r="N85" s="24"/>
      <c r="O85" s="24"/>
      <c r="P85" s="24"/>
      <c r="Q85" s="24"/>
      <c r="R85" s="24"/>
      <c r="S85" s="24"/>
      <c r="AC85" s="2">
        <f t="shared" si="9"/>
        <v>100</v>
      </c>
      <c r="AD85" s="14">
        <f t="shared" si="11"/>
        <v>14.924687374935749</v>
      </c>
      <c r="AE85" s="2">
        <f t="shared" si="9"/>
        <v>100</v>
      </c>
      <c r="AF85" s="14">
        <f t="shared" si="12"/>
        <v>14.545246170488229</v>
      </c>
      <c r="AG85" s="2">
        <f t="shared" si="9"/>
        <v>100</v>
      </c>
      <c r="AH85" s="14">
        <f t="shared" si="13"/>
        <v>14.425929775129527</v>
      </c>
      <c r="AI85" s="2">
        <f t="shared" si="9"/>
        <v>100</v>
      </c>
      <c r="AJ85" s="14">
        <f t="shared" si="16"/>
        <v>29.263908880369</v>
      </c>
    </row>
    <row r="86" spans="2:36" ht="12.75">
      <c r="B86" s="7" t="s">
        <v>177</v>
      </c>
      <c r="D86" s="7" t="s">
        <v>128</v>
      </c>
      <c r="E86" s="11"/>
      <c r="F86" s="24">
        <f t="shared" si="14"/>
        <v>17.909624849922896</v>
      </c>
      <c r="G86" s="11"/>
      <c r="H86" s="24">
        <f t="shared" si="14"/>
        <v>17.45429540458587</v>
      </c>
      <c r="I86" s="11"/>
      <c r="J86" s="24">
        <f t="shared" si="10"/>
        <v>17.311115730155432</v>
      </c>
      <c r="K86" s="11"/>
      <c r="L86" s="43">
        <f t="shared" si="15"/>
        <v>17.558345328221396</v>
      </c>
      <c r="M86" s="24"/>
      <c r="N86" s="24"/>
      <c r="O86" s="24"/>
      <c r="P86" s="24"/>
      <c r="Q86" s="24"/>
      <c r="R86" s="24"/>
      <c r="S86" s="24"/>
      <c r="AC86" s="2">
        <f t="shared" si="9"/>
        <v>0</v>
      </c>
      <c r="AD86" s="14">
        <f>SUM(V86,N86,F86)</f>
        <v>17.909624849922896</v>
      </c>
      <c r="AE86" s="2">
        <f t="shared" si="9"/>
        <v>0</v>
      </c>
      <c r="AF86" s="14">
        <f>SUM(X86,P86,H86)</f>
        <v>17.45429540458587</v>
      </c>
      <c r="AG86" s="2">
        <f t="shared" si="9"/>
        <v>0</v>
      </c>
      <c r="AH86" s="14">
        <f>SUM(Z86,R86,J86)</f>
        <v>17.311115730155432</v>
      </c>
      <c r="AI86" s="2">
        <f t="shared" si="9"/>
        <v>0</v>
      </c>
      <c r="AJ86" s="14">
        <f t="shared" si="16"/>
        <v>17.558345328221396</v>
      </c>
    </row>
    <row r="87" spans="2:36" ht="12.75">
      <c r="B87" s="7" t="s">
        <v>171</v>
      </c>
      <c r="D87" s="7" t="s">
        <v>128</v>
      </c>
      <c r="E87" s="11">
        <v>100</v>
      </c>
      <c r="F87" s="24">
        <f t="shared" si="14"/>
        <v>1.19397498999486</v>
      </c>
      <c r="G87" s="11">
        <v>100</v>
      </c>
      <c r="H87" s="24">
        <f t="shared" si="14"/>
        <v>1.1636196936390584</v>
      </c>
      <c r="I87" s="11">
        <v>100</v>
      </c>
      <c r="J87" s="24">
        <f t="shared" si="10"/>
        <v>1.154074382010362</v>
      </c>
      <c r="K87" s="11">
        <v>100</v>
      </c>
      <c r="L87" s="43">
        <f t="shared" si="15"/>
        <v>1.1705563552147602</v>
      </c>
      <c r="M87" s="24"/>
      <c r="N87" s="24"/>
      <c r="O87" s="24"/>
      <c r="P87" s="24"/>
      <c r="Q87" s="24"/>
      <c r="R87" s="24"/>
      <c r="S87" s="24"/>
      <c r="AC87" s="2">
        <f t="shared" si="9"/>
        <v>100</v>
      </c>
      <c r="AD87" s="14">
        <f>SUM(V87,N87,F87/2)</f>
        <v>0.59698749499743</v>
      </c>
      <c r="AE87" s="2">
        <f t="shared" si="9"/>
        <v>100</v>
      </c>
      <c r="AF87" s="14">
        <f>SUM(X87,P87,H87/2)</f>
        <v>0.5818098468195292</v>
      </c>
      <c r="AG87" s="2">
        <f t="shared" si="9"/>
        <v>100</v>
      </c>
      <c r="AH87" s="14">
        <f>SUM(Z87,R87,J87/2)</f>
        <v>0.577037191005181</v>
      </c>
      <c r="AI87" s="2">
        <f t="shared" si="9"/>
        <v>100</v>
      </c>
      <c r="AJ87" s="14">
        <f>SUM(AB87,T87,L87)</f>
        <v>1.1705563552147602</v>
      </c>
    </row>
    <row r="88" spans="2:36" ht="12.75">
      <c r="B88" s="7" t="s">
        <v>202</v>
      </c>
      <c r="D88" s="7" t="s">
        <v>128</v>
      </c>
      <c r="E88" s="11">
        <v>100</v>
      </c>
      <c r="F88" s="24">
        <f t="shared" si="14"/>
        <v>29.849374749871497</v>
      </c>
      <c r="G88" s="11">
        <v>100</v>
      </c>
      <c r="H88" s="24">
        <f t="shared" si="14"/>
        <v>29.090492340976457</v>
      </c>
      <c r="I88" s="11">
        <v>100</v>
      </c>
      <c r="J88" s="24">
        <f t="shared" si="10"/>
        <v>28.851859550259054</v>
      </c>
      <c r="K88" s="11">
        <v>100</v>
      </c>
      <c r="L88" s="43">
        <f t="shared" si="15"/>
        <v>29.263908880369</v>
      </c>
      <c r="M88" s="24"/>
      <c r="N88" s="24"/>
      <c r="O88" s="24"/>
      <c r="P88" s="24"/>
      <c r="Q88" s="24"/>
      <c r="R88" s="24"/>
      <c r="S88" s="24"/>
      <c r="AC88" s="2">
        <f t="shared" si="9"/>
        <v>100</v>
      </c>
      <c r="AD88" s="14">
        <f>SUM(V88,N88,F88/2)</f>
        <v>14.924687374935749</v>
      </c>
      <c r="AE88" s="2">
        <f t="shared" si="9"/>
        <v>100</v>
      </c>
      <c r="AF88" s="14">
        <f>SUM(X88,P88,H88/2)</f>
        <v>14.545246170488229</v>
      </c>
      <c r="AG88" s="2">
        <f t="shared" si="9"/>
        <v>100</v>
      </c>
      <c r="AH88" s="14">
        <f>SUM(Z88,R88,J88/2)</f>
        <v>14.425929775129527</v>
      </c>
      <c r="AI88" s="2">
        <f t="shared" si="9"/>
        <v>100</v>
      </c>
      <c r="AJ88" s="14">
        <f>SUM(AB88,T88,L88)</f>
        <v>29.263908880369</v>
      </c>
    </row>
    <row r="89" spans="2:36" ht="12.75">
      <c r="B89" s="7" t="s">
        <v>180</v>
      </c>
      <c r="D89" s="7" t="s">
        <v>128</v>
      </c>
      <c r="E89" s="11">
        <v>100</v>
      </c>
      <c r="F89" s="24">
        <f t="shared" si="14"/>
        <v>29.849374749871497</v>
      </c>
      <c r="G89" s="11">
        <v>100</v>
      </c>
      <c r="H89" s="24">
        <f t="shared" si="14"/>
        <v>29.090492340976457</v>
      </c>
      <c r="I89" s="11">
        <v>100</v>
      </c>
      <c r="J89" s="24">
        <f t="shared" si="10"/>
        <v>28.851859550259054</v>
      </c>
      <c r="K89" s="11">
        <v>100</v>
      </c>
      <c r="L89" s="43">
        <f t="shared" si="15"/>
        <v>29.263908880369</v>
      </c>
      <c r="M89" s="24"/>
      <c r="N89" s="24"/>
      <c r="O89" s="24"/>
      <c r="P89" s="24"/>
      <c r="Q89" s="24"/>
      <c r="R89" s="24"/>
      <c r="S89" s="24"/>
      <c r="AC89" s="2">
        <f t="shared" si="9"/>
        <v>100</v>
      </c>
      <c r="AD89" s="14">
        <f>SUM(V89,N89,F89/2)</f>
        <v>14.924687374935749</v>
      </c>
      <c r="AE89" s="2">
        <f t="shared" si="9"/>
        <v>100</v>
      </c>
      <c r="AF89" s="14">
        <f>SUM(X89,P89,H89/2)</f>
        <v>14.545246170488229</v>
      </c>
      <c r="AG89" s="2">
        <f t="shared" si="9"/>
        <v>100</v>
      </c>
      <c r="AH89" s="14">
        <f>SUM(Z89,R89,J89/2)</f>
        <v>14.425929775129527</v>
      </c>
      <c r="AI89" s="2">
        <f t="shared" si="9"/>
        <v>100</v>
      </c>
      <c r="AJ89" s="14">
        <f>SUM(AB89,T89,L89)</f>
        <v>29.263908880369</v>
      </c>
    </row>
    <row r="90" spans="5:36" ht="12.75">
      <c r="E90" s="11"/>
      <c r="F90" s="24"/>
      <c r="G90" s="11"/>
      <c r="H90" s="24"/>
      <c r="I90" s="11"/>
      <c r="J90" s="24"/>
      <c r="K90" s="11"/>
      <c r="L90" s="43"/>
      <c r="M90" s="24"/>
      <c r="N90" s="24"/>
      <c r="O90" s="24"/>
      <c r="P90" s="24"/>
      <c r="Q90" s="24"/>
      <c r="R90" s="24"/>
      <c r="S90" s="24"/>
      <c r="AD90" s="14"/>
      <c r="AE90" s="14"/>
      <c r="AF90" s="14"/>
      <c r="AG90" s="14"/>
      <c r="AH90" s="14"/>
      <c r="AI90" s="14"/>
      <c r="AJ90" s="14"/>
    </row>
    <row r="91" spans="2:36" ht="12.75">
      <c r="B91" s="7" t="s">
        <v>137</v>
      </c>
      <c r="D91" s="7" t="s">
        <v>128</v>
      </c>
      <c r="E91" s="24">
        <f>(E86*F86+E84*F84)/F91</f>
        <v>45.45454545454546</v>
      </c>
      <c r="F91" s="24">
        <f>F86+F84</f>
        <v>32.83431222485864</v>
      </c>
      <c r="G91" s="24">
        <f>(G86*H86+G84*H84)/H91</f>
        <v>45.45454545454546</v>
      </c>
      <c r="H91" s="24">
        <f>H86+H84</f>
        <v>31.999541575074097</v>
      </c>
      <c r="I91" s="24">
        <f>(I86*J86+I84*J84)/J91</f>
        <v>45.45454545454545</v>
      </c>
      <c r="J91" s="24">
        <f>J86+J84</f>
        <v>31.73704550528496</v>
      </c>
      <c r="K91" s="24">
        <f>(K86*L86+K84*L84)/L91</f>
        <v>45.45454545454545</v>
      </c>
      <c r="L91" s="43">
        <f>AVERAGE(J91,H91,F91)</f>
        <v>32.1902997684059</v>
      </c>
      <c r="M91" s="24"/>
      <c r="N91" s="24"/>
      <c r="O91" s="24"/>
      <c r="P91" s="24"/>
      <c r="Q91" s="24"/>
      <c r="R91" s="24"/>
      <c r="S91" s="24"/>
      <c r="AC91" s="24">
        <f>(AC86*AD86+AC84*AD84)/AD91</f>
        <v>22.72727272727273</v>
      </c>
      <c r="AD91" s="25">
        <f>SUM(V91,N91,F91)</f>
        <v>32.83431222485864</v>
      </c>
      <c r="AE91" s="24">
        <f>(AE86*AF86+AE84*AF84)/AF91</f>
        <v>22.72727272727273</v>
      </c>
      <c r="AF91" s="25">
        <f>SUM(X91,P91,H91)</f>
        <v>31.999541575074097</v>
      </c>
      <c r="AG91" s="24">
        <f>(AG86*AH86+AG84*AH84)/AH91</f>
        <v>22.727272727272727</v>
      </c>
      <c r="AH91" s="25">
        <f>SUM(Z91,R91,J91)</f>
        <v>31.73704550528496</v>
      </c>
      <c r="AI91" s="24">
        <f>(AI86*AJ86+AI84*AJ84)/AJ91</f>
        <v>45.45454545454545</v>
      </c>
      <c r="AJ91" s="25">
        <f>SUM(AB91,T91,L91)</f>
        <v>32.1902997684059</v>
      </c>
    </row>
    <row r="92" spans="2:36" ht="12.75">
      <c r="B92" s="7" t="s">
        <v>138</v>
      </c>
      <c r="D92" s="7" t="s">
        <v>128</v>
      </c>
      <c r="E92" s="24">
        <f>(E81*F81+E83*F83+E85*F85)/F92</f>
        <v>100</v>
      </c>
      <c r="F92" s="24">
        <f>(F81+F83+F85)</f>
        <v>50.74393707478154</v>
      </c>
      <c r="G92" s="24">
        <f>(G81*H81+G83*H83+G85*H85)/H92</f>
        <v>100.00000000000001</v>
      </c>
      <c r="H92" s="24">
        <f>(H81+H83+H85)</f>
        <v>49.45383697965997</v>
      </c>
      <c r="I92" s="24">
        <f>(I81*J81+I83*J83+I85*J85)/J92</f>
        <v>100.00000000000001</v>
      </c>
      <c r="J92" s="24">
        <f>(J81+J83+J85)</f>
        <v>49.04816123544039</v>
      </c>
      <c r="K92" s="24">
        <f>(K81*L81+K83*L83+K85*L85)/L92</f>
        <v>99.99999999999999</v>
      </c>
      <c r="L92" s="43">
        <f>AVERAGE(J92,H92,F92)</f>
        <v>49.74864509662731</v>
      </c>
      <c r="M92" s="24"/>
      <c r="N92" s="24"/>
      <c r="O92" s="24"/>
      <c r="P92" s="24"/>
      <c r="Q92" s="24"/>
      <c r="R92" s="24"/>
      <c r="S92" s="24"/>
      <c r="AC92" s="24">
        <f>(AC81*AD81+AC83*AD83+AC85*AD85)/AD92</f>
        <v>50</v>
      </c>
      <c r="AD92" s="25">
        <f>SUM(V92,N92,F92)</f>
        <v>50.74393707478154</v>
      </c>
      <c r="AE92" s="24">
        <f>(AE81*AF81+AE83*AF83+AE85*AF85)/AF92</f>
        <v>50.00000000000001</v>
      </c>
      <c r="AF92" s="25">
        <f>SUM(X92,P92,H92)</f>
        <v>49.45383697965997</v>
      </c>
      <c r="AG92" s="24">
        <f>(AG81*AH81+AG83*AH83+AG85*AH85)/AH92</f>
        <v>50.00000000000001</v>
      </c>
      <c r="AH92" s="25">
        <f>SUM(Z92,R92,J92)</f>
        <v>49.04816123544039</v>
      </c>
      <c r="AI92" s="24">
        <f>(AI81*AJ81+AI83*AJ83+AI85*AJ85)/AJ92</f>
        <v>99.99999999999999</v>
      </c>
      <c r="AJ92" s="25">
        <f>SUM(AB92,T92,L92)</f>
        <v>49.74864509662731</v>
      </c>
    </row>
    <row r="96" spans="1:12" ht="12.75">
      <c r="A96" s="2" t="s">
        <v>211</v>
      </c>
      <c r="B96" s="23" t="s">
        <v>205</v>
      </c>
      <c r="C96" s="23" t="s">
        <v>206</v>
      </c>
      <c r="F96" s="2" t="s">
        <v>215</v>
      </c>
      <c r="H96" s="2" t="s">
        <v>216</v>
      </c>
      <c r="J96" s="2" t="s">
        <v>217</v>
      </c>
      <c r="L96" s="21" t="s">
        <v>90</v>
      </c>
    </row>
    <row r="98" spans="2:12" ht="12.75">
      <c r="B98" s="7" t="s">
        <v>234</v>
      </c>
      <c r="F98" s="11" t="s">
        <v>236</v>
      </c>
      <c r="H98" s="11" t="s">
        <v>236</v>
      </c>
      <c r="J98" s="11" t="s">
        <v>236</v>
      </c>
      <c r="L98" s="11" t="s">
        <v>236</v>
      </c>
    </row>
    <row r="99" spans="2:12" ht="12.75">
      <c r="B99" s="7" t="s">
        <v>235</v>
      </c>
      <c r="F99" s="11" t="s">
        <v>237</v>
      </c>
      <c r="H99" s="11" t="s">
        <v>237</v>
      </c>
      <c r="J99" s="11" t="s">
        <v>237</v>
      </c>
      <c r="L99" s="11" t="s">
        <v>237</v>
      </c>
    </row>
    <row r="100" spans="2:12" ht="12.75">
      <c r="B100" s="7" t="s">
        <v>242</v>
      </c>
      <c r="F100" s="11" t="s">
        <v>136</v>
      </c>
      <c r="H100" s="11" t="s">
        <v>136</v>
      </c>
      <c r="J100" s="11" t="s">
        <v>136</v>
      </c>
      <c r="L100" s="11" t="s">
        <v>136</v>
      </c>
    </row>
    <row r="101" spans="2:35" ht="12.75">
      <c r="B101" s="7" t="s">
        <v>91</v>
      </c>
      <c r="F101" s="21" t="s">
        <v>113</v>
      </c>
      <c r="H101" s="21" t="s">
        <v>113</v>
      </c>
      <c r="J101" s="21" t="s">
        <v>113</v>
      </c>
      <c r="L101" s="21" t="s">
        <v>113</v>
      </c>
      <c r="AB101" s="21"/>
      <c r="AC101" s="21"/>
      <c r="AD101" s="21"/>
      <c r="AE101" s="21"/>
      <c r="AF101" s="21"/>
      <c r="AG101" s="21"/>
      <c r="AH101" s="21"/>
      <c r="AI101" s="21"/>
    </row>
    <row r="102" spans="2:12" ht="12.75">
      <c r="B102" s="7" t="s">
        <v>212</v>
      </c>
      <c r="D102" s="7" t="s">
        <v>37</v>
      </c>
      <c r="F102" s="2">
        <v>1126.8</v>
      </c>
      <c r="H102" s="2">
        <v>1115.4</v>
      </c>
      <c r="J102" s="2">
        <v>1120.7</v>
      </c>
      <c r="L102" s="21">
        <v>1120.7</v>
      </c>
    </row>
    <row r="106" spans="1:36" ht="12.75">
      <c r="A106" s="2" t="s">
        <v>211</v>
      </c>
      <c r="B106" s="23" t="s">
        <v>207</v>
      </c>
      <c r="C106" s="7" t="s">
        <v>184</v>
      </c>
      <c r="F106" s="2" t="s">
        <v>215</v>
      </c>
      <c r="H106" s="2" t="s">
        <v>216</v>
      </c>
      <c r="J106" s="2" t="s">
        <v>217</v>
      </c>
      <c r="L106" s="21" t="s">
        <v>90</v>
      </c>
      <c r="N106" s="2" t="s">
        <v>215</v>
      </c>
      <c r="O106" s="2"/>
      <c r="P106" s="2" t="s">
        <v>216</v>
      </c>
      <c r="Q106" s="2"/>
      <c r="R106" s="2" t="s">
        <v>217</v>
      </c>
      <c r="S106" s="2"/>
      <c r="T106" s="21" t="s">
        <v>90</v>
      </c>
      <c r="V106" s="2" t="s">
        <v>215</v>
      </c>
      <c r="X106" s="2" t="s">
        <v>216</v>
      </c>
      <c r="Z106" s="2" t="s">
        <v>217</v>
      </c>
      <c r="AB106" s="21" t="s">
        <v>90</v>
      </c>
      <c r="AD106" s="2" t="s">
        <v>215</v>
      </c>
      <c r="AF106" s="2" t="s">
        <v>216</v>
      </c>
      <c r="AH106" s="2" t="s">
        <v>217</v>
      </c>
      <c r="AJ106" s="21" t="s">
        <v>90</v>
      </c>
    </row>
    <row r="108" spans="2:36" ht="12.75">
      <c r="B108" s="7" t="s">
        <v>234</v>
      </c>
      <c r="F108" s="11" t="s">
        <v>236</v>
      </c>
      <c r="H108" s="11" t="s">
        <v>236</v>
      </c>
      <c r="J108" s="11" t="s">
        <v>236</v>
      </c>
      <c r="L108" s="11" t="s">
        <v>236</v>
      </c>
      <c r="N108" s="11" t="s">
        <v>238</v>
      </c>
      <c r="P108" s="11" t="s">
        <v>238</v>
      </c>
      <c r="R108" s="11" t="s">
        <v>238</v>
      </c>
      <c r="T108" s="11" t="s">
        <v>238</v>
      </c>
      <c r="V108" s="2" t="s">
        <v>239</v>
      </c>
      <c r="X108" s="2" t="s">
        <v>239</v>
      </c>
      <c r="Z108" s="2" t="s">
        <v>239</v>
      </c>
      <c r="AB108" s="2" t="s">
        <v>239</v>
      </c>
      <c r="AD108" s="2" t="s">
        <v>241</v>
      </c>
      <c r="AF108" s="2" t="s">
        <v>241</v>
      </c>
      <c r="AH108" s="2" t="s">
        <v>241</v>
      </c>
      <c r="AJ108" s="2" t="s">
        <v>241</v>
      </c>
    </row>
    <row r="109" spans="2:36" ht="12.75">
      <c r="B109" s="7" t="s">
        <v>235</v>
      </c>
      <c r="F109" s="11" t="s">
        <v>237</v>
      </c>
      <c r="H109" s="11" t="s">
        <v>237</v>
      </c>
      <c r="J109" s="11" t="s">
        <v>237</v>
      </c>
      <c r="L109" s="11" t="s">
        <v>237</v>
      </c>
      <c r="N109" s="11" t="s">
        <v>93</v>
      </c>
      <c r="P109" s="11" t="s">
        <v>93</v>
      </c>
      <c r="R109" s="11" t="s">
        <v>93</v>
      </c>
      <c r="T109" s="11" t="s">
        <v>93</v>
      </c>
      <c r="V109" s="2" t="s">
        <v>240</v>
      </c>
      <c r="X109" s="2" t="s">
        <v>240</v>
      </c>
      <c r="Z109" s="2" t="s">
        <v>240</v>
      </c>
      <c r="AB109" s="2" t="s">
        <v>240</v>
      </c>
      <c r="AD109" s="2" t="s">
        <v>56</v>
      </c>
      <c r="AF109" s="2" t="s">
        <v>56</v>
      </c>
      <c r="AH109" s="2" t="s">
        <v>56</v>
      </c>
      <c r="AJ109" s="2" t="s">
        <v>56</v>
      </c>
    </row>
    <row r="110" spans="2:36" ht="12.75">
      <c r="B110" s="7" t="s">
        <v>242</v>
      </c>
      <c r="F110" s="11" t="s">
        <v>136</v>
      </c>
      <c r="H110" s="11" t="s">
        <v>136</v>
      </c>
      <c r="J110" s="11" t="s">
        <v>136</v>
      </c>
      <c r="L110" s="11" t="s">
        <v>136</v>
      </c>
      <c r="N110" s="11" t="s">
        <v>93</v>
      </c>
      <c r="P110" s="11" t="s">
        <v>93</v>
      </c>
      <c r="R110" s="11" t="s">
        <v>93</v>
      </c>
      <c r="T110" s="11" t="s">
        <v>93</v>
      </c>
      <c r="V110" s="28" t="s">
        <v>243</v>
      </c>
      <c r="X110" s="28" t="s">
        <v>243</v>
      </c>
      <c r="Z110" s="28" t="s">
        <v>243</v>
      </c>
      <c r="AB110" s="28" t="s">
        <v>243</v>
      </c>
      <c r="AD110" s="28" t="s">
        <v>56</v>
      </c>
      <c r="AF110" s="28" t="s">
        <v>56</v>
      </c>
      <c r="AH110" s="28" t="s">
        <v>56</v>
      </c>
      <c r="AJ110" s="28" t="s">
        <v>56</v>
      </c>
    </row>
    <row r="111" spans="2:36" ht="12.75">
      <c r="B111" s="7" t="s">
        <v>91</v>
      </c>
      <c r="F111" s="21" t="s">
        <v>113</v>
      </c>
      <c r="H111" s="21" t="s">
        <v>113</v>
      </c>
      <c r="J111" s="21" t="s">
        <v>113</v>
      </c>
      <c r="L111" s="21" t="s">
        <v>113</v>
      </c>
      <c r="N111" s="21" t="s">
        <v>93</v>
      </c>
      <c r="P111" s="21" t="s">
        <v>93</v>
      </c>
      <c r="R111" s="21" t="s">
        <v>93</v>
      </c>
      <c r="T111" s="21" t="s">
        <v>93</v>
      </c>
      <c r="U111" s="21"/>
      <c r="V111" s="21" t="s">
        <v>92</v>
      </c>
      <c r="W111" s="21"/>
      <c r="X111" s="21" t="s">
        <v>92</v>
      </c>
      <c r="Y111" s="21"/>
      <c r="Z111" s="21" t="s">
        <v>92</v>
      </c>
      <c r="AA111" s="21"/>
      <c r="AB111" s="21" t="s">
        <v>92</v>
      </c>
      <c r="AC111" s="21"/>
      <c r="AD111" s="21" t="s">
        <v>56</v>
      </c>
      <c r="AE111" s="21"/>
      <c r="AF111" s="21" t="s">
        <v>56</v>
      </c>
      <c r="AG111" s="21"/>
      <c r="AH111" s="21" t="s">
        <v>56</v>
      </c>
      <c r="AI111" s="21"/>
      <c r="AJ111" s="21" t="s">
        <v>56</v>
      </c>
    </row>
    <row r="112" spans="2:28" ht="12.75">
      <c r="B112" s="7" t="s">
        <v>212</v>
      </c>
      <c r="D112" s="7" t="s">
        <v>37</v>
      </c>
      <c r="F112" s="2">
        <v>5350</v>
      </c>
      <c r="H112" s="2">
        <v>5292</v>
      </c>
      <c r="J112" s="2">
        <v>5264</v>
      </c>
      <c r="L112" s="21">
        <v>5302</v>
      </c>
      <c r="N112" s="43">
        <v>50.36</v>
      </c>
      <c r="O112" s="43"/>
      <c r="P112" s="43">
        <v>40.88</v>
      </c>
      <c r="Q112" s="43"/>
      <c r="R112" s="43">
        <v>48.09</v>
      </c>
      <c r="T112" s="43">
        <f>AVERAGE(R112,P112,N112)</f>
        <v>46.44333333333333</v>
      </c>
      <c r="V112" s="14">
        <f>922198/454</f>
        <v>2031.273127753304</v>
      </c>
      <c r="W112" s="14"/>
      <c r="X112" s="14">
        <f>965946/454</f>
        <v>2127.6343612334804</v>
      </c>
      <c r="Y112" s="14"/>
      <c r="Z112" s="14">
        <f>920223/454</f>
        <v>2026.9229074889868</v>
      </c>
      <c r="AB112" s="14">
        <f>AVERAGE(Z112,X112,V112)</f>
        <v>2061.9434654919237</v>
      </c>
    </row>
    <row r="113" spans="2:36" ht="12.75">
      <c r="B113" s="7" t="s">
        <v>94</v>
      </c>
      <c r="D113" s="7" t="s">
        <v>115</v>
      </c>
      <c r="F113" s="2">
        <v>92.56</v>
      </c>
      <c r="H113" s="2">
        <v>96.93</v>
      </c>
      <c r="J113" s="2">
        <v>89.36</v>
      </c>
      <c r="L113" s="43">
        <f>AVERAGE(J113,H113,F113)</f>
        <v>92.95</v>
      </c>
      <c r="N113" s="2"/>
      <c r="O113" s="2"/>
      <c r="P113" s="2"/>
      <c r="Q113" s="2"/>
      <c r="R113" s="2"/>
      <c r="S113" s="2"/>
      <c r="V113" s="43">
        <v>44.12</v>
      </c>
      <c r="W113" s="43"/>
      <c r="X113" s="43">
        <v>46.21</v>
      </c>
      <c r="Y113" s="43"/>
      <c r="Z113" s="43">
        <v>44.02</v>
      </c>
      <c r="AA113" s="21"/>
      <c r="AB113" s="43">
        <f>AVERAGE(Z113,X113,V113)</f>
        <v>44.78333333333333</v>
      </c>
      <c r="AD113" s="25">
        <f>SUM(V113,F113)</f>
        <v>136.68</v>
      </c>
      <c r="AF113" s="25">
        <f>SUM(X113,H113)</f>
        <v>143.14000000000001</v>
      </c>
      <c r="AH113" s="25">
        <f>SUM(Z113,J113)</f>
        <v>133.38</v>
      </c>
      <c r="AJ113" s="25">
        <f>SUM(AB113,L113)</f>
        <v>137.73333333333335</v>
      </c>
    </row>
    <row r="114" spans="2:12" ht="12.75">
      <c r="B114" s="7" t="s">
        <v>95</v>
      </c>
      <c r="D114" s="7" t="s">
        <v>96</v>
      </c>
      <c r="F114" s="2">
        <v>17301.6</v>
      </c>
      <c r="H114" s="2">
        <v>18316.8</v>
      </c>
      <c r="J114" s="2">
        <v>17018.4</v>
      </c>
      <c r="L114" s="21">
        <v>17116</v>
      </c>
    </row>
    <row r="115" spans="2:35" ht="12.75">
      <c r="B115" s="7" t="s">
        <v>97</v>
      </c>
      <c r="D115" s="7" t="s">
        <v>98</v>
      </c>
      <c r="E115" s="11"/>
      <c r="F115" s="11">
        <v>0.04</v>
      </c>
      <c r="G115" s="11"/>
      <c r="H115" s="11">
        <v>0.03</v>
      </c>
      <c r="I115" s="11"/>
      <c r="J115" s="11">
        <v>0.02</v>
      </c>
      <c r="K115" s="11"/>
      <c r="L115" s="21">
        <v>0.03</v>
      </c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2:35" ht="12.75">
      <c r="B116" s="7" t="s">
        <v>99</v>
      </c>
      <c r="D116" s="7" t="s">
        <v>37</v>
      </c>
      <c r="E116" s="11"/>
      <c r="F116" s="11"/>
      <c r="G116" s="11"/>
      <c r="H116" s="11"/>
      <c r="I116" s="11"/>
      <c r="J116" s="11"/>
      <c r="K116" s="11"/>
      <c r="L116" s="21">
        <v>0</v>
      </c>
      <c r="N116" s="21">
        <v>15.11</v>
      </c>
      <c r="P116" s="21">
        <v>12.26</v>
      </c>
      <c r="R116" s="21">
        <v>14.43</v>
      </c>
      <c r="T116" s="43">
        <f>AVERAGE(R116,P116,N116)</f>
        <v>13.933333333333332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2:35" ht="12.75">
      <c r="B117" s="7" t="s">
        <v>100</v>
      </c>
      <c r="D117" s="7" t="s">
        <v>37</v>
      </c>
      <c r="E117" s="11"/>
      <c r="F117" s="28"/>
      <c r="G117" s="11"/>
      <c r="H117" s="11"/>
      <c r="I117" s="11"/>
      <c r="J117" s="11"/>
      <c r="K117" s="11"/>
      <c r="N117" s="21">
        <v>9.17</v>
      </c>
      <c r="P117" s="21">
        <v>7.44</v>
      </c>
      <c r="R117" s="21">
        <v>8.75</v>
      </c>
      <c r="T117" s="43">
        <f>AVERAGE(R117,P117,N117)</f>
        <v>8.453333333333333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2:27" ht="12.75">
      <c r="B118" s="7" t="s">
        <v>172</v>
      </c>
      <c r="D118" s="7" t="s">
        <v>114</v>
      </c>
      <c r="E118" s="21" t="s">
        <v>61</v>
      </c>
      <c r="F118" s="21">
        <v>0.75</v>
      </c>
      <c r="G118" s="21" t="s">
        <v>61</v>
      </c>
      <c r="H118" s="21">
        <v>0.75</v>
      </c>
      <c r="I118" s="21" t="s">
        <v>61</v>
      </c>
      <c r="J118" s="21">
        <v>0.75</v>
      </c>
      <c r="K118" s="11"/>
      <c r="L118" s="21">
        <v>0.75</v>
      </c>
      <c r="T118" s="21"/>
      <c r="U118" s="21"/>
      <c r="V118" s="21"/>
      <c r="W118" s="21"/>
      <c r="X118" s="21"/>
      <c r="Y118" s="21"/>
      <c r="Z118" s="21"/>
      <c r="AA118" s="21"/>
    </row>
    <row r="119" spans="2:27" ht="12.75">
      <c r="B119" s="7" t="s">
        <v>173</v>
      </c>
      <c r="D119" s="7" t="s">
        <v>114</v>
      </c>
      <c r="E119" s="21" t="s">
        <v>61</v>
      </c>
      <c r="F119" s="21">
        <v>0.3</v>
      </c>
      <c r="G119" s="21" t="s">
        <v>61</v>
      </c>
      <c r="H119" s="21">
        <v>0.3</v>
      </c>
      <c r="I119" s="21" t="s">
        <v>61</v>
      </c>
      <c r="J119" s="21">
        <v>0.3</v>
      </c>
      <c r="K119" s="11"/>
      <c r="L119" s="21">
        <v>0.3</v>
      </c>
      <c r="T119" s="21"/>
      <c r="U119" s="21"/>
      <c r="V119" s="21"/>
      <c r="W119" s="21"/>
      <c r="X119" s="21"/>
      <c r="Y119" s="21"/>
      <c r="Z119" s="21"/>
      <c r="AA119" s="21"/>
    </row>
    <row r="120" spans="2:27" ht="12.75">
      <c r="B120" s="7" t="s">
        <v>174</v>
      </c>
      <c r="D120" s="7" t="s">
        <v>114</v>
      </c>
      <c r="E120" s="21" t="s">
        <v>61</v>
      </c>
      <c r="F120" s="21">
        <v>0.5</v>
      </c>
      <c r="G120" s="21" t="s">
        <v>61</v>
      </c>
      <c r="H120" s="21">
        <v>0.5</v>
      </c>
      <c r="I120" s="21" t="s">
        <v>61</v>
      </c>
      <c r="J120" s="21">
        <v>0.5</v>
      </c>
      <c r="K120" s="11"/>
      <c r="L120" s="21">
        <v>0.5</v>
      </c>
      <c r="T120" s="21"/>
      <c r="U120" s="21"/>
      <c r="V120" s="21"/>
      <c r="W120" s="21"/>
      <c r="X120" s="21"/>
      <c r="Y120" s="21"/>
      <c r="Z120" s="21"/>
      <c r="AA120" s="21"/>
    </row>
    <row r="121" spans="2:27" ht="12.75">
      <c r="B121" s="7" t="s">
        <v>175</v>
      </c>
      <c r="D121" s="7" t="s">
        <v>114</v>
      </c>
      <c r="E121" s="21" t="s">
        <v>61</v>
      </c>
      <c r="F121" s="21">
        <v>0.05</v>
      </c>
      <c r="G121" s="21" t="s">
        <v>61</v>
      </c>
      <c r="H121" s="21">
        <v>0.05</v>
      </c>
      <c r="I121" s="21" t="s">
        <v>61</v>
      </c>
      <c r="J121" s="21">
        <v>0.05</v>
      </c>
      <c r="K121" s="11"/>
      <c r="L121" s="21">
        <v>0.05</v>
      </c>
      <c r="T121" s="21"/>
      <c r="U121" s="21"/>
      <c r="V121" s="21"/>
      <c r="W121" s="21"/>
      <c r="X121" s="21"/>
      <c r="Y121" s="21"/>
      <c r="Z121" s="21"/>
      <c r="AA121" s="21"/>
    </row>
    <row r="122" spans="2:27" ht="12.75">
      <c r="B122" s="7" t="s">
        <v>176</v>
      </c>
      <c r="D122" s="7" t="s">
        <v>114</v>
      </c>
      <c r="E122" s="21" t="s">
        <v>61</v>
      </c>
      <c r="F122" s="21">
        <v>0.25</v>
      </c>
      <c r="G122" s="21" t="s">
        <v>61</v>
      </c>
      <c r="H122" s="21">
        <v>0.25</v>
      </c>
      <c r="I122" s="21" t="s">
        <v>61</v>
      </c>
      <c r="J122" s="21">
        <v>0.25</v>
      </c>
      <c r="K122" s="11"/>
      <c r="L122" s="21">
        <v>0.25</v>
      </c>
      <c r="T122" s="21"/>
      <c r="U122" s="21"/>
      <c r="V122" s="21"/>
      <c r="W122" s="21"/>
      <c r="X122" s="21"/>
      <c r="Y122" s="21"/>
      <c r="Z122" s="21"/>
      <c r="AA122" s="21"/>
    </row>
    <row r="123" spans="2:27" ht="12.75">
      <c r="B123" s="7" t="s">
        <v>200</v>
      </c>
      <c r="D123" s="7" t="s">
        <v>114</v>
      </c>
      <c r="E123" s="21" t="s">
        <v>61</v>
      </c>
      <c r="F123" s="21">
        <v>0.5</v>
      </c>
      <c r="G123" s="21" t="s">
        <v>61</v>
      </c>
      <c r="H123" s="21">
        <v>0.5</v>
      </c>
      <c r="I123" s="21" t="s">
        <v>61</v>
      </c>
      <c r="J123" s="21">
        <v>0.5</v>
      </c>
      <c r="K123" s="11"/>
      <c r="L123" s="21">
        <v>0.5</v>
      </c>
      <c r="T123" s="21"/>
      <c r="U123" s="21"/>
      <c r="V123" s="21"/>
      <c r="W123" s="21"/>
      <c r="X123" s="21"/>
      <c r="Y123" s="21"/>
      <c r="Z123" s="21"/>
      <c r="AA123" s="21"/>
    </row>
    <row r="124" spans="2:35" ht="12.75">
      <c r="B124" s="7" t="s">
        <v>177</v>
      </c>
      <c r="D124" s="7" t="s">
        <v>114</v>
      </c>
      <c r="E124" s="21"/>
      <c r="F124" s="21">
        <v>0.3</v>
      </c>
      <c r="G124" s="21"/>
      <c r="H124" s="21">
        <v>0.3</v>
      </c>
      <c r="I124" s="21"/>
      <c r="J124" s="21">
        <v>0.3</v>
      </c>
      <c r="K124" s="11"/>
      <c r="L124" s="21">
        <v>0.3</v>
      </c>
      <c r="T124" s="21"/>
      <c r="U124" s="21"/>
      <c r="V124" s="21"/>
      <c r="W124" s="21"/>
      <c r="X124" s="21"/>
      <c r="Y124" s="21"/>
      <c r="Z124" s="21"/>
      <c r="AA124" s="21"/>
      <c r="AB124" s="11"/>
      <c r="AC124" s="11"/>
      <c r="AD124" s="11"/>
      <c r="AE124" s="11"/>
      <c r="AF124" s="11"/>
      <c r="AG124" s="11"/>
      <c r="AH124" s="11"/>
      <c r="AI124" s="11"/>
    </row>
    <row r="125" spans="2:35" ht="12.75">
      <c r="B125" s="7" t="s">
        <v>171</v>
      </c>
      <c r="D125" s="7" t="s">
        <v>114</v>
      </c>
      <c r="E125" s="21" t="s">
        <v>61</v>
      </c>
      <c r="F125" s="21">
        <v>0.02</v>
      </c>
      <c r="G125" s="21" t="s">
        <v>61</v>
      </c>
      <c r="H125" s="21">
        <v>0.02</v>
      </c>
      <c r="I125" s="21" t="s">
        <v>61</v>
      </c>
      <c r="J125" s="21">
        <v>0.02</v>
      </c>
      <c r="K125" s="11"/>
      <c r="L125" s="21">
        <v>0.02</v>
      </c>
      <c r="T125" s="21"/>
      <c r="U125" s="21"/>
      <c r="V125" s="21"/>
      <c r="W125" s="21"/>
      <c r="X125" s="21"/>
      <c r="Y125" s="21"/>
      <c r="Z125" s="21"/>
      <c r="AA125" s="21"/>
      <c r="AB125" s="11"/>
      <c r="AC125" s="11"/>
      <c r="AD125" s="11"/>
      <c r="AE125" s="11"/>
      <c r="AF125" s="11"/>
      <c r="AG125" s="11"/>
      <c r="AH125" s="11"/>
      <c r="AI125" s="11"/>
    </row>
    <row r="126" spans="2:35" ht="12.75">
      <c r="B126" s="7" t="s">
        <v>202</v>
      </c>
      <c r="D126" s="7" t="s">
        <v>114</v>
      </c>
      <c r="E126" s="21" t="s">
        <v>61</v>
      </c>
      <c r="F126" s="21">
        <v>0.5</v>
      </c>
      <c r="G126" s="21" t="s">
        <v>61</v>
      </c>
      <c r="H126" s="21">
        <v>0.5</v>
      </c>
      <c r="I126" s="21" t="s">
        <v>61</v>
      </c>
      <c r="J126" s="21">
        <v>0.5</v>
      </c>
      <c r="K126" s="11"/>
      <c r="L126" s="21">
        <v>0.5</v>
      </c>
      <c r="T126" s="21"/>
      <c r="U126" s="21"/>
      <c r="V126" s="21"/>
      <c r="W126" s="21"/>
      <c r="X126" s="21"/>
      <c r="Y126" s="21"/>
      <c r="Z126" s="21"/>
      <c r="AA126" s="21"/>
      <c r="AB126" s="11"/>
      <c r="AC126" s="11"/>
      <c r="AD126" s="11"/>
      <c r="AE126" s="11"/>
      <c r="AF126" s="11"/>
      <c r="AG126" s="11"/>
      <c r="AH126" s="11"/>
      <c r="AI126" s="11"/>
    </row>
    <row r="127" spans="2:35" ht="12.75">
      <c r="B127" s="7" t="s">
        <v>180</v>
      </c>
      <c r="D127" s="7" t="s">
        <v>114</v>
      </c>
      <c r="E127" s="21" t="s">
        <v>61</v>
      </c>
      <c r="F127" s="21">
        <v>0.5</v>
      </c>
      <c r="G127" s="21" t="s">
        <v>61</v>
      </c>
      <c r="H127" s="21">
        <v>0.5</v>
      </c>
      <c r="I127" s="21" t="s">
        <v>61</v>
      </c>
      <c r="J127" s="21">
        <v>0.5</v>
      </c>
      <c r="K127" s="11"/>
      <c r="L127" s="21">
        <v>0.5</v>
      </c>
      <c r="T127" s="21"/>
      <c r="U127" s="21"/>
      <c r="V127" s="21"/>
      <c r="W127" s="21"/>
      <c r="X127" s="21"/>
      <c r="Y127" s="21"/>
      <c r="Z127" s="21"/>
      <c r="AA127" s="21"/>
      <c r="AB127" s="11"/>
      <c r="AC127" s="11"/>
      <c r="AD127" s="11"/>
      <c r="AE127" s="11"/>
      <c r="AF127" s="11"/>
      <c r="AG127" s="11"/>
      <c r="AH127" s="11"/>
      <c r="AI127" s="11"/>
    </row>
    <row r="129" spans="2:36" ht="12.75">
      <c r="B129" s="7" t="s">
        <v>129</v>
      </c>
      <c r="E129" s="11"/>
      <c r="F129" s="21">
        <f>emiss!$G$59</f>
        <v>28000</v>
      </c>
      <c r="G129" s="11"/>
      <c r="H129" s="21">
        <f>emiss!$I$59</f>
        <v>28000</v>
      </c>
      <c r="I129" s="11"/>
      <c r="J129" s="21">
        <f>emiss!$K$59</f>
        <v>28000</v>
      </c>
      <c r="K129" s="11"/>
      <c r="L129" s="24">
        <f>emiss!$M$59</f>
        <v>28000</v>
      </c>
      <c r="M129" s="14"/>
      <c r="N129" s="21">
        <f>emiss!$G$59</f>
        <v>28000</v>
      </c>
      <c r="O129" s="11"/>
      <c r="P129" s="21">
        <f>emiss!$I$59</f>
        <v>28000</v>
      </c>
      <c r="Q129" s="11"/>
      <c r="R129" s="21">
        <f>emiss!$K$59</f>
        <v>28000</v>
      </c>
      <c r="S129" s="11"/>
      <c r="T129" s="24">
        <f>emiss!$M$59</f>
        <v>28000</v>
      </c>
      <c r="U129" s="14"/>
      <c r="V129" s="14"/>
      <c r="W129" s="14"/>
      <c r="X129" s="14"/>
      <c r="Y129" s="14"/>
      <c r="Z129" s="14"/>
      <c r="AA129" s="14"/>
      <c r="AB129" s="11"/>
      <c r="AC129" s="11"/>
      <c r="AD129" s="21">
        <f>emiss!$G$59</f>
        <v>28000</v>
      </c>
      <c r="AE129" s="11"/>
      <c r="AF129" s="21">
        <f>emiss!$I$59</f>
        <v>28000</v>
      </c>
      <c r="AG129" s="11"/>
      <c r="AH129" s="21">
        <f>emiss!$K$59</f>
        <v>28000</v>
      </c>
      <c r="AI129" s="11"/>
      <c r="AJ129" s="24">
        <f>emiss!$M$59</f>
        <v>28000</v>
      </c>
    </row>
    <row r="130" spans="2:36" ht="12.75">
      <c r="B130" s="7" t="s">
        <v>130</v>
      </c>
      <c r="E130" s="11"/>
      <c r="F130" s="21">
        <f>emiss!$G$16</f>
        <v>9.5</v>
      </c>
      <c r="G130" s="11"/>
      <c r="H130" s="21">
        <f>emiss!$I$16</f>
        <v>9.2</v>
      </c>
      <c r="I130" s="11"/>
      <c r="J130" s="21">
        <f>emiss!$K$16</f>
        <v>9.1</v>
      </c>
      <c r="K130" s="11"/>
      <c r="L130" s="43">
        <f>emiss!$M$16</f>
        <v>9.266666666666666</v>
      </c>
      <c r="M130" s="14"/>
      <c r="N130" s="21">
        <f>emiss!$G$16</f>
        <v>9.5</v>
      </c>
      <c r="O130" s="11"/>
      <c r="P130" s="21">
        <f>emiss!$I$16</f>
        <v>9.2</v>
      </c>
      <c r="Q130" s="11"/>
      <c r="R130" s="21">
        <f>emiss!$K$16</f>
        <v>9.1</v>
      </c>
      <c r="S130" s="11"/>
      <c r="T130" s="43">
        <f>emiss!$M$16</f>
        <v>9.266666666666666</v>
      </c>
      <c r="U130" s="14"/>
      <c r="V130" s="14"/>
      <c r="W130" s="14"/>
      <c r="X130" s="14"/>
      <c r="Y130" s="14"/>
      <c r="Z130" s="14"/>
      <c r="AA130" s="14"/>
      <c r="AB130" s="11"/>
      <c r="AC130" s="11"/>
      <c r="AD130" s="21">
        <f>emiss!$G$16</f>
        <v>9.5</v>
      </c>
      <c r="AE130" s="11"/>
      <c r="AF130" s="21">
        <f>emiss!$I$16</f>
        <v>9.2</v>
      </c>
      <c r="AG130" s="11"/>
      <c r="AH130" s="21">
        <f>emiss!$K$16</f>
        <v>9.1</v>
      </c>
      <c r="AI130" s="11"/>
      <c r="AJ130" s="43">
        <f>emiss!$M$16</f>
        <v>9.266666666666666</v>
      </c>
    </row>
    <row r="132" spans="2:36" ht="12.75">
      <c r="B132" s="7" t="s">
        <v>131</v>
      </c>
      <c r="D132" s="7" t="s">
        <v>115</v>
      </c>
      <c r="AJ132" s="14">
        <f>AJ129*60/9000*(21-AJ130)/21</f>
        <v>104.29629629629629</v>
      </c>
    </row>
    <row r="133" ht="12.75">
      <c r="AJ133" s="14"/>
    </row>
    <row r="134" spans="2:36" ht="12.75">
      <c r="B134" s="47" t="s">
        <v>161</v>
      </c>
      <c r="C134" s="47"/>
      <c r="AJ134" s="14"/>
    </row>
    <row r="135" spans="2:36" ht="12.75">
      <c r="B135" s="7" t="s">
        <v>99</v>
      </c>
      <c r="D135" s="7" t="s">
        <v>132</v>
      </c>
      <c r="E135" s="11"/>
      <c r="F135" s="11"/>
      <c r="G135" s="11"/>
      <c r="H135" s="11"/>
      <c r="I135" s="11"/>
      <c r="J135" s="11"/>
      <c r="K135" s="11"/>
      <c r="N135" s="43">
        <f>N116*454/N$129/60/0.0283*1000*(21-7)/(21-N$130)</f>
        <v>175.65268602447892</v>
      </c>
      <c r="O135" s="43"/>
      <c r="P135" s="43">
        <f>P116*454/P$129/60/0.0283*1000*(21-7)/(21-P$130)</f>
        <v>138.89820526641512</v>
      </c>
      <c r="Q135" s="43"/>
      <c r="R135" s="43">
        <f>R116*454/R$129/60/0.0283*1000*(21-7)/(21-R$130)</f>
        <v>162.10915461591</v>
      </c>
      <c r="S135" s="43"/>
      <c r="T135" s="43">
        <f>AVERAGE(R135,P135,N135)</f>
        <v>158.88668196893468</v>
      </c>
      <c r="U135" s="24"/>
      <c r="V135" s="24"/>
      <c r="W135" s="24"/>
      <c r="X135" s="24"/>
      <c r="Y135" s="24"/>
      <c r="Z135" s="24"/>
      <c r="AA135" s="24"/>
      <c r="AC135" s="2">
        <f>E135</f>
        <v>0</v>
      </c>
      <c r="AD135" s="25">
        <f>SUM(V135,N135,F135)</f>
        <v>175.65268602447892</v>
      </c>
      <c r="AE135" s="2">
        <f>G135</f>
        <v>0</v>
      </c>
      <c r="AF135" s="25">
        <f>SUM(X135,P135,H135)</f>
        <v>138.89820526641512</v>
      </c>
      <c r="AG135" s="2">
        <f>I135</f>
        <v>0</v>
      </c>
      <c r="AH135" s="25">
        <f>SUM(Z135,R135,J135)</f>
        <v>162.10915461591</v>
      </c>
      <c r="AI135" s="2">
        <f>K135</f>
        <v>0</v>
      </c>
      <c r="AJ135" s="25">
        <f>SUM(AB135,T135,L135)</f>
        <v>158.88668196893468</v>
      </c>
    </row>
    <row r="136" spans="2:36" ht="12.75">
      <c r="B136" s="7" t="s">
        <v>100</v>
      </c>
      <c r="D136" s="7" t="s">
        <v>128</v>
      </c>
      <c r="E136" s="11"/>
      <c r="F136" s="11"/>
      <c r="G136" s="11"/>
      <c r="H136" s="11"/>
      <c r="I136" s="11"/>
      <c r="J136" s="11"/>
      <c r="K136" s="11"/>
      <c r="L136" s="24"/>
      <c r="M136" s="24"/>
      <c r="N136" s="43">
        <f>N117*454/N$129/60/0.0283*1000000*(21-7)/(21-N$130)</f>
        <v>106600.60429149384</v>
      </c>
      <c r="O136" s="43"/>
      <c r="P136" s="43">
        <f>P117*454/P$129/60/0.0283*1000000*(21-7)/(21-P$130)</f>
        <v>84290.59112415406</v>
      </c>
      <c r="Q136" s="43"/>
      <c r="R136" s="43">
        <f>R117*454/R$129/60/0.0283*1000000*(21-7)/(21-R$130)</f>
        <v>98299.03692925934</v>
      </c>
      <c r="S136" s="43"/>
      <c r="T136" s="43">
        <f>AVERAGE(R136,P136,N136)</f>
        <v>96396.74411496909</v>
      </c>
      <c r="U136" s="24"/>
      <c r="V136" s="24"/>
      <c r="W136" s="24"/>
      <c r="X136" s="24"/>
      <c r="Y136" s="24"/>
      <c r="Z136" s="24"/>
      <c r="AA136" s="24"/>
      <c r="AC136" s="2">
        <f aca="true" t="shared" si="17" ref="AC136:AI146">E136</f>
        <v>0</v>
      </c>
      <c r="AD136" s="25">
        <f>SUM(V136,N136,F136)</f>
        <v>106600.60429149384</v>
      </c>
      <c r="AE136" s="2">
        <f t="shared" si="17"/>
        <v>0</v>
      </c>
      <c r="AF136" s="25">
        <f>SUM(X136,P136,H136)</f>
        <v>84290.59112415406</v>
      </c>
      <c r="AG136" s="2">
        <f t="shared" si="17"/>
        <v>0</v>
      </c>
      <c r="AH136" s="25">
        <f>SUM(Z136,R136,J136)</f>
        <v>98299.03692925934</v>
      </c>
      <c r="AI136" s="2">
        <f t="shared" si="17"/>
        <v>0</v>
      </c>
      <c r="AJ136" s="25">
        <f>SUM(AB136,T136,L136)</f>
        <v>96396.74411496909</v>
      </c>
    </row>
    <row r="137" spans="2:36" ht="12.75">
      <c r="B137" s="7" t="s">
        <v>172</v>
      </c>
      <c r="D137" s="7" t="s">
        <v>128</v>
      </c>
      <c r="E137" s="11">
        <v>100</v>
      </c>
      <c r="F137" s="24">
        <f aca="true" t="shared" si="18" ref="F137:F146">(F118*F$112*0.000001)*454/F$129/60/0.0283*1000000*(21-7)/(21-F$130)</f>
        <v>46.64502995851897</v>
      </c>
      <c r="G137" s="11">
        <v>100</v>
      </c>
      <c r="H137" s="24">
        <f aca="true" t="shared" si="19" ref="H137:H146">(H118*H$112*0.000001)*454/H$129/60/0.0283*1000000*(21-7)/(21-H$130)</f>
        <v>44.96631131340958</v>
      </c>
      <c r="I137" s="11">
        <v>100</v>
      </c>
      <c r="J137" s="24">
        <f aca="true" t="shared" si="20" ref="J137:J146">(J118*J$112*0.000001)*454/J$129/60/0.0283*1000000*(21-7)/(21-J$130)</f>
        <v>44.35252546248182</v>
      </c>
      <c r="K137" s="11">
        <v>100</v>
      </c>
      <c r="L137" s="43">
        <f aca="true" t="shared" si="21" ref="L137:L146">AVERAGE(J137,H137,F137)</f>
        <v>45.32128891147013</v>
      </c>
      <c r="M137" s="24"/>
      <c r="N137" s="24"/>
      <c r="O137" s="24"/>
      <c r="P137" s="24"/>
      <c r="Q137" s="24"/>
      <c r="R137" s="24"/>
      <c r="S137" s="24"/>
      <c r="AC137" s="2">
        <f t="shared" si="17"/>
        <v>100</v>
      </c>
      <c r="AD137" s="14">
        <f>SUM(V137,N137,F137)</f>
        <v>46.64502995851897</v>
      </c>
      <c r="AE137" s="2">
        <f t="shared" si="17"/>
        <v>100</v>
      </c>
      <c r="AF137" s="14">
        <f>SUM(X137,P137,H137)</f>
        <v>44.96631131340958</v>
      </c>
      <c r="AG137" s="2">
        <f t="shared" si="17"/>
        <v>100</v>
      </c>
      <c r="AH137" s="14">
        <f>SUM(Z137,R137,J137)</f>
        <v>44.35252546248182</v>
      </c>
      <c r="AI137" s="2">
        <f t="shared" si="17"/>
        <v>100</v>
      </c>
      <c r="AJ137" s="14">
        <f aca="true" t="shared" si="22" ref="AJ137:AJ149">SUM(AB137,T137,L137)</f>
        <v>45.32128891147013</v>
      </c>
    </row>
    <row r="138" spans="2:36" ht="12.75">
      <c r="B138" s="7" t="s">
        <v>173</v>
      </c>
      <c r="D138" s="7" t="s">
        <v>128</v>
      </c>
      <c r="E138" s="11">
        <v>100</v>
      </c>
      <c r="F138" s="24">
        <f t="shared" si="18"/>
        <v>18.65801198340759</v>
      </c>
      <c r="G138" s="11">
        <v>100</v>
      </c>
      <c r="H138" s="24">
        <f t="shared" si="19"/>
        <v>17.986524525363834</v>
      </c>
      <c r="I138" s="11">
        <v>100</v>
      </c>
      <c r="J138" s="24">
        <f t="shared" si="20"/>
        <v>17.74101018499272</v>
      </c>
      <c r="K138" s="11">
        <v>100</v>
      </c>
      <c r="L138" s="43">
        <f t="shared" si="21"/>
        <v>18.128515564588046</v>
      </c>
      <c r="M138" s="24"/>
      <c r="N138" s="24"/>
      <c r="O138" s="24"/>
      <c r="P138" s="24"/>
      <c r="Q138" s="24"/>
      <c r="R138" s="24"/>
      <c r="S138" s="24"/>
      <c r="AC138" s="2">
        <f t="shared" si="17"/>
        <v>100</v>
      </c>
      <c r="AD138" s="14">
        <f aca="true" t="shared" si="23" ref="AD138:AD146">SUM(V138,N138,F138)</f>
        <v>18.65801198340759</v>
      </c>
      <c r="AE138" s="2">
        <f t="shared" si="17"/>
        <v>100</v>
      </c>
      <c r="AF138" s="14">
        <f aca="true" t="shared" si="24" ref="AF138:AF146">SUM(X138,P138,H138)</f>
        <v>17.986524525363834</v>
      </c>
      <c r="AG138" s="2">
        <f t="shared" si="17"/>
        <v>100</v>
      </c>
      <c r="AH138" s="14">
        <f aca="true" t="shared" si="25" ref="AH138:AH146">SUM(Z138,R138,J138)</f>
        <v>17.74101018499272</v>
      </c>
      <c r="AI138" s="2">
        <f t="shared" si="17"/>
        <v>100</v>
      </c>
      <c r="AJ138" s="14">
        <f t="shared" si="22"/>
        <v>18.128515564588046</v>
      </c>
    </row>
    <row r="139" spans="2:36" ht="12.75">
      <c r="B139" s="7" t="s">
        <v>174</v>
      </c>
      <c r="D139" s="7" t="s">
        <v>128</v>
      </c>
      <c r="E139" s="11">
        <v>100</v>
      </c>
      <c r="F139" s="24">
        <f t="shared" si="18"/>
        <v>31.096686639012656</v>
      </c>
      <c r="G139" s="11">
        <v>100</v>
      </c>
      <c r="H139" s="24">
        <f t="shared" si="19"/>
        <v>29.977540875606394</v>
      </c>
      <c r="I139" s="11">
        <v>100</v>
      </c>
      <c r="J139" s="24">
        <f t="shared" si="20"/>
        <v>29.56835030832121</v>
      </c>
      <c r="K139" s="11">
        <v>100</v>
      </c>
      <c r="L139" s="43">
        <f t="shared" si="21"/>
        <v>30.214192607646755</v>
      </c>
      <c r="M139" s="24"/>
      <c r="N139" s="24"/>
      <c r="O139" s="24"/>
      <c r="P139" s="24"/>
      <c r="Q139" s="24"/>
      <c r="R139" s="24"/>
      <c r="S139" s="24"/>
      <c r="AC139" s="2">
        <f t="shared" si="17"/>
        <v>100</v>
      </c>
      <c r="AD139" s="14">
        <f t="shared" si="23"/>
        <v>31.096686639012656</v>
      </c>
      <c r="AE139" s="2">
        <f t="shared" si="17"/>
        <v>100</v>
      </c>
      <c r="AF139" s="14">
        <f t="shared" si="24"/>
        <v>29.977540875606394</v>
      </c>
      <c r="AG139" s="2">
        <f t="shared" si="17"/>
        <v>100</v>
      </c>
      <c r="AH139" s="14">
        <f t="shared" si="25"/>
        <v>29.56835030832121</v>
      </c>
      <c r="AI139" s="2">
        <f t="shared" si="17"/>
        <v>100</v>
      </c>
      <c r="AJ139" s="14">
        <f t="shared" si="22"/>
        <v>30.214192607646755</v>
      </c>
    </row>
    <row r="140" spans="2:36" ht="12.75">
      <c r="B140" s="7" t="s">
        <v>175</v>
      </c>
      <c r="D140" s="7" t="s">
        <v>128</v>
      </c>
      <c r="E140" s="11">
        <v>100</v>
      </c>
      <c r="F140" s="24">
        <f t="shared" si="18"/>
        <v>3.1096686639012647</v>
      </c>
      <c r="G140" s="11">
        <v>100</v>
      </c>
      <c r="H140" s="24">
        <f t="shared" si="19"/>
        <v>2.99775408756064</v>
      </c>
      <c r="I140" s="11">
        <v>100</v>
      </c>
      <c r="J140" s="24">
        <f t="shared" si="20"/>
        <v>2.9568350308321207</v>
      </c>
      <c r="K140" s="11">
        <v>100</v>
      </c>
      <c r="L140" s="43">
        <f t="shared" si="21"/>
        <v>3.021419260764675</v>
      </c>
      <c r="M140" s="24"/>
      <c r="N140" s="24"/>
      <c r="O140" s="24"/>
      <c r="P140" s="24"/>
      <c r="Q140" s="24"/>
      <c r="R140" s="24"/>
      <c r="S140" s="24"/>
      <c r="AC140" s="2">
        <f t="shared" si="17"/>
        <v>100</v>
      </c>
      <c r="AD140" s="14">
        <f t="shared" si="23"/>
        <v>3.1096686639012647</v>
      </c>
      <c r="AE140" s="2">
        <f t="shared" si="17"/>
        <v>100</v>
      </c>
      <c r="AF140" s="14">
        <f t="shared" si="24"/>
        <v>2.99775408756064</v>
      </c>
      <c r="AG140" s="2">
        <f t="shared" si="17"/>
        <v>100</v>
      </c>
      <c r="AH140" s="14">
        <f t="shared" si="25"/>
        <v>2.9568350308321207</v>
      </c>
      <c r="AI140" s="2">
        <f t="shared" si="17"/>
        <v>100</v>
      </c>
      <c r="AJ140" s="14">
        <f t="shared" si="22"/>
        <v>3.021419260764675</v>
      </c>
    </row>
    <row r="141" spans="2:36" ht="12.75">
      <c r="B141" s="7" t="s">
        <v>176</v>
      </c>
      <c r="D141" s="7" t="s">
        <v>128</v>
      </c>
      <c r="E141" s="11">
        <v>100</v>
      </c>
      <c r="F141" s="24">
        <f t="shared" si="18"/>
        <v>15.548343319506328</v>
      </c>
      <c r="G141" s="11">
        <v>100</v>
      </c>
      <c r="H141" s="24">
        <f t="shared" si="19"/>
        <v>14.988770437803197</v>
      </c>
      <c r="I141" s="11">
        <v>100</v>
      </c>
      <c r="J141" s="24">
        <f t="shared" si="20"/>
        <v>14.784175154160605</v>
      </c>
      <c r="K141" s="11">
        <v>100</v>
      </c>
      <c r="L141" s="43">
        <f t="shared" si="21"/>
        <v>15.107096303823377</v>
      </c>
      <c r="M141" s="24"/>
      <c r="N141" s="24"/>
      <c r="O141" s="24"/>
      <c r="P141" s="24"/>
      <c r="Q141" s="24"/>
      <c r="R141" s="24"/>
      <c r="S141" s="24"/>
      <c r="AC141" s="2">
        <f t="shared" si="17"/>
        <v>100</v>
      </c>
      <c r="AD141" s="14">
        <f t="shared" si="23"/>
        <v>15.548343319506328</v>
      </c>
      <c r="AE141" s="2">
        <f t="shared" si="17"/>
        <v>100</v>
      </c>
      <c r="AF141" s="14">
        <f t="shared" si="24"/>
        <v>14.988770437803197</v>
      </c>
      <c r="AG141" s="2">
        <f t="shared" si="17"/>
        <v>100</v>
      </c>
      <c r="AH141" s="14">
        <f t="shared" si="25"/>
        <v>14.784175154160605</v>
      </c>
      <c r="AI141" s="2">
        <f t="shared" si="17"/>
        <v>100</v>
      </c>
      <c r="AJ141" s="14">
        <f t="shared" si="22"/>
        <v>15.107096303823377</v>
      </c>
    </row>
    <row r="142" spans="2:36" ht="12.75">
      <c r="B142" s="7" t="s">
        <v>200</v>
      </c>
      <c r="D142" s="7" t="s">
        <v>128</v>
      </c>
      <c r="E142" s="11">
        <v>100</v>
      </c>
      <c r="F142" s="24">
        <f t="shared" si="18"/>
        <v>31.096686639012656</v>
      </c>
      <c r="G142" s="11">
        <v>100</v>
      </c>
      <c r="H142" s="24">
        <f t="shared" si="19"/>
        <v>29.977540875606394</v>
      </c>
      <c r="I142" s="11">
        <v>100</v>
      </c>
      <c r="J142" s="24">
        <f t="shared" si="20"/>
        <v>29.56835030832121</v>
      </c>
      <c r="K142" s="11">
        <v>100</v>
      </c>
      <c r="L142" s="43">
        <f t="shared" si="21"/>
        <v>30.214192607646755</v>
      </c>
      <c r="M142" s="24"/>
      <c r="N142" s="24"/>
      <c r="O142" s="24"/>
      <c r="P142" s="24"/>
      <c r="Q142" s="24"/>
      <c r="R142" s="24"/>
      <c r="S142" s="24"/>
      <c r="AC142" s="2">
        <f t="shared" si="17"/>
        <v>100</v>
      </c>
      <c r="AD142" s="14">
        <f t="shared" si="23"/>
        <v>31.096686639012656</v>
      </c>
      <c r="AE142" s="2">
        <f t="shared" si="17"/>
        <v>100</v>
      </c>
      <c r="AF142" s="14">
        <f t="shared" si="24"/>
        <v>29.977540875606394</v>
      </c>
      <c r="AG142" s="2">
        <f t="shared" si="17"/>
        <v>100</v>
      </c>
      <c r="AH142" s="14">
        <f t="shared" si="25"/>
        <v>29.56835030832121</v>
      </c>
      <c r="AI142" s="2">
        <f t="shared" si="17"/>
        <v>100</v>
      </c>
      <c r="AJ142" s="14">
        <f t="shared" si="22"/>
        <v>30.214192607646755</v>
      </c>
    </row>
    <row r="143" spans="2:36" ht="12.75">
      <c r="B143" s="7" t="s">
        <v>177</v>
      </c>
      <c r="D143" s="7" t="s">
        <v>128</v>
      </c>
      <c r="E143" s="11"/>
      <c r="F143" s="24">
        <f t="shared" si="18"/>
        <v>18.65801198340759</v>
      </c>
      <c r="G143" s="11"/>
      <c r="H143" s="24">
        <f t="shared" si="19"/>
        <v>17.986524525363834</v>
      </c>
      <c r="I143" s="11"/>
      <c r="J143" s="24">
        <f t="shared" si="20"/>
        <v>17.74101018499272</v>
      </c>
      <c r="K143" s="11"/>
      <c r="L143" s="43">
        <f t="shared" si="21"/>
        <v>18.128515564588046</v>
      </c>
      <c r="M143" s="24"/>
      <c r="N143" s="24"/>
      <c r="O143" s="24"/>
      <c r="P143" s="24"/>
      <c r="Q143" s="24"/>
      <c r="R143" s="24"/>
      <c r="S143" s="24"/>
      <c r="AC143" s="2">
        <f t="shared" si="17"/>
        <v>0</v>
      </c>
      <c r="AD143" s="14">
        <f t="shared" si="23"/>
        <v>18.65801198340759</v>
      </c>
      <c r="AE143" s="2">
        <f t="shared" si="17"/>
        <v>0</v>
      </c>
      <c r="AF143" s="14">
        <f t="shared" si="24"/>
        <v>17.986524525363834</v>
      </c>
      <c r="AG143" s="2">
        <f t="shared" si="17"/>
        <v>0</v>
      </c>
      <c r="AH143" s="14">
        <f t="shared" si="25"/>
        <v>17.74101018499272</v>
      </c>
      <c r="AI143" s="2">
        <f t="shared" si="17"/>
        <v>0</v>
      </c>
      <c r="AJ143" s="14">
        <f t="shared" si="22"/>
        <v>18.128515564588046</v>
      </c>
    </row>
    <row r="144" spans="2:36" ht="12.75">
      <c r="B144" s="7" t="s">
        <v>171</v>
      </c>
      <c r="D144" s="7" t="s">
        <v>128</v>
      </c>
      <c r="E144" s="11">
        <v>100</v>
      </c>
      <c r="F144" s="24">
        <f t="shared" si="18"/>
        <v>1.2438674655605058</v>
      </c>
      <c r="G144" s="11">
        <v>100</v>
      </c>
      <c r="H144" s="24">
        <f t="shared" si="19"/>
        <v>1.1991016350242558</v>
      </c>
      <c r="I144" s="11">
        <v>100</v>
      </c>
      <c r="J144" s="24">
        <f t="shared" si="20"/>
        <v>1.1827340123328483</v>
      </c>
      <c r="K144" s="11">
        <v>100</v>
      </c>
      <c r="L144" s="43">
        <f t="shared" si="21"/>
        <v>1.20856770430587</v>
      </c>
      <c r="M144" s="24"/>
      <c r="N144" s="24"/>
      <c r="O144" s="24"/>
      <c r="P144" s="24"/>
      <c r="Q144" s="24"/>
      <c r="R144" s="24"/>
      <c r="S144" s="24"/>
      <c r="AC144" s="2">
        <f t="shared" si="17"/>
        <v>100</v>
      </c>
      <c r="AD144" s="14">
        <f t="shared" si="23"/>
        <v>1.2438674655605058</v>
      </c>
      <c r="AE144" s="2">
        <f t="shared" si="17"/>
        <v>100</v>
      </c>
      <c r="AF144" s="14">
        <f t="shared" si="24"/>
        <v>1.1991016350242558</v>
      </c>
      <c r="AG144" s="2">
        <f t="shared" si="17"/>
        <v>100</v>
      </c>
      <c r="AH144" s="14">
        <f t="shared" si="25"/>
        <v>1.1827340123328483</v>
      </c>
      <c r="AI144" s="2">
        <f t="shared" si="17"/>
        <v>100</v>
      </c>
      <c r="AJ144" s="14">
        <f t="shared" si="22"/>
        <v>1.20856770430587</v>
      </c>
    </row>
    <row r="145" spans="2:36" ht="12.75">
      <c r="B145" s="7" t="s">
        <v>202</v>
      </c>
      <c r="D145" s="7" t="s">
        <v>128</v>
      </c>
      <c r="E145" s="11">
        <v>100</v>
      </c>
      <c r="F145" s="24">
        <f t="shared" si="18"/>
        <v>31.096686639012656</v>
      </c>
      <c r="G145" s="11">
        <v>100</v>
      </c>
      <c r="H145" s="24">
        <f t="shared" si="19"/>
        <v>29.977540875606394</v>
      </c>
      <c r="I145" s="11">
        <v>100</v>
      </c>
      <c r="J145" s="24">
        <f t="shared" si="20"/>
        <v>29.56835030832121</v>
      </c>
      <c r="K145" s="11">
        <v>100</v>
      </c>
      <c r="L145" s="43">
        <f t="shared" si="21"/>
        <v>30.214192607646755</v>
      </c>
      <c r="M145" s="24"/>
      <c r="N145" s="24"/>
      <c r="O145" s="24"/>
      <c r="P145" s="24"/>
      <c r="Q145" s="24"/>
      <c r="R145" s="24"/>
      <c r="S145" s="24"/>
      <c r="AC145" s="2">
        <f t="shared" si="17"/>
        <v>100</v>
      </c>
      <c r="AD145" s="14">
        <f t="shared" si="23"/>
        <v>31.096686639012656</v>
      </c>
      <c r="AE145" s="2">
        <f t="shared" si="17"/>
        <v>100</v>
      </c>
      <c r="AF145" s="14">
        <f t="shared" si="24"/>
        <v>29.977540875606394</v>
      </c>
      <c r="AG145" s="2">
        <f t="shared" si="17"/>
        <v>100</v>
      </c>
      <c r="AH145" s="14">
        <f t="shared" si="25"/>
        <v>29.56835030832121</v>
      </c>
      <c r="AI145" s="2">
        <f t="shared" si="17"/>
        <v>100</v>
      </c>
      <c r="AJ145" s="14">
        <f t="shared" si="22"/>
        <v>30.214192607646755</v>
      </c>
    </row>
    <row r="146" spans="2:36" ht="12.75">
      <c r="B146" s="7" t="s">
        <v>180</v>
      </c>
      <c r="D146" s="7" t="s">
        <v>128</v>
      </c>
      <c r="E146" s="11">
        <v>100</v>
      </c>
      <c r="F146" s="24">
        <f t="shared" si="18"/>
        <v>31.096686639012656</v>
      </c>
      <c r="G146" s="11">
        <v>100</v>
      </c>
      <c r="H146" s="24">
        <f t="shared" si="19"/>
        <v>29.977540875606394</v>
      </c>
      <c r="I146" s="11">
        <v>100</v>
      </c>
      <c r="J146" s="24">
        <f t="shared" si="20"/>
        <v>29.56835030832121</v>
      </c>
      <c r="K146" s="11">
        <v>100</v>
      </c>
      <c r="L146" s="43">
        <f t="shared" si="21"/>
        <v>30.214192607646755</v>
      </c>
      <c r="M146" s="24"/>
      <c r="N146" s="24"/>
      <c r="O146" s="24"/>
      <c r="P146" s="24"/>
      <c r="Q146" s="24"/>
      <c r="R146" s="24"/>
      <c r="S146" s="24"/>
      <c r="AC146" s="2">
        <f t="shared" si="17"/>
        <v>100</v>
      </c>
      <c r="AD146" s="14">
        <f t="shared" si="23"/>
        <v>31.096686639012656</v>
      </c>
      <c r="AE146" s="2">
        <f t="shared" si="17"/>
        <v>100</v>
      </c>
      <c r="AF146" s="14">
        <f t="shared" si="24"/>
        <v>29.977540875606394</v>
      </c>
      <c r="AG146" s="2">
        <f t="shared" si="17"/>
        <v>100</v>
      </c>
      <c r="AH146" s="14">
        <f t="shared" si="25"/>
        <v>29.56835030832121</v>
      </c>
      <c r="AI146" s="2">
        <f t="shared" si="17"/>
        <v>100</v>
      </c>
      <c r="AJ146" s="14">
        <f t="shared" si="22"/>
        <v>30.214192607646755</v>
      </c>
    </row>
    <row r="147" spans="5:36" ht="12.75">
      <c r="E147" s="11"/>
      <c r="F147" s="24"/>
      <c r="G147" s="11"/>
      <c r="H147" s="24"/>
      <c r="I147" s="11"/>
      <c r="J147" s="24"/>
      <c r="K147" s="11"/>
      <c r="L147" s="43"/>
      <c r="M147" s="24"/>
      <c r="N147" s="24"/>
      <c r="O147" s="24"/>
      <c r="P147" s="24"/>
      <c r="Q147" s="24"/>
      <c r="R147" s="24"/>
      <c r="S147" s="24"/>
      <c r="AD147" s="14"/>
      <c r="AE147" s="14"/>
      <c r="AF147" s="14"/>
      <c r="AG147" s="14"/>
      <c r="AH147" s="14"/>
      <c r="AI147" s="14"/>
      <c r="AJ147" s="14"/>
    </row>
    <row r="148" spans="2:36" ht="12.75">
      <c r="B148" s="7" t="s">
        <v>137</v>
      </c>
      <c r="D148" s="7" t="s">
        <v>128</v>
      </c>
      <c r="E148" s="24">
        <f>(E143*F143+E141*F141)/F148</f>
        <v>45.45454545454545</v>
      </c>
      <c r="F148" s="24">
        <f>F143+F141</f>
        <v>34.20635530291392</v>
      </c>
      <c r="G148" s="24">
        <f>(G143*H143+G141*H141)/H148</f>
        <v>45.45454545454545</v>
      </c>
      <c r="H148" s="24">
        <f>H143+H141</f>
        <v>32.97529496316703</v>
      </c>
      <c r="I148" s="24">
        <f>(I143*J143+I141*J141)/J148</f>
        <v>45.45454545454546</v>
      </c>
      <c r="J148" s="24">
        <f>J143+J141</f>
        <v>32.525185339153325</v>
      </c>
      <c r="K148" s="24">
        <f>(K143*L143+K141*L141)/L148</f>
        <v>45.45454545454546</v>
      </c>
      <c r="L148" s="43">
        <f>AVERAGE(J148,H148,F148)</f>
        <v>33.235611868411425</v>
      </c>
      <c r="M148" s="24"/>
      <c r="N148" s="24"/>
      <c r="O148" s="24"/>
      <c r="P148" s="24"/>
      <c r="Q148" s="24"/>
      <c r="R148" s="24"/>
      <c r="S148" s="24"/>
      <c r="AC148" s="24">
        <f>(AC143*AD143+AC141*AD141)/AD148</f>
        <v>45.45454545454545</v>
      </c>
      <c r="AD148" s="14">
        <f>SUM(V148,N148,F148)</f>
        <v>34.20635530291392</v>
      </c>
      <c r="AE148" s="24">
        <f>(AE143*AF143+AE141*AF141)/AF148</f>
        <v>45.45454545454545</v>
      </c>
      <c r="AF148" s="14">
        <f>SUM(X148,P148,H148)</f>
        <v>32.97529496316703</v>
      </c>
      <c r="AG148" s="24">
        <f>(AG143*AH143+AG141*AH141)/AH148</f>
        <v>45.45454545454546</v>
      </c>
      <c r="AH148" s="14">
        <f>SUM(Z148,R148,J148)</f>
        <v>32.525185339153325</v>
      </c>
      <c r="AI148" s="24">
        <f>(AI143*AJ143+AI141*AJ141)/AJ148</f>
        <v>45.45454545454546</v>
      </c>
      <c r="AJ148" s="14">
        <f t="shared" si="22"/>
        <v>33.235611868411425</v>
      </c>
    </row>
    <row r="149" spans="2:36" ht="12.75">
      <c r="B149" s="7" t="s">
        <v>138</v>
      </c>
      <c r="D149" s="7" t="s">
        <v>128</v>
      </c>
      <c r="E149" s="24">
        <f>(E138*F138+E140*F140+E142*F142)/F149</f>
        <v>99.99999999999999</v>
      </c>
      <c r="F149" s="24">
        <f>(F142+F138+F140)</f>
        <v>52.86436728632152</v>
      </c>
      <c r="G149" s="24">
        <f>(G138*H138+G140*H140+G142*H142)/H149</f>
        <v>100</v>
      </c>
      <c r="H149" s="24">
        <f>(H142+H138+H140)</f>
        <v>50.961819488530864</v>
      </c>
      <c r="I149" s="24">
        <f>(I138*J138+I140*J140+I142*J142)/J149</f>
        <v>99.99999999999999</v>
      </c>
      <c r="J149" s="24">
        <f>(J142+J138+J140)</f>
        <v>50.266195524146056</v>
      </c>
      <c r="K149" s="24">
        <f>(K138*L138+K140*L140+K142*L142)/L149</f>
        <v>99.99999999999999</v>
      </c>
      <c r="L149" s="43">
        <f>AVERAGE(J149,H149,F149)</f>
        <v>51.36412743299948</v>
      </c>
      <c r="M149" s="24"/>
      <c r="N149" s="24"/>
      <c r="O149" s="24"/>
      <c r="P149" s="24"/>
      <c r="Q149" s="24"/>
      <c r="R149" s="24"/>
      <c r="S149" s="24"/>
      <c r="AC149" s="24">
        <f>(AC138*AD138+AC140*AD140+AC142*AD142)/AD149</f>
        <v>99.99999999999999</v>
      </c>
      <c r="AD149" s="14">
        <f>SUM(V149,N149,F149)</f>
        <v>52.86436728632152</v>
      </c>
      <c r="AE149" s="24">
        <f>(AE138*AF138+AE140*AF140+AE142*AF142)/AF149</f>
        <v>100</v>
      </c>
      <c r="AF149" s="14">
        <f>SUM(X149,P149,H149)</f>
        <v>50.961819488530864</v>
      </c>
      <c r="AG149" s="24">
        <f>(AG138*AH138+AG140*AH140+AG142*AH142)/AH149</f>
        <v>99.99999999999999</v>
      </c>
      <c r="AH149" s="14">
        <f>SUM(Z149,R149,J149)</f>
        <v>50.266195524146056</v>
      </c>
      <c r="AI149" s="24">
        <f>(AI138*AJ138+AI140*AJ140+AI142*AJ142)/AJ149</f>
        <v>99.99999999999999</v>
      </c>
      <c r="AJ149" s="14">
        <f t="shared" si="22"/>
        <v>51.36412743299948</v>
      </c>
    </row>
    <row r="153" spans="1:36" ht="12.75">
      <c r="A153" s="2" t="s">
        <v>211</v>
      </c>
      <c r="B153" s="23" t="s">
        <v>208</v>
      </c>
      <c r="C153" s="23" t="s">
        <v>184</v>
      </c>
      <c r="F153" s="2" t="s">
        <v>215</v>
      </c>
      <c r="H153" s="2" t="s">
        <v>216</v>
      </c>
      <c r="J153" s="2" t="s">
        <v>217</v>
      </c>
      <c r="L153" s="21" t="s">
        <v>90</v>
      </c>
      <c r="N153" s="2" t="s">
        <v>215</v>
      </c>
      <c r="O153" s="2"/>
      <c r="P153" s="2" t="s">
        <v>216</v>
      </c>
      <c r="Q153" s="2"/>
      <c r="R153" s="2" t="s">
        <v>217</v>
      </c>
      <c r="S153" s="2"/>
      <c r="T153" s="21" t="s">
        <v>90</v>
      </c>
      <c r="V153" s="2" t="s">
        <v>215</v>
      </c>
      <c r="X153" s="2" t="s">
        <v>216</v>
      </c>
      <c r="Z153" s="2" t="s">
        <v>217</v>
      </c>
      <c r="AB153" s="21" t="s">
        <v>90</v>
      </c>
      <c r="AD153" s="2" t="s">
        <v>215</v>
      </c>
      <c r="AF153" s="2" t="s">
        <v>216</v>
      </c>
      <c r="AH153" s="2" t="s">
        <v>217</v>
      </c>
      <c r="AJ153" s="21" t="s">
        <v>90</v>
      </c>
    </row>
    <row r="155" spans="2:36" ht="12.75">
      <c r="B155" s="7" t="s">
        <v>234</v>
      </c>
      <c r="F155" s="11" t="s">
        <v>236</v>
      </c>
      <c r="H155" s="11" t="s">
        <v>236</v>
      </c>
      <c r="J155" s="11" t="s">
        <v>236</v>
      </c>
      <c r="L155" s="11" t="s">
        <v>236</v>
      </c>
      <c r="N155" s="11" t="s">
        <v>238</v>
      </c>
      <c r="P155" s="11" t="s">
        <v>238</v>
      </c>
      <c r="R155" s="11" t="s">
        <v>238</v>
      </c>
      <c r="T155" s="11" t="s">
        <v>238</v>
      </c>
      <c r="V155" s="2" t="s">
        <v>239</v>
      </c>
      <c r="X155" s="2" t="s">
        <v>239</v>
      </c>
      <c r="Z155" s="2" t="s">
        <v>239</v>
      </c>
      <c r="AB155" s="2" t="s">
        <v>239</v>
      </c>
      <c r="AD155" s="11" t="s">
        <v>241</v>
      </c>
      <c r="AF155" s="11" t="s">
        <v>241</v>
      </c>
      <c r="AH155" s="11" t="s">
        <v>241</v>
      </c>
      <c r="AJ155" s="11" t="s">
        <v>241</v>
      </c>
    </row>
    <row r="156" spans="2:36" ht="12.75">
      <c r="B156" s="7" t="s">
        <v>235</v>
      </c>
      <c r="F156" s="11" t="s">
        <v>237</v>
      </c>
      <c r="H156" s="11" t="s">
        <v>237</v>
      </c>
      <c r="J156" s="11" t="s">
        <v>237</v>
      </c>
      <c r="L156" s="11" t="s">
        <v>237</v>
      </c>
      <c r="N156" s="11" t="s">
        <v>93</v>
      </c>
      <c r="P156" s="11" t="s">
        <v>93</v>
      </c>
      <c r="R156" s="11" t="s">
        <v>93</v>
      </c>
      <c r="T156" s="11" t="s">
        <v>93</v>
      </c>
      <c r="V156" s="2" t="s">
        <v>240</v>
      </c>
      <c r="X156" s="2" t="s">
        <v>240</v>
      </c>
      <c r="Z156" s="2" t="s">
        <v>240</v>
      </c>
      <c r="AB156" s="2" t="s">
        <v>240</v>
      </c>
      <c r="AD156" s="11" t="s">
        <v>56</v>
      </c>
      <c r="AF156" s="11" t="s">
        <v>56</v>
      </c>
      <c r="AH156" s="11" t="s">
        <v>56</v>
      </c>
      <c r="AJ156" s="11" t="s">
        <v>56</v>
      </c>
    </row>
    <row r="157" spans="2:36" ht="12.75">
      <c r="B157" s="7" t="s">
        <v>242</v>
      </c>
      <c r="F157" s="11" t="s">
        <v>136</v>
      </c>
      <c r="H157" s="11" t="s">
        <v>136</v>
      </c>
      <c r="J157" s="11" t="s">
        <v>136</v>
      </c>
      <c r="L157" s="11" t="s">
        <v>136</v>
      </c>
      <c r="N157" s="11" t="s">
        <v>93</v>
      </c>
      <c r="P157" s="11" t="s">
        <v>93</v>
      </c>
      <c r="R157" s="11" t="s">
        <v>93</v>
      </c>
      <c r="T157" s="11" t="s">
        <v>93</v>
      </c>
      <c r="V157" s="28" t="s">
        <v>243</v>
      </c>
      <c r="X157" s="28" t="s">
        <v>243</v>
      </c>
      <c r="Z157" s="28" t="s">
        <v>243</v>
      </c>
      <c r="AB157" s="28" t="s">
        <v>243</v>
      </c>
      <c r="AD157" s="11" t="s">
        <v>56</v>
      </c>
      <c r="AF157" s="11" t="s">
        <v>56</v>
      </c>
      <c r="AH157" s="11" t="s">
        <v>56</v>
      </c>
      <c r="AJ157" s="11" t="s">
        <v>56</v>
      </c>
    </row>
    <row r="158" spans="2:36" ht="12.75">
      <c r="B158" s="7" t="s">
        <v>91</v>
      </c>
      <c r="F158" s="21" t="s">
        <v>113</v>
      </c>
      <c r="H158" s="21" t="s">
        <v>113</v>
      </c>
      <c r="J158" s="21" t="s">
        <v>113</v>
      </c>
      <c r="L158" s="21" t="s">
        <v>113</v>
      </c>
      <c r="N158" s="21" t="s">
        <v>93</v>
      </c>
      <c r="P158" s="21" t="s">
        <v>93</v>
      </c>
      <c r="R158" s="21" t="s">
        <v>93</v>
      </c>
      <c r="T158" s="21" t="s">
        <v>93</v>
      </c>
      <c r="U158" s="21"/>
      <c r="V158" s="21" t="s">
        <v>92</v>
      </c>
      <c r="W158" s="21"/>
      <c r="X158" s="21" t="s">
        <v>92</v>
      </c>
      <c r="Y158" s="21"/>
      <c r="Z158" s="21" t="s">
        <v>92</v>
      </c>
      <c r="AA158" s="21"/>
      <c r="AB158" s="21" t="s">
        <v>92</v>
      </c>
      <c r="AC158" s="21"/>
      <c r="AD158" s="21" t="s">
        <v>56</v>
      </c>
      <c r="AE158" s="21"/>
      <c r="AF158" s="21" t="s">
        <v>56</v>
      </c>
      <c r="AG158" s="21"/>
      <c r="AH158" s="21" t="s">
        <v>56</v>
      </c>
      <c r="AI158" s="21"/>
      <c r="AJ158" s="21" t="s">
        <v>56</v>
      </c>
    </row>
    <row r="159" spans="2:28" ht="12.75">
      <c r="B159" s="7" t="s">
        <v>212</v>
      </c>
      <c r="D159" s="7" t="s">
        <v>37</v>
      </c>
      <c r="F159" s="2">
        <v>4160</v>
      </c>
      <c r="H159" s="2">
        <v>4097</v>
      </c>
      <c r="J159" s="2">
        <v>4074</v>
      </c>
      <c r="L159" s="21">
        <v>4110</v>
      </c>
      <c r="V159" s="14">
        <f>483073/454</f>
        <v>1064.0374449339206</v>
      </c>
      <c r="W159" s="14"/>
      <c r="X159" s="14">
        <v>1109</v>
      </c>
      <c r="Y159" s="14"/>
      <c r="Z159" s="14">
        <f>512557/454</f>
        <v>1128.9801762114537</v>
      </c>
      <c r="AB159" s="14">
        <f>AVERAGE(V159,X159,Z159)</f>
        <v>1100.6725403817916</v>
      </c>
    </row>
    <row r="161" spans="2:36" ht="12.75">
      <c r="B161" s="7" t="s">
        <v>118</v>
      </c>
      <c r="D161" s="7" t="s">
        <v>40</v>
      </c>
      <c r="AD161" s="2">
        <v>34721</v>
      </c>
      <c r="AF161" s="2">
        <v>34721</v>
      </c>
      <c r="AH161" s="2">
        <v>34721</v>
      </c>
      <c r="AJ161" s="2">
        <v>34721</v>
      </c>
    </row>
    <row r="163" spans="2:36" ht="12.75">
      <c r="B163" s="7" t="s">
        <v>131</v>
      </c>
      <c r="D163" s="7" t="s">
        <v>115</v>
      </c>
      <c r="AD163" s="14">
        <f>AD161/9000*(21-10)/21*60</f>
        <v>121.2479365079365</v>
      </c>
      <c r="AF163" s="14">
        <f>AF161/9000*(21-10)/21*60</f>
        <v>121.2479365079365</v>
      </c>
      <c r="AH163" s="14">
        <f>AH161/9000*(21-10)/21*60</f>
        <v>121.2479365079365</v>
      </c>
      <c r="AJ163" s="14">
        <f>AJ161/9000*(21-10)/21*60</f>
        <v>121.2479365079365</v>
      </c>
    </row>
    <row r="166" spans="1:36" ht="12.75">
      <c r="A166" s="2" t="s">
        <v>211</v>
      </c>
      <c r="B166" s="23" t="s">
        <v>209</v>
      </c>
      <c r="C166" s="23" t="s">
        <v>185</v>
      </c>
      <c r="F166" s="2" t="s">
        <v>215</v>
      </c>
      <c r="H166" s="2" t="s">
        <v>216</v>
      </c>
      <c r="J166" s="2" t="s">
        <v>217</v>
      </c>
      <c r="L166" s="21" t="s">
        <v>90</v>
      </c>
      <c r="N166" s="2" t="s">
        <v>215</v>
      </c>
      <c r="O166" s="2"/>
      <c r="P166" s="2" t="s">
        <v>216</v>
      </c>
      <c r="Q166" s="2"/>
      <c r="R166" s="2" t="s">
        <v>217</v>
      </c>
      <c r="S166" s="2"/>
      <c r="T166" s="21" t="s">
        <v>90</v>
      </c>
      <c r="V166" s="2" t="s">
        <v>215</v>
      </c>
      <c r="X166" s="2" t="s">
        <v>216</v>
      </c>
      <c r="Z166" s="2" t="s">
        <v>217</v>
      </c>
      <c r="AB166" s="21" t="s">
        <v>90</v>
      </c>
      <c r="AD166" s="2" t="s">
        <v>215</v>
      </c>
      <c r="AF166" s="2" t="s">
        <v>216</v>
      </c>
      <c r="AH166" s="2" t="s">
        <v>217</v>
      </c>
      <c r="AJ166" s="21" t="s">
        <v>90</v>
      </c>
    </row>
    <row r="168" spans="2:36" ht="12.75">
      <c r="B168" s="7" t="s">
        <v>234</v>
      </c>
      <c r="F168" s="11" t="s">
        <v>236</v>
      </c>
      <c r="H168" s="11" t="s">
        <v>236</v>
      </c>
      <c r="J168" s="11" t="s">
        <v>236</v>
      </c>
      <c r="L168" s="11" t="s">
        <v>236</v>
      </c>
      <c r="N168" s="11" t="s">
        <v>238</v>
      </c>
      <c r="P168" s="11" t="s">
        <v>238</v>
      </c>
      <c r="R168" s="11" t="s">
        <v>238</v>
      </c>
      <c r="T168" s="11" t="s">
        <v>238</v>
      </c>
      <c r="V168" s="2" t="s">
        <v>239</v>
      </c>
      <c r="X168" s="2" t="s">
        <v>239</v>
      </c>
      <c r="Z168" s="2" t="s">
        <v>239</v>
      </c>
      <c r="AB168" s="2" t="s">
        <v>239</v>
      </c>
      <c r="AD168" s="11" t="s">
        <v>241</v>
      </c>
      <c r="AF168" s="11" t="s">
        <v>241</v>
      </c>
      <c r="AH168" s="11" t="s">
        <v>241</v>
      </c>
      <c r="AJ168" s="11" t="s">
        <v>241</v>
      </c>
    </row>
    <row r="169" spans="2:36" ht="12.75">
      <c r="B169" s="7" t="s">
        <v>235</v>
      </c>
      <c r="F169" s="11" t="s">
        <v>237</v>
      </c>
      <c r="H169" s="11" t="s">
        <v>237</v>
      </c>
      <c r="J169" s="11" t="s">
        <v>237</v>
      </c>
      <c r="L169" s="11" t="s">
        <v>237</v>
      </c>
      <c r="N169" s="11" t="s">
        <v>93</v>
      </c>
      <c r="P169" s="11" t="s">
        <v>93</v>
      </c>
      <c r="R169" s="11" t="s">
        <v>93</v>
      </c>
      <c r="T169" s="11" t="s">
        <v>93</v>
      </c>
      <c r="V169" s="2" t="s">
        <v>240</v>
      </c>
      <c r="X169" s="2" t="s">
        <v>240</v>
      </c>
      <c r="Z169" s="2" t="s">
        <v>240</v>
      </c>
      <c r="AB169" s="2" t="s">
        <v>240</v>
      </c>
      <c r="AD169" s="11" t="s">
        <v>56</v>
      </c>
      <c r="AF169" s="11" t="s">
        <v>56</v>
      </c>
      <c r="AH169" s="11" t="s">
        <v>56</v>
      </c>
      <c r="AJ169" s="11" t="s">
        <v>56</v>
      </c>
    </row>
    <row r="170" spans="2:36" ht="12.75">
      <c r="B170" s="7" t="s">
        <v>242</v>
      </c>
      <c r="F170" s="11" t="s">
        <v>136</v>
      </c>
      <c r="H170" s="11" t="s">
        <v>136</v>
      </c>
      <c r="J170" s="11" t="s">
        <v>136</v>
      </c>
      <c r="L170" s="11" t="s">
        <v>136</v>
      </c>
      <c r="N170" s="11" t="s">
        <v>93</v>
      </c>
      <c r="P170" s="11" t="s">
        <v>93</v>
      </c>
      <c r="R170" s="11" t="s">
        <v>93</v>
      </c>
      <c r="T170" s="11" t="s">
        <v>93</v>
      </c>
      <c r="V170" s="28" t="s">
        <v>243</v>
      </c>
      <c r="X170" s="28" t="s">
        <v>243</v>
      </c>
      <c r="Z170" s="28" t="s">
        <v>243</v>
      </c>
      <c r="AB170" s="28" t="s">
        <v>243</v>
      </c>
      <c r="AD170" s="11" t="s">
        <v>56</v>
      </c>
      <c r="AF170" s="11" t="s">
        <v>56</v>
      </c>
      <c r="AH170" s="11" t="s">
        <v>56</v>
      </c>
      <c r="AJ170" s="11" t="s">
        <v>56</v>
      </c>
    </row>
    <row r="171" spans="2:36" ht="12.75">
      <c r="B171" s="7" t="s">
        <v>91</v>
      </c>
      <c r="F171" s="21" t="s">
        <v>113</v>
      </c>
      <c r="H171" s="21" t="s">
        <v>113</v>
      </c>
      <c r="J171" s="21" t="s">
        <v>113</v>
      </c>
      <c r="L171" s="21" t="s">
        <v>113</v>
      </c>
      <c r="N171" s="21" t="s">
        <v>126</v>
      </c>
      <c r="P171" s="21" t="s">
        <v>126</v>
      </c>
      <c r="R171" s="21" t="s">
        <v>126</v>
      </c>
      <c r="T171" s="21" t="s">
        <v>126</v>
      </c>
      <c r="U171" s="21"/>
      <c r="V171" s="21" t="s">
        <v>148</v>
      </c>
      <c r="W171" s="21"/>
      <c r="X171" s="21" t="s">
        <v>148</v>
      </c>
      <c r="Y171" s="21"/>
      <c r="Z171" s="21" t="s">
        <v>148</v>
      </c>
      <c r="AA171" s="21"/>
      <c r="AB171" s="21" t="s">
        <v>148</v>
      </c>
      <c r="AC171" s="21"/>
      <c r="AD171" s="21" t="s">
        <v>56</v>
      </c>
      <c r="AE171" s="21"/>
      <c r="AF171" s="21" t="s">
        <v>56</v>
      </c>
      <c r="AG171" s="21"/>
      <c r="AH171" s="21" t="s">
        <v>56</v>
      </c>
      <c r="AI171" s="21"/>
      <c r="AJ171" s="21" t="s">
        <v>56</v>
      </c>
    </row>
    <row r="172" spans="2:20" ht="12.75">
      <c r="B172" s="7" t="s">
        <v>212</v>
      </c>
      <c r="D172" s="7" t="s">
        <v>37</v>
      </c>
      <c r="F172" s="2">
        <v>4883</v>
      </c>
      <c r="H172" s="2">
        <v>5144</v>
      </c>
      <c r="J172" s="2">
        <v>4906</v>
      </c>
      <c r="L172" s="21">
        <v>4977</v>
      </c>
      <c r="N172" s="21">
        <f>0.48*60</f>
        <v>28.799999999999997</v>
      </c>
      <c r="P172" s="21">
        <f>0.46*60</f>
        <v>27.6</v>
      </c>
      <c r="R172" s="21">
        <f>0.48*60</f>
        <v>28.799999999999997</v>
      </c>
      <c r="T172" s="2">
        <f>AVERAGE(R172,P172,N172)</f>
        <v>28.399999999999995</v>
      </c>
    </row>
    <row r="173" spans="2:12" ht="12.75">
      <c r="B173" s="7" t="s">
        <v>101</v>
      </c>
      <c r="F173" s="21">
        <v>0.793</v>
      </c>
      <c r="H173" s="21">
        <v>0.793</v>
      </c>
      <c r="J173" s="21">
        <v>0.793</v>
      </c>
      <c r="L173" s="21">
        <v>0.793</v>
      </c>
    </row>
    <row r="174" spans="2:36" ht="12.75">
      <c r="B174" s="7" t="s">
        <v>118</v>
      </c>
      <c r="D174" s="7" t="s">
        <v>40</v>
      </c>
      <c r="F174" s="2">
        <f>emiss!G89</f>
        <v>36884.9</v>
      </c>
      <c r="H174" s="2">
        <f>emiss!I89</f>
        <v>35976.257</v>
      </c>
      <c r="J174" s="2">
        <f>emiss!K89</f>
        <v>37561.732</v>
      </c>
      <c r="L174" s="14">
        <f>emiss!M89</f>
        <v>36807.62966666667</v>
      </c>
      <c r="AD174" s="25">
        <f>SUM(V174,N174,F174)</f>
        <v>36884.9</v>
      </c>
      <c r="AF174" s="25">
        <f>SUM(X174,P174,H174)</f>
        <v>35976.257</v>
      </c>
      <c r="AH174" s="25">
        <f>SUM(Z174,R174,J174)</f>
        <v>37561.732</v>
      </c>
      <c r="AJ174" s="25">
        <f>SUM(AB174,T174,L174)</f>
        <v>36807.62966666667</v>
      </c>
    </row>
    <row r="175" spans="2:36" ht="12.75">
      <c r="B175" s="7" t="s">
        <v>130</v>
      </c>
      <c r="D175" s="7" t="s">
        <v>41</v>
      </c>
      <c r="F175" s="2">
        <f>emiss!G90</f>
        <v>10</v>
      </c>
      <c r="H175" s="2">
        <f>emiss!I90</f>
        <v>8.7</v>
      </c>
      <c r="J175" s="2">
        <f>emiss!K90</f>
        <v>9.4</v>
      </c>
      <c r="L175" s="14">
        <f>emiss!M90</f>
        <v>9.366666666666667</v>
      </c>
      <c r="AD175" s="25">
        <f>SUM(V175,N175,F175)</f>
        <v>10</v>
      </c>
      <c r="AF175" s="25">
        <f>SUM(X175,P175,H175)</f>
        <v>8.7</v>
      </c>
      <c r="AH175" s="25">
        <f>SUM(Z175,R175,J175)</f>
        <v>9.4</v>
      </c>
      <c r="AJ175" s="25">
        <f>SUM(AB175,T175,L175)</f>
        <v>9.366666666666667</v>
      </c>
    </row>
    <row r="176" spans="6:36" ht="12.75">
      <c r="F176" s="43"/>
      <c r="H176" s="43"/>
      <c r="J176" s="43"/>
      <c r="L176" s="43"/>
      <c r="M176" s="43"/>
      <c r="N176" s="43"/>
      <c r="O176" s="43"/>
      <c r="P176" s="43"/>
      <c r="Q176" s="43"/>
      <c r="R176" s="43"/>
      <c r="S176" s="43"/>
      <c r="AB176" s="14"/>
      <c r="AC176" s="14"/>
      <c r="AD176" s="25"/>
      <c r="AF176" s="25"/>
      <c r="AH176" s="25"/>
      <c r="AJ176" s="25"/>
    </row>
    <row r="177" spans="2:36" ht="12.75">
      <c r="B177" s="7" t="s">
        <v>131</v>
      </c>
      <c r="D177" s="7" t="s">
        <v>115</v>
      </c>
      <c r="AJ177" s="25">
        <f>AJ174*60/9000*(21-AJ175)/21</f>
        <v>135.93505559435627</v>
      </c>
    </row>
    <row r="182" spans="1:36" ht="12.75">
      <c r="A182" s="2" t="s">
        <v>211</v>
      </c>
      <c r="B182" s="23" t="s">
        <v>210</v>
      </c>
      <c r="C182" s="23" t="s">
        <v>185</v>
      </c>
      <c r="F182" s="2" t="s">
        <v>215</v>
      </c>
      <c r="H182" s="2" t="s">
        <v>216</v>
      </c>
      <c r="J182" s="2" t="s">
        <v>217</v>
      </c>
      <c r="L182" s="21" t="s">
        <v>90</v>
      </c>
      <c r="N182" s="2" t="s">
        <v>215</v>
      </c>
      <c r="O182" s="2"/>
      <c r="P182" s="2" t="s">
        <v>216</v>
      </c>
      <c r="Q182" s="2"/>
      <c r="R182" s="2" t="s">
        <v>217</v>
      </c>
      <c r="S182" s="2"/>
      <c r="T182" s="21" t="s">
        <v>90</v>
      </c>
      <c r="V182" s="2" t="s">
        <v>215</v>
      </c>
      <c r="X182" s="2" t="s">
        <v>216</v>
      </c>
      <c r="Z182" s="2" t="s">
        <v>217</v>
      </c>
      <c r="AB182" s="21" t="s">
        <v>90</v>
      </c>
      <c r="AD182" s="2" t="s">
        <v>215</v>
      </c>
      <c r="AF182" s="2" t="s">
        <v>216</v>
      </c>
      <c r="AH182" s="2" t="s">
        <v>217</v>
      </c>
      <c r="AJ182" s="21" t="s">
        <v>90</v>
      </c>
    </row>
    <row r="184" spans="2:36" ht="12.75">
      <c r="B184" s="7" t="s">
        <v>234</v>
      </c>
      <c r="F184" s="11" t="s">
        <v>236</v>
      </c>
      <c r="H184" s="11" t="s">
        <v>236</v>
      </c>
      <c r="J184" s="11" t="s">
        <v>236</v>
      </c>
      <c r="L184" s="11" t="s">
        <v>236</v>
      </c>
      <c r="N184" s="11" t="s">
        <v>238</v>
      </c>
      <c r="P184" s="11" t="s">
        <v>238</v>
      </c>
      <c r="R184" s="11" t="s">
        <v>238</v>
      </c>
      <c r="T184" s="11" t="s">
        <v>238</v>
      </c>
      <c r="V184" s="2" t="s">
        <v>239</v>
      </c>
      <c r="X184" s="2" t="s">
        <v>239</v>
      </c>
      <c r="Z184" s="2" t="s">
        <v>239</v>
      </c>
      <c r="AB184" s="2" t="s">
        <v>239</v>
      </c>
      <c r="AD184" s="11" t="s">
        <v>241</v>
      </c>
      <c r="AF184" s="11" t="s">
        <v>241</v>
      </c>
      <c r="AH184" s="11" t="s">
        <v>241</v>
      </c>
      <c r="AJ184" s="11" t="s">
        <v>241</v>
      </c>
    </row>
    <row r="185" spans="2:36" ht="12.75">
      <c r="B185" s="7" t="s">
        <v>235</v>
      </c>
      <c r="F185" s="11" t="s">
        <v>237</v>
      </c>
      <c r="H185" s="11" t="s">
        <v>237</v>
      </c>
      <c r="J185" s="11" t="s">
        <v>237</v>
      </c>
      <c r="L185" s="11" t="s">
        <v>237</v>
      </c>
      <c r="N185" s="11" t="s">
        <v>93</v>
      </c>
      <c r="P185" s="11" t="s">
        <v>93</v>
      </c>
      <c r="R185" s="11" t="s">
        <v>93</v>
      </c>
      <c r="T185" s="11" t="s">
        <v>93</v>
      </c>
      <c r="V185" s="2" t="s">
        <v>240</v>
      </c>
      <c r="X185" s="2" t="s">
        <v>240</v>
      </c>
      <c r="Z185" s="2" t="s">
        <v>240</v>
      </c>
      <c r="AB185" s="2" t="s">
        <v>240</v>
      </c>
      <c r="AD185" s="11" t="s">
        <v>56</v>
      </c>
      <c r="AF185" s="11" t="s">
        <v>56</v>
      </c>
      <c r="AH185" s="11" t="s">
        <v>56</v>
      </c>
      <c r="AJ185" s="11" t="s">
        <v>56</v>
      </c>
    </row>
    <row r="186" spans="2:36" ht="12.75">
      <c r="B186" s="7" t="s">
        <v>242</v>
      </c>
      <c r="F186" s="11" t="s">
        <v>136</v>
      </c>
      <c r="H186" s="11" t="s">
        <v>136</v>
      </c>
      <c r="J186" s="11" t="s">
        <v>136</v>
      </c>
      <c r="L186" s="11" t="s">
        <v>136</v>
      </c>
      <c r="N186" s="11" t="s">
        <v>93</v>
      </c>
      <c r="P186" s="11" t="s">
        <v>93</v>
      </c>
      <c r="R186" s="11" t="s">
        <v>93</v>
      </c>
      <c r="T186" s="11" t="s">
        <v>93</v>
      </c>
      <c r="V186" s="28" t="s">
        <v>243</v>
      </c>
      <c r="X186" s="28" t="s">
        <v>243</v>
      </c>
      <c r="Z186" s="28" t="s">
        <v>243</v>
      </c>
      <c r="AB186" s="28" t="s">
        <v>243</v>
      </c>
      <c r="AD186" s="11" t="s">
        <v>56</v>
      </c>
      <c r="AF186" s="11" t="s">
        <v>56</v>
      </c>
      <c r="AH186" s="11" t="s">
        <v>56</v>
      </c>
      <c r="AJ186" s="11" t="s">
        <v>56</v>
      </c>
    </row>
    <row r="187" spans="2:36" ht="12.75">
      <c r="B187" s="7" t="s">
        <v>91</v>
      </c>
      <c r="F187" s="21" t="s">
        <v>113</v>
      </c>
      <c r="H187" s="21" t="s">
        <v>113</v>
      </c>
      <c r="J187" s="21" t="s">
        <v>113</v>
      </c>
      <c r="L187" s="21" t="s">
        <v>113</v>
      </c>
      <c r="N187" s="21" t="s">
        <v>126</v>
      </c>
      <c r="P187" s="21" t="s">
        <v>126</v>
      </c>
      <c r="R187" s="21" t="s">
        <v>126</v>
      </c>
      <c r="T187" s="21" t="s">
        <v>126</v>
      </c>
      <c r="U187" s="21"/>
      <c r="V187" s="21" t="s">
        <v>148</v>
      </c>
      <c r="W187" s="21"/>
      <c r="X187" s="21" t="s">
        <v>148</v>
      </c>
      <c r="Y187" s="21"/>
      <c r="Z187" s="21" t="s">
        <v>148</v>
      </c>
      <c r="AA187" s="21"/>
      <c r="AB187" s="21" t="s">
        <v>148</v>
      </c>
      <c r="AC187" s="21"/>
      <c r="AD187" s="21" t="s">
        <v>56</v>
      </c>
      <c r="AE187" s="21"/>
      <c r="AF187" s="21" t="s">
        <v>56</v>
      </c>
      <c r="AG187" s="21"/>
      <c r="AH187" s="21" t="s">
        <v>56</v>
      </c>
      <c r="AI187" s="21"/>
      <c r="AJ187" s="21" t="s">
        <v>56</v>
      </c>
    </row>
    <row r="188" spans="2:20" ht="12.75">
      <c r="B188" s="7" t="s">
        <v>212</v>
      </c>
      <c r="D188" s="7" t="s">
        <v>37</v>
      </c>
      <c r="F188" s="2">
        <v>1198</v>
      </c>
      <c r="H188" s="2">
        <v>1117</v>
      </c>
      <c r="J188" s="2">
        <v>1104</v>
      </c>
      <c r="L188" s="21">
        <v>1140</v>
      </c>
      <c r="N188" s="21">
        <f>0.45*60</f>
        <v>27</v>
      </c>
      <c r="P188" s="21">
        <f>0.46*60</f>
        <v>27.6</v>
      </c>
      <c r="R188" s="21">
        <f>0.48*60</f>
        <v>28.799999999999997</v>
      </c>
      <c r="T188" s="2">
        <f>AVERAGE(R188,P188,N188)</f>
        <v>27.8</v>
      </c>
    </row>
    <row r="189" spans="2:12" ht="12.75">
      <c r="B189" s="7" t="s">
        <v>101</v>
      </c>
      <c r="F189" s="21">
        <v>0.772</v>
      </c>
      <c r="H189" s="21">
        <v>0.772</v>
      </c>
      <c r="J189" s="21">
        <v>0.772</v>
      </c>
      <c r="L189" s="21">
        <v>0.772</v>
      </c>
    </row>
    <row r="190" spans="2:36" ht="12.75">
      <c r="B190" s="7" t="s">
        <v>118</v>
      </c>
      <c r="D190" s="7" t="s">
        <v>40</v>
      </c>
      <c r="F190" s="2">
        <f>emiss!G104</f>
        <v>20256.12761</v>
      </c>
      <c r="H190" s="2">
        <f>emiss!I104</f>
        <v>21042.6655</v>
      </c>
      <c r="J190" s="2">
        <f>emiss!K104</f>
        <v>20656.69299</v>
      </c>
      <c r="L190" s="2">
        <f>emiss!M104</f>
        <v>20651.8287</v>
      </c>
      <c r="AD190" s="25">
        <f>SUM(V190,N190,F190)</f>
        <v>20256.12761</v>
      </c>
      <c r="AF190" s="25">
        <f>SUM(X190,P190,H190)</f>
        <v>21042.6655</v>
      </c>
      <c r="AH190" s="25">
        <f>SUM(Z190,R190,J190)</f>
        <v>20656.69299</v>
      </c>
      <c r="AJ190" s="25">
        <f>SUM(AB190,T190,L190)</f>
        <v>20651.8287</v>
      </c>
    </row>
    <row r="191" spans="2:36" ht="12.75">
      <c r="B191" s="7" t="s">
        <v>130</v>
      </c>
      <c r="D191" s="7" t="s">
        <v>41</v>
      </c>
      <c r="F191" s="2">
        <f>emiss!G105</f>
        <v>11.2</v>
      </c>
      <c r="H191" s="2">
        <f>emiss!I105</f>
        <v>11.2</v>
      </c>
      <c r="J191" s="2">
        <f>emiss!K105</f>
        <v>11.2</v>
      </c>
      <c r="L191" s="2">
        <f>emiss!M105</f>
        <v>11.199999999999998</v>
      </c>
      <c r="AD191" s="25">
        <f>SUM(V191,N191,F191)</f>
        <v>11.2</v>
      </c>
      <c r="AF191" s="25">
        <f>SUM(X191,P191,H191)</f>
        <v>11.2</v>
      </c>
      <c r="AH191" s="25">
        <f>SUM(Z191,R191,J191)</f>
        <v>11.2</v>
      </c>
      <c r="AJ191" s="25">
        <f>SUM(AB191,T191,L191)</f>
        <v>11.199999999999998</v>
      </c>
    </row>
    <row r="192" spans="2:36" ht="12.75">
      <c r="B192" s="7" t="s">
        <v>131</v>
      </c>
      <c r="D192" s="7" t="s">
        <v>115</v>
      </c>
      <c r="F192" s="43">
        <f>F188*16000/1000000</f>
        <v>19.168</v>
      </c>
      <c r="H192" s="43">
        <f>H188*16000/1000000</f>
        <v>17.872</v>
      </c>
      <c r="J192" s="43">
        <f>J188*16000/1000000</f>
        <v>17.664</v>
      </c>
      <c r="L192" s="43">
        <f>L188*16000/1000000</f>
        <v>18.24</v>
      </c>
      <c r="M192" s="43"/>
      <c r="N192" s="43"/>
      <c r="O192" s="43"/>
      <c r="P192" s="43"/>
      <c r="Q192" s="43"/>
      <c r="R192" s="43"/>
      <c r="S192" s="43"/>
      <c r="AB192" s="14"/>
      <c r="AC192" s="14"/>
      <c r="AD192" s="14">
        <f>SUM(V192,N192,F192)</f>
        <v>19.168</v>
      </c>
      <c r="AE192" s="14"/>
      <c r="AF192" s="14">
        <f>SUM(X192,P192,H192)</f>
        <v>17.872</v>
      </c>
      <c r="AG192" s="14"/>
      <c r="AH192" s="14">
        <f>SUM(Z192,R192,J192)</f>
        <v>17.664</v>
      </c>
      <c r="AI192" s="14"/>
      <c r="AJ192" s="14">
        <f>SUM(AB192,T192,L192)</f>
        <v>18.24</v>
      </c>
    </row>
    <row r="193" spans="2:36" ht="12.75">
      <c r="B193" s="7" t="s">
        <v>131</v>
      </c>
      <c r="D193" s="7" t="s">
        <v>115</v>
      </c>
      <c r="AJ193" s="25">
        <f>AJ190/150*(21-AJ191)/21</f>
        <v>64.25013373333334</v>
      </c>
    </row>
    <row r="196" spans="1:36" ht="12.75">
      <c r="A196" s="2" t="s">
        <v>211</v>
      </c>
      <c r="B196" s="23" t="s">
        <v>48</v>
      </c>
      <c r="C196" s="23" t="s">
        <v>187</v>
      </c>
      <c r="F196" s="2" t="s">
        <v>215</v>
      </c>
      <c r="H196" s="2" t="s">
        <v>216</v>
      </c>
      <c r="J196" s="2" t="s">
        <v>217</v>
      </c>
      <c r="L196" s="21" t="s">
        <v>90</v>
      </c>
      <c r="N196" s="2" t="s">
        <v>215</v>
      </c>
      <c r="O196" s="2"/>
      <c r="P196" s="2" t="s">
        <v>216</v>
      </c>
      <c r="Q196" s="2"/>
      <c r="R196" s="2" t="s">
        <v>217</v>
      </c>
      <c r="S196" s="2"/>
      <c r="T196" s="21" t="s">
        <v>90</v>
      </c>
      <c r="V196" s="2" t="s">
        <v>215</v>
      </c>
      <c r="X196" s="2" t="s">
        <v>216</v>
      </c>
      <c r="Z196" s="2" t="s">
        <v>217</v>
      </c>
      <c r="AB196" s="21" t="s">
        <v>90</v>
      </c>
      <c r="AD196" s="2" t="s">
        <v>215</v>
      </c>
      <c r="AF196" s="2" t="s">
        <v>216</v>
      </c>
      <c r="AH196" s="2" t="s">
        <v>217</v>
      </c>
      <c r="AJ196" s="21" t="s">
        <v>90</v>
      </c>
    </row>
    <row r="198" spans="2:36" ht="12.75">
      <c r="B198" s="7" t="s">
        <v>234</v>
      </c>
      <c r="F198" s="11" t="s">
        <v>236</v>
      </c>
      <c r="H198" s="11" t="s">
        <v>236</v>
      </c>
      <c r="J198" s="11" t="s">
        <v>236</v>
      </c>
      <c r="L198" s="11" t="s">
        <v>236</v>
      </c>
      <c r="N198" s="11" t="s">
        <v>238</v>
      </c>
      <c r="P198" s="11" t="s">
        <v>238</v>
      </c>
      <c r="R198" s="11" t="s">
        <v>238</v>
      </c>
      <c r="T198" s="11" t="s">
        <v>238</v>
      </c>
      <c r="V198" s="2" t="s">
        <v>239</v>
      </c>
      <c r="X198" s="2" t="s">
        <v>239</v>
      </c>
      <c r="Z198" s="2" t="s">
        <v>239</v>
      </c>
      <c r="AB198" s="2" t="s">
        <v>239</v>
      </c>
      <c r="AD198" s="11" t="s">
        <v>241</v>
      </c>
      <c r="AF198" s="11" t="s">
        <v>241</v>
      </c>
      <c r="AH198" s="11" t="s">
        <v>241</v>
      </c>
      <c r="AJ198" s="11" t="s">
        <v>241</v>
      </c>
    </row>
    <row r="199" spans="2:36" ht="12.75">
      <c r="B199" s="7" t="s">
        <v>235</v>
      </c>
      <c r="F199" s="11" t="s">
        <v>237</v>
      </c>
      <c r="H199" s="11" t="s">
        <v>237</v>
      </c>
      <c r="J199" s="11" t="s">
        <v>237</v>
      </c>
      <c r="L199" s="11" t="s">
        <v>237</v>
      </c>
      <c r="N199" s="11" t="s">
        <v>93</v>
      </c>
      <c r="P199" s="11" t="s">
        <v>93</v>
      </c>
      <c r="R199" s="11" t="s">
        <v>93</v>
      </c>
      <c r="T199" s="11" t="s">
        <v>93</v>
      </c>
      <c r="V199" s="2" t="s">
        <v>240</v>
      </c>
      <c r="X199" s="2" t="s">
        <v>240</v>
      </c>
      <c r="Z199" s="2" t="s">
        <v>240</v>
      </c>
      <c r="AB199" s="2" t="s">
        <v>240</v>
      </c>
      <c r="AD199" s="11" t="s">
        <v>56</v>
      </c>
      <c r="AF199" s="11" t="s">
        <v>56</v>
      </c>
      <c r="AH199" s="11" t="s">
        <v>56</v>
      </c>
      <c r="AJ199" s="11" t="s">
        <v>56</v>
      </c>
    </row>
    <row r="200" spans="2:36" ht="12.75">
      <c r="B200" s="7" t="s">
        <v>242</v>
      </c>
      <c r="F200" s="11" t="s">
        <v>136</v>
      </c>
      <c r="H200" s="11" t="s">
        <v>136</v>
      </c>
      <c r="J200" s="11" t="s">
        <v>136</v>
      </c>
      <c r="L200" s="11" t="s">
        <v>136</v>
      </c>
      <c r="N200" s="11" t="s">
        <v>93</v>
      </c>
      <c r="P200" s="11" t="s">
        <v>93</v>
      </c>
      <c r="R200" s="11" t="s">
        <v>93</v>
      </c>
      <c r="T200" s="11" t="s">
        <v>93</v>
      </c>
      <c r="V200" s="28" t="s">
        <v>243</v>
      </c>
      <c r="X200" s="28" t="s">
        <v>243</v>
      </c>
      <c r="Z200" s="28" t="s">
        <v>243</v>
      </c>
      <c r="AB200" s="28" t="s">
        <v>243</v>
      </c>
      <c r="AD200" s="11" t="s">
        <v>56</v>
      </c>
      <c r="AF200" s="11" t="s">
        <v>56</v>
      </c>
      <c r="AH200" s="11" t="s">
        <v>56</v>
      </c>
      <c r="AJ200" s="11" t="s">
        <v>56</v>
      </c>
    </row>
    <row r="201" spans="2:36" ht="12.75">
      <c r="B201" s="7" t="s">
        <v>91</v>
      </c>
      <c r="F201" s="21" t="s">
        <v>113</v>
      </c>
      <c r="H201" s="21" t="s">
        <v>113</v>
      </c>
      <c r="J201" s="21" t="s">
        <v>113</v>
      </c>
      <c r="L201" s="21" t="s">
        <v>113</v>
      </c>
      <c r="N201" s="21" t="s">
        <v>126</v>
      </c>
      <c r="P201" s="21" t="s">
        <v>126</v>
      </c>
      <c r="R201" s="21" t="s">
        <v>126</v>
      </c>
      <c r="T201" s="21" t="s">
        <v>126</v>
      </c>
      <c r="U201" s="21"/>
      <c r="V201" s="21" t="s">
        <v>148</v>
      </c>
      <c r="W201" s="21"/>
      <c r="X201" s="21" t="s">
        <v>148</v>
      </c>
      <c r="Y201" s="21"/>
      <c r="Z201" s="21" t="s">
        <v>148</v>
      </c>
      <c r="AA201" s="21"/>
      <c r="AB201" s="21" t="s">
        <v>148</v>
      </c>
      <c r="AC201" s="21"/>
      <c r="AD201" s="21" t="s">
        <v>56</v>
      </c>
      <c r="AE201" s="21"/>
      <c r="AF201" s="21" t="s">
        <v>56</v>
      </c>
      <c r="AG201" s="21"/>
      <c r="AH201" s="21" t="s">
        <v>56</v>
      </c>
      <c r="AI201" s="21"/>
      <c r="AJ201" s="21" t="s">
        <v>56</v>
      </c>
    </row>
    <row r="202" spans="2:12" ht="12.75">
      <c r="B202" s="7" t="s">
        <v>212</v>
      </c>
      <c r="D202" s="7" t="s">
        <v>37</v>
      </c>
      <c r="F202" s="2">
        <v>5103</v>
      </c>
      <c r="H202" s="2">
        <v>5056</v>
      </c>
      <c r="J202" s="2">
        <v>5056</v>
      </c>
      <c r="L202" s="21">
        <v>5000</v>
      </c>
    </row>
    <row r="203" spans="2:36" ht="12.75">
      <c r="B203" s="7" t="s">
        <v>118</v>
      </c>
      <c r="D203" s="7" t="s">
        <v>40</v>
      </c>
      <c r="F203" s="2">
        <f>emiss!G132</f>
        <v>34549</v>
      </c>
      <c r="H203" s="2">
        <f>emiss!I132</f>
        <v>32776</v>
      </c>
      <c r="J203" s="2">
        <f>emiss!K132</f>
        <v>33898</v>
      </c>
      <c r="L203" s="2">
        <f>emiss!M132</f>
        <v>33741</v>
      </c>
      <c r="AD203" s="25">
        <f>SUM(V203,N203,F203)</f>
        <v>34549</v>
      </c>
      <c r="AF203" s="25">
        <f>SUM(X203,P203,H203)</f>
        <v>32776</v>
      </c>
      <c r="AH203" s="25">
        <f>SUM(Z203,R203,J203)</f>
        <v>33898</v>
      </c>
      <c r="AJ203" s="25">
        <f>SUM(AB203,T203,L203)</f>
        <v>33741</v>
      </c>
    </row>
    <row r="204" spans="2:36" ht="12.75">
      <c r="B204" s="7" t="s">
        <v>130</v>
      </c>
      <c r="D204" s="7" t="s">
        <v>41</v>
      </c>
      <c r="F204" s="2">
        <f>emiss!G133</f>
        <v>10.7</v>
      </c>
      <c r="H204" s="2">
        <f>emiss!I133</f>
        <v>10.9</v>
      </c>
      <c r="J204" s="2">
        <f>emiss!K133</f>
        <v>10.3</v>
      </c>
      <c r="L204" s="2">
        <f>emiss!M133</f>
        <v>10.633333333333335</v>
      </c>
      <c r="AD204" s="25">
        <f>SUM(V204,N204,F204)</f>
        <v>10.7</v>
      </c>
      <c r="AF204" s="25">
        <f>SUM(X204,P204,H204)</f>
        <v>10.9</v>
      </c>
      <c r="AH204" s="25">
        <f>SUM(Z204,R204,J204)</f>
        <v>10.3</v>
      </c>
      <c r="AJ204" s="25">
        <f>SUM(AB204,T204,L204)</f>
        <v>10.633333333333335</v>
      </c>
    </row>
    <row r="205" spans="2:36" ht="12.75">
      <c r="B205" s="7" t="s">
        <v>131</v>
      </c>
      <c r="D205" s="7" t="s">
        <v>115</v>
      </c>
      <c r="AJ205" s="14">
        <f>AJ203*60/9000*(21-AJ204)/21</f>
        <v>111.0418095238095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2" sqref="A2"/>
    </sheetView>
  </sheetViews>
  <sheetFormatPr defaultColWidth="9.140625" defaultRowHeight="12.75"/>
  <cols>
    <col min="1" max="1" width="24.421875" style="6" customWidth="1"/>
    <col min="2" max="16384" width="9.140625" style="6" customWidth="1"/>
  </cols>
  <sheetData>
    <row r="1" ht="12.75">
      <c r="A1" s="1" t="s">
        <v>108</v>
      </c>
    </row>
    <row r="2" ht="12.75">
      <c r="A2" s="1"/>
    </row>
    <row r="3" ht="12.75">
      <c r="A3" s="1" t="s">
        <v>109</v>
      </c>
    </row>
    <row r="4" spans="1:3" s="2" customFormat="1" ht="12.75">
      <c r="A4" s="7" t="s">
        <v>160</v>
      </c>
      <c r="B4" s="7" t="s">
        <v>37</v>
      </c>
      <c r="C4" s="21">
        <v>72800</v>
      </c>
    </row>
    <row r="5" spans="1:3" s="2" customFormat="1" ht="12.75" customHeight="1">
      <c r="A5" s="7" t="s">
        <v>159</v>
      </c>
      <c r="B5" s="22" t="s">
        <v>147</v>
      </c>
      <c r="C5" s="21">
        <v>763</v>
      </c>
    </row>
    <row r="7" ht="12.75">
      <c r="A7" s="1" t="s">
        <v>110</v>
      </c>
    </row>
    <row r="8" spans="1:3" s="2" customFormat="1" ht="12.75">
      <c r="A8" s="7" t="s">
        <v>160</v>
      </c>
      <c r="B8" s="7" t="s">
        <v>37</v>
      </c>
      <c r="C8" s="21">
        <f>(80.9+84.7)/2*1000</f>
        <v>82800.00000000001</v>
      </c>
    </row>
    <row r="9" spans="1:3" s="2" customFormat="1" ht="12.75" customHeight="1">
      <c r="A9" s="7" t="s">
        <v>159</v>
      </c>
      <c r="B9" s="22" t="s">
        <v>147</v>
      </c>
      <c r="C9" s="21">
        <v>783</v>
      </c>
    </row>
    <row r="11" ht="12.75">
      <c r="A11" s="1" t="s">
        <v>111</v>
      </c>
    </row>
    <row r="12" spans="1:3" s="2" customFormat="1" ht="12.75">
      <c r="A12" s="7" t="s">
        <v>160</v>
      </c>
      <c r="B12" s="7" t="s">
        <v>37</v>
      </c>
      <c r="C12" s="21">
        <v>30900</v>
      </c>
    </row>
    <row r="13" spans="1:3" s="2" customFormat="1" ht="12.75" customHeight="1">
      <c r="A13" s="7" t="s">
        <v>159</v>
      </c>
      <c r="B13" s="22" t="s">
        <v>147</v>
      </c>
      <c r="C13" s="21">
        <v>587</v>
      </c>
    </row>
    <row r="15" ht="12.75">
      <c r="A15" s="1" t="s">
        <v>112</v>
      </c>
    </row>
    <row r="16" spans="1:3" s="2" customFormat="1" ht="12.75">
      <c r="A16" s="7" t="s">
        <v>160</v>
      </c>
      <c r="B16" s="7" t="s">
        <v>37</v>
      </c>
      <c r="C16" s="21">
        <v>87400</v>
      </c>
    </row>
    <row r="17" spans="1:3" s="2" customFormat="1" ht="12.75" customHeight="1">
      <c r="A17" s="7" t="s">
        <v>159</v>
      </c>
      <c r="B17" s="22" t="s">
        <v>147</v>
      </c>
      <c r="C17" s="21">
        <v>797</v>
      </c>
    </row>
    <row r="19" ht="12.75">
      <c r="A19" s="1" t="s">
        <v>117</v>
      </c>
    </row>
    <row r="20" spans="1:3" s="2" customFormat="1" ht="12.75">
      <c r="A20" s="7" t="s">
        <v>160</v>
      </c>
      <c r="B20" s="7" t="s">
        <v>37</v>
      </c>
      <c r="C20" s="21">
        <v>103000</v>
      </c>
    </row>
    <row r="21" spans="1:3" s="2" customFormat="1" ht="12.75" customHeight="1">
      <c r="A21" s="7" t="s">
        <v>159</v>
      </c>
      <c r="B21" s="22" t="s">
        <v>147</v>
      </c>
      <c r="C21" s="21">
        <v>784</v>
      </c>
    </row>
    <row r="23" ht="12.75">
      <c r="A23" s="1" t="s">
        <v>122</v>
      </c>
    </row>
    <row r="24" spans="1:3" s="2" customFormat="1" ht="12.75">
      <c r="A24" s="7" t="s">
        <v>160</v>
      </c>
      <c r="B24" s="7" t="s">
        <v>37</v>
      </c>
      <c r="C24" s="21">
        <v>102000</v>
      </c>
    </row>
    <row r="25" spans="1:3" s="2" customFormat="1" ht="12.75" customHeight="1">
      <c r="A25" s="7" t="s">
        <v>159</v>
      </c>
      <c r="B25" s="22" t="s">
        <v>147</v>
      </c>
      <c r="C25" s="21">
        <v>803</v>
      </c>
    </row>
    <row r="27" ht="12.75">
      <c r="A27" s="1" t="s">
        <v>123</v>
      </c>
    </row>
    <row r="28" spans="1:3" s="2" customFormat="1" ht="12.75">
      <c r="A28" s="7" t="s">
        <v>160</v>
      </c>
      <c r="B28" s="7" t="s">
        <v>37</v>
      </c>
      <c r="C28" s="21">
        <v>46400</v>
      </c>
    </row>
    <row r="29" spans="1:3" s="2" customFormat="1" ht="12.75" customHeight="1">
      <c r="A29" s="7" t="s">
        <v>159</v>
      </c>
      <c r="B29" s="22" t="s">
        <v>147</v>
      </c>
      <c r="C29" s="21">
        <v>620</v>
      </c>
    </row>
    <row r="31" ht="12.75">
      <c r="A31" s="1" t="s">
        <v>48</v>
      </c>
    </row>
    <row r="32" spans="1:3" s="2" customFormat="1" ht="12.75">
      <c r="A32" s="7" t="s">
        <v>160</v>
      </c>
      <c r="B32" s="7" t="s">
        <v>37</v>
      </c>
      <c r="C32" s="21">
        <v>102000</v>
      </c>
    </row>
    <row r="33" spans="1:3" s="2" customFormat="1" ht="12.75" customHeight="1">
      <c r="A33" s="7" t="s">
        <v>159</v>
      </c>
      <c r="B33" s="22" t="s">
        <v>147</v>
      </c>
      <c r="C33" s="21">
        <v>776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selection activeCell="A6" sqref="A6"/>
    </sheetView>
  </sheetViews>
  <sheetFormatPr defaultColWidth="9.140625" defaultRowHeight="12.75"/>
  <cols>
    <col min="1" max="1" width="1.421875" style="6" customWidth="1"/>
    <col min="2" max="2" width="20.00390625" style="6" customWidth="1"/>
    <col min="3" max="3" width="8.7109375" style="6" customWidth="1"/>
    <col min="4" max="4" width="3.8515625" style="6" customWidth="1"/>
    <col min="5" max="8" width="9.140625" style="6" customWidth="1"/>
    <col min="9" max="9" width="3.7109375" style="10" customWidth="1"/>
    <col min="10" max="13" width="9.140625" style="6" customWidth="1"/>
    <col min="14" max="14" width="3.8515625" style="10" customWidth="1"/>
    <col min="15" max="15" width="7.8515625" style="6" customWidth="1"/>
    <col min="16" max="16" width="8.7109375" style="6" customWidth="1"/>
    <col min="17" max="17" width="9.140625" style="6" customWidth="1"/>
    <col min="18" max="18" width="8.7109375" style="6" customWidth="1"/>
    <col min="29" max="16384" width="9.140625" style="6" customWidth="1"/>
  </cols>
  <sheetData>
    <row r="1" spans="1:18" ht="12.75">
      <c r="A1" s="45" t="s">
        <v>149</v>
      </c>
      <c r="B1" s="2"/>
      <c r="C1" s="2"/>
      <c r="D1" s="2"/>
      <c r="E1" s="3"/>
      <c r="F1" s="4"/>
      <c r="G1" s="3"/>
      <c r="H1" s="4"/>
      <c r="I1" s="5"/>
      <c r="J1" s="3"/>
      <c r="K1" s="3"/>
      <c r="L1" s="3"/>
      <c r="M1" s="3"/>
      <c r="N1" s="5"/>
      <c r="O1" s="3"/>
      <c r="P1" s="3"/>
      <c r="Q1" s="3"/>
      <c r="R1" s="3"/>
    </row>
    <row r="2" spans="1:18" ht="12.75">
      <c r="A2" s="2" t="s">
        <v>246</v>
      </c>
      <c r="B2" s="2"/>
      <c r="C2" s="2"/>
      <c r="D2" s="2"/>
      <c r="E2" s="3"/>
      <c r="F2" s="4"/>
      <c r="G2" s="3"/>
      <c r="H2" s="4"/>
      <c r="I2" s="5"/>
      <c r="J2" s="3"/>
      <c r="K2" s="3"/>
      <c r="L2" s="3"/>
      <c r="M2" s="3"/>
      <c r="N2" s="5"/>
      <c r="O2" s="3"/>
      <c r="P2" s="3"/>
      <c r="Q2" s="3"/>
      <c r="R2" s="3"/>
    </row>
    <row r="3" spans="1:18" ht="12.75">
      <c r="A3" s="2" t="s">
        <v>46</v>
      </c>
      <c r="B3" s="2"/>
      <c r="C3" s="7" t="s">
        <v>151</v>
      </c>
      <c r="D3" s="7"/>
      <c r="E3" s="3"/>
      <c r="F3" s="4"/>
      <c r="G3" s="3"/>
      <c r="H3" s="4"/>
      <c r="I3" s="5"/>
      <c r="J3" s="3"/>
      <c r="K3" s="3"/>
      <c r="L3" s="3"/>
      <c r="M3" s="3"/>
      <c r="N3" s="5"/>
      <c r="O3" s="3"/>
      <c r="P3" s="3"/>
      <c r="Q3" s="3"/>
      <c r="R3" s="3"/>
    </row>
    <row r="4" spans="1:18" ht="12.75">
      <c r="A4" s="2" t="s">
        <v>47</v>
      </c>
      <c r="B4" s="2"/>
      <c r="C4" s="7" t="s">
        <v>48</v>
      </c>
      <c r="D4" s="7"/>
      <c r="E4" s="8"/>
      <c r="F4" s="9"/>
      <c r="G4" s="8"/>
      <c r="H4" s="9"/>
      <c r="I4" s="5"/>
      <c r="J4" s="8"/>
      <c r="K4" s="8"/>
      <c r="L4" s="8"/>
      <c r="M4" s="8"/>
      <c r="N4" s="5"/>
      <c r="O4" s="8"/>
      <c r="P4" s="8"/>
      <c r="Q4" s="8"/>
      <c r="R4" s="8"/>
    </row>
    <row r="5" spans="1:18" ht="12.75">
      <c r="A5" s="2" t="s">
        <v>49</v>
      </c>
      <c r="B5" s="2"/>
      <c r="C5" s="6" t="s">
        <v>50</v>
      </c>
      <c r="J5" s="3"/>
      <c r="K5" s="3"/>
      <c r="L5" s="3"/>
      <c r="M5" s="3"/>
      <c r="N5" s="5"/>
      <c r="O5" s="3"/>
      <c r="P5" s="3"/>
      <c r="Q5" s="3"/>
      <c r="R5" s="3"/>
    </row>
    <row r="6" spans="1:18" ht="12.75">
      <c r="A6" s="2"/>
      <c r="B6" s="2"/>
      <c r="C6" s="11"/>
      <c r="D6" s="11"/>
      <c r="E6" s="5"/>
      <c r="F6" s="4"/>
      <c r="G6" s="5"/>
      <c r="H6" s="4"/>
      <c r="I6" s="5"/>
      <c r="J6" s="5"/>
      <c r="K6" s="3"/>
      <c r="L6" s="5"/>
      <c r="M6" s="3"/>
      <c r="N6" s="5"/>
      <c r="O6" s="5"/>
      <c r="P6" s="3"/>
      <c r="Q6" s="5"/>
      <c r="R6" s="3"/>
    </row>
    <row r="7" spans="1:18" ht="12.75">
      <c r="A7" s="2"/>
      <c r="B7" s="2"/>
      <c r="C7" s="11" t="s">
        <v>51</v>
      </c>
      <c r="D7" s="11"/>
      <c r="E7" s="12" t="s">
        <v>52</v>
      </c>
      <c r="F7" s="12"/>
      <c r="G7" s="12"/>
      <c r="H7" s="12"/>
      <c r="I7" s="13"/>
      <c r="J7" s="12" t="s">
        <v>53</v>
      </c>
      <c r="K7" s="12"/>
      <c r="L7" s="12"/>
      <c r="M7" s="12"/>
      <c r="N7" s="13"/>
      <c r="O7" s="12" t="s">
        <v>54</v>
      </c>
      <c r="P7" s="12"/>
      <c r="Q7" s="12"/>
      <c r="R7" s="12"/>
    </row>
    <row r="8" spans="1:18" ht="12.75">
      <c r="A8" s="2"/>
      <c r="B8" s="2"/>
      <c r="C8" s="11" t="s">
        <v>55</v>
      </c>
      <c r="D8" s="2"/>
      <c r="E8" s="5" t="s">
        <v>56</v>
      </c>
      <c r="F8" s="9" t="s">
        <v>57</v>
      </c>
      <c r="G8" s="5" t="s">
        <v>56</v>
      </c>
      <c r="H8" s="9" t="s">
        <v>57</v>
      </c>
      <c r="I8" s="5"/>
      <c r="J8" s="5" t="s">
        <v>56</v>
      </c>
      <c r="K8" s="5" t="s">
        <v>58</v>
      </c>
      <c r="L8" s="5" t="s">
        <v>56</v>
      </c>
      <c r="M8" s="5" t="s">
        <v>58</v>
      </c>
      <c r="N8" s="5"/>
      <c r="O8" s="5" t="s">
        <v>56</v>
      </c>
      <c r="P8" s="5" t="s">
        <v>58</v>
      </c>
      <c r="Q8" s="5" t="s">
        <v>56</v>
      </c>
      <c r="R8" s="5" t="s">
        <v>58</v>
      </c>
    </row>
    <row r="9" spans="3:28" s="2" customFormat="1" ht="12.75">
      <c r="C9" s="11"/>
      <c r="E9" s="5" t="s">
        <v>245</v>
      </c>
      <c r="F9" s="5" t="s">
        <v>245</v>
      </c>
      <c r="G9" s="5" t="s">
        <v>150</v>
      </c>
      <c r="H9" s="9" t="s">
        <v>150</v>
      </c>
      <c r="I9" s="5"/>
      <c r="J9" s="5" t="s">
        <v>245</v>
      </c>
      <c r="K9" s="5" t="s">
        <v>245</v>
      </c>
      <c r="L9" s="5" t="s">
        <v>150</v>
      </c>
      <c r="M9" s="9" t="s">
        <v>150</v>
      </c>
      <c r="N9" s="5"/>
      <c r="O9" s="5" t="s">
        <v>245</v>
      </c>
      <c r="P9" s="5" t="s">
        <v>245</v>
      </c>
      <c r="Q9" s="5" t="s">
        <v>150</v>
      </c>
      <c r="R9" s="9" t="s">
        <v>150</v>
      </c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spans="1:18" ht="12.75">
      <c r="A10" s="2" t="s">
        <v>59</v>
      </c>
      <c r="B10" s="2"/>
      <c r="C10" s="2"/>
      <c r="D10" s="2"/>
      <c r="E10" s="3"/>
      <c r="F10" s="4"/>
      <c r="G10" s="3"/>
      <c r="H10" s="4"/>
      <c r="I10" s="5"/>
      <c r="J10" s="3"/>
      <c r="K10" s="3"/>
      <c r="L10" s="3"/>
      <c r="M10" s="3"/>
      <c r="N10" s="5"/>
      <c r="O10" s="14"/>
      <c r="P10" s="3"/>
      <c r="Q10" s="3"/>
      <c r="R10" s="3"/>
    </row>
    <row r="11" spans="1:18" ht="12.75">
      <c r="A11" s="2"/>
      <c r="B11" s="2" t="s">
        <v>60</v>
      </c>
      <c r="C11" s="11">
        <v>1</v>
      </c>
      <c r="D11" s="11" t="s">
        <v>61</v>
      </c>
      <c r="E11" s="14"/>
      <c r="F11" s="15">
        <f aca="true" t="shared" si="0" ref="F11:H35">IF(E11="","",E11*$C11)</f>
      </c>
      <c r="G11" s="14">
        <f aca="true" t="shared" si="1" ref="G11:G19">IF(E11=0,"",IF(D11="nd",E11/2,E11))</f>
      </c>
      <c r="H11" s="15">
        <f t="shared" si="0"/>
      </c>
      <c r="I11" s="9" t="s">
        <v>61</v>
      </c>
      <c r="K11" s="15">
        <f aca="true" t="shared" si="2" ref="K11:M35">IF(J11="","",J11*$C11)</f>
      </c>
      <c r="L11" s="14">
        <f>IF(J11=0,"",IF(I11="nd",J11/2,J11))</f>
      </c>
      <c r="M11" s="15">
        <f t="shared" si="2"/>
      </c>
      <c r="N11" s="9" t="s">
        <v>61</v>
      </c>
      <c r="O11" s="14"/>
      <c r="P11" s="15">
        <f aca="true" t="shared" si="3" ref="P11:R35">IF(O11="","",O11*$C11)</f>
      </c>
      <c r="Q11" s="14">
        <f>IF(O11=0,"",IF(N11="nd",O11/2,O11))</f>
      </c>
      <c r="R11" s="15">
        <f t="shared" si="3"/>
      </c>
    </row>
    <row r="12" spans="1:18" ht="12.75">
      <c r="A12" s="2"/>
      <c r="B12" s="2" t="s">
        <v>62</v>
      </c>
      <c r="C12" s="11">
        <v>0</v>
      </c>
      <c r="D12" s="11" t="s">
        <v>61</v>
      </c>
      <c r="E12" s="14"/>
      <c r="F12" s="15">
        <f t="shared" si="0"/>
      </c>
      <c r="G12" s="14">
        <f t="shared" si="1"/>
      </c>
      <c r="H12" s="15">
        <f t="shared" si="0"/>
      </c>
      <c r="I12" s="9" t="s">
        <v>61</v>
      </c>
      <c r="K12" s="15">
        <f t="shared" si="2"/>
      </c>
      <c r="L12" s="14">
        <f aca="true" t="shared" si="4" ref="L12:L35">IF(J12=0,"",IF(I12="nd",J12/2,J12))</f>
      </c>
      <c r="M12" s="15">
        <f t="shared" si="2"/>
      </c>
      <c r="N12" s="9" t="s">
        <v>61</v>
      </c>
      <c r="O12" s="16"/>
      <c r="P12" s="15">
        <f t="shared" si="3"/>
      </c>
      <c r="Q12" s="14">
        <f aca="true" t="shared" si="5" ref="Q12:Q35">IF(O12=0,"",IF(N12="nd",O12/2,O12))</f>
      </c>
      <c r="R12" s="15">
        <f t="shared" si="3"/>
      </c>
    </row>
    <row r="13" spans="1:18" ht="12.75">
      <c r="A13" s="2"/>
      <c r="B13" s="2" t="s">
        <v>63</v>
      </c>
      <c r="C13" s="11">
        <v>0.5</v>
      </c>
      <c r="D13" s="11" t="s">
        <v>61</v>
      </c>
      <c r="E13" s="14"/>
      <c r="F13" s="15">
        <f t="shared" si="0"/>
      </c>
      <c r="G13" s="14">
        <f t="shared" si="1"/>
      </c>
      <c r="H13" s="15">
        <f t="shared" si="0"/>
      </c>
      <c r="I13" s="9" t="s">
        <v>61</v>
      </c>
      <c r="K13" s="15">
        <f t="shared" si="2"/>
      </c>
      <c r="L13" s="14">
        <f t="shared" si="4"/>
      </c>
      <c r="M13" s="15">
        <f t="shared" si="2"/>
      </c>
      <c r="N13" s="9" t="s">
        <v>61</v>
      </c>
      <c r="O13" s="16"/>
      <c r="P13" s="15">
        <f t="shared" si="3"/>
      </c>
      <c r="Q13" s="14">
        <f t="shared" si="5"/>
      </c>
      <c r="R13" s="15">
        <f t="shared" si="3"/>
      </c>
    </row>
    <row r="14" spans="1:18" ht="12.75">
      <c r="A14" s="2"/>
      <c r="B14" s="2" t="s">
        <v>64</v>
      </c>
      <c r="C14" s="11">
        <v>0</v>
      </c>
      <c r="D14" s="11" t="s">
        <v>61</v>
      </c>
      <c r="E14" s="14"/>
      <c r="F14" s="15">
        <f t="shared" si="0"/>
      </c>
      <c r="G14" s="14">
        <f t="shared" si="1"/>
      </c>
      <c r="H14" s="15">
        <f t="shared" si="0"/>
      </c>
      <c r="I14" s="9" t="s">
        <v>61</v>
      </c>
      <c r="K14" s="15">
        <f t="shared" si="2"/>
      </c>
      <c r="L14" s="14">
        <f t="shared" si="4"/>
      </c>
      <c r="M14" s="15">
        <f t="shared" si="2"/>
      </c>
      <c r="N14" s="9" t="s">
        <v>61</v>
      </c>
      <c r="O14" s="16"/>
      <c r="P14" s="15">
        <f t="shared" si="3"/>
      </c>
      <c r="Q14" s="14">
        <f t="shared" si="5"/>
      </c>
      <c r="R14" s="15">
        <f t="shared" si="3"/>
      </c>
    </row>
    <row r="15" spans="1:18" ht="12.75">
      <c r="A15" s="2"/>
      <c r="B15" s="2" t="s">
        <v>65</v>
      </c>
      <c r="C15" s="11">
        <v>0.1</v>
      </c>
      <c r="D15" s="11" t="s">
        <v>61</v>
      </c>
      <c r="E15" s="14"/>
      <c r="F15" s="15">
        <f t="shared" si="0"/>
      </c>
      <c r="G15" s="14">
        <f t="shared" si="1"/>
      </c>
      <c r="H15" s="15">
        <f t="shared" si="0"/>
      </c>
      <c r="I15" s="9" t="s">
        <v>61</v>
      </c>
      <c r="K15" s="15">
        <f t="shared" si="2"/>
      </c>
      <c r="L15" s="14">
        <f t="shared" si="4"/>
      </c>
      <c r="M15" s="15">
        <f t="shared" si="2"/>
      </c>
      <c r="N15" s="9" t="s">
        <v>61</v>
      </c>
      <c r="O15" s="16"/>
      <c r="P15" s="15">
        <f t="shared" si="3"/>
      </c>
      <c r="Q15" s="14">
        <f t="shared" si="5"/>
      </c>
      <c r="R15" s="15">
        <f t="shared" si="3"/>
      </c>
    </row>
    <row r="16" spans="1:18" ht="12.75">
      <c r="A16" s="2"/>
      <c r="B16" s="2" t="s">
        <v>66</v>
      </c>
      <c r="C16" s="11">
        <v>0.1</v>
      </c>
      <c r="D16" s="11" t="s">
        <v>61</v>
      </c>
      <c r="E16" s="14"/>
      <c r="F16" s="15">
        <f t="shared" si="0"/>
      </c>
      <c r="G16" s="14">
        <f t="shared" si="1"/>
      </c>
      <c r="H16" s="15">
        <f t="shared" si="0"/>
      </c>
      <c r="I16" s="9" t="s">
        <v>61</v>
      </c>
      <c r="K16" s="15">
        <f t="shared" si="2"/>
      </c>
      <c r="L16" s="14">
        <f t="shared" si="4"/>
      </c>
      <c r="M16" s="15">
        <f t="shared" si="2"/>
      </c>
      <c r="N16" s="9" t="s">
        <v>61</v>
      </c>
      <c r="O16" s="16"/>
      <c r="P16" s="15">
        <f t="shared" si="3"/>
      </c>
      <c r="Q16" s="14">
        <f t="shared" si="5"/>
      </c>
      <c r="R16" s="15">
        <f t="shared" si="3"/>
      </c>
    </row>
    <row r="17" spans="1:18" ht="12.75">
      <c r="A17" s="2"/>
      <c r="B17" s="2" t="s">
        <v>67</v>
      </c>
      <c r="C17" s="11">
        <v>0.1</v>
      </c>
      <c r="D17" s="11" t="s">
        <v>61</v>
      </c>
      <c r="E17" s="14"/>
      <c r="F17" s="15">
        <f t="shared" si="0"/>
      </c>
      <c r="G17" s="14">
        <f t="shared" si="1"/>
      </c>
      <c r="H17" s="15">
        <f t="shared" si="0"/>
      </c>
      <c r="I17" s="9" t="s">
        <v>61</v>
      </c>
      <c r="K17" s="15">
        <f t="shared" si="2"/>
      </c>
      <c r="L17" s="14">
        <f t="shared" si="4"/>
      </c>
      <c r="M17" s="15">
        <f t="shared" si="2"/>
      </c>
      <c r="N17" s="9" t="s">
        <v>61</v>
      </c>
      <c r="O17" s="16"/>
      <c r="P17" s="15">
        <f t="shared" si="3"/>
      </c>
      <c r="Q17" s="14">
        <f t="shared" si="5"/>
      </c>
      <c r="R17" s="15">
        <f t="shared" si="3"/>
      </c>
    </row>
    <row r="18" spans="1:18" ht="12.75">
      <c r="A18" s="2"/>
      <c r="B18" s="2" t="s">
        <v>68</v>
      </c>
      <c r="C18" s="11">
        <v>0</v>
      </c>
      <c r="D18" s="11" t="s">
        <v>61</v>
      </c>
      <c r="E18" s="14"/>
      <c r="F18" s="15">
        <f t="shared" si="0"/>
      </c>
      <c r="G18" s="14">
        <f t="shared" si="1"/>
      </c>
      <c r="H18" s="15">
        <f t="shared" si="0"/>
      </c>
      <c r="I18" s="9" t="s">
        <v>61</v>
      </c>
      <c r="K18" s="15">
        <f t="shared" si="2"/>
      </c>
      <c r="L18" s="14">
        <f t="shared" si="4"/>
      </c>
      <c r="M18" s="15">
        <f t="shared" si="2"/>
      </c>
      <c r="N18" s="9" t="s">
        <v>61</v>
      </c>
      <c r="O18" s="16"/>
      <c r="P18" s="15">
        <f t="shared" si="3"/>
      </c>
      <c r="Q18" s="14">
        <f t="shared" si="5"/>
      </c>
      <c r="R18" s="15">
        <f t="shared" si="3"/>
      </c>
    </row>
    <row r="19" spans="1:18" ht="12.75">
      <c r="A19" s="2"/>
      <c r="B19" s="2" t="s">
        <v>69</v>
      </c>
      <c r="C19" s="11">
        <v>0.01</v>
      </c>
      <c r="D19" s="11" t="s">
        <v>61</v>
      </c>
      <c r="E19" s="14"/>
      <c r="F19" s="15">
        <f t="shared" si="0"/>
      </c>
      <c r="G19" s="14">
        <f t="shared" si="1"/>
      </c>
      <c r="H19" s="15">
        <f t="shared" si="0"/>
      </c>
      <c r="I19" s="9" t="s">
        <v>61</v>
      </c>
      <c r="K19" s="15">
        <f t="shared" si="2"/>
      </c>
      <c r="L19" s="14">
        <f t="shared" si="4"/>
      </c>
      <c r="M19" s="15">
        <f t="shared" si="2"/>
      </c>
      <c r="N19" s="9" t="s">
        <v>61</v>
      </c>
      <c r="O19" s="16"/>
      <c r="P19" s="15">
        <f t="shared" si="3"/>
      </c>
      <c r="Q19" s="14">
        <f t="shared" si="5"/>
      </c>
      <c r="R19" s="15">
        <f t="shared" si="3"/>
      </c>
    </row>
    <row r="20" spans="1:18" ht="12.75">
      <c r="A20" s="2"/>
      <c r="B20" s="2" t="s">
        <v>70</v>
      </c>
      <c r="C20" s="11">
        <v>0</v>
      </c>
      <c r="D20" s="11" t="s">
        <v>61</v>
      </c>
      <c r="E20" s="14"/>
      <c r="F20" s="15">
        <f t="shared" si="0"/>
      </c>
      <c r="G20" s="14"/>
      <c r="H20" s="15">
        <f t="shared" si="0"/>
      </c>
      <c r="I20" s="9" t="s">
        <v>61</v>
      </c>
      <c r="K20" s="15">
        <f t="shared" si="2"/>
      </c>
      <c r="L20" s="14">
        <f t="shared" si="4"/>
      </c>
      <c r="M20" s="15">
        <f t="shared" si="2"/>
      </c>
      <c r="N20" s="9" t="s">
        <v>61</v>
      </c>
      <c r="O20" s="16"/>
      <c r="P20" s="15">
        <f t="shared" si="3"/>
      </c>
      <c r="Q20" s="14">
        <f t="shared" si="5"/>
      </c>
      <c r="R20" s="15">
        <f t="shared" si="3"/>
      </c>
    </row>
    <row r="21" spans="1:18" ht="12.75">
      <c r="A21" s="2"/>
      <c r="B21" s="2" t="s">
        <v>71</v>
      </c>
      <c r="C21" s="11">
        <v>0.001</v>
      </c>
      <c r="D21" s="11"/>
      <c r="E21" s="14">
        <v>18.3</v>
      </c>
      <c r="F21" s="15">
        <f t="shared" si="0"/>
        <v>0.0183</v>
      </c>
      <c r="G21" s="14">
        <f aca="true" t="shared" si="6" ref="G21:G35">IF(E21=0,"",IF(D21="nd",E21/2,E21))</f>
        <v>18.3</v>
      </c>
      <c r="H21" s="15">
        <f t="shared" si="0"/>
        <v>0.0183</v>
      </c>
      <c r="I21" s="9"/>
      <c r="J21" s="6">
        <v>23.3</v>
      </c>
      <c r="K21" s="15">
        <f t="shared" si="2"/>
        <v>0.0233</v>
      </c>
      <c r="L21" s="14">
        <f t="shared" si="4"/>
        <v>23.3</v>
      </c>
      <c r="M21" s="15">
        <f t="shared" si="2"/>
        <v>0.0233</v>
      </c>
      <c r="N21" s="9"/>
      <c r="O21" s="16">
        <v>21.9</v>
      </c>
      <c r="P21" s="15">
        <f t="shared" si="3"/>
        <v>0.0219</v>
      </c>
      <c r="Q21" s="14">
        <f t="shared" si="5"/>
        <v>21.9</v>
      </c>
      <c r="R21" s="15">
        <f t="shared" si="3"/>
        <v>0.0219</v>
      </c>
    </row>
    <row r="22" spans="1:18" ht="12.75">
      <c r="A22" s="2"/>
      <c r="B22" s="2" t="s">
        <v>72</v>
      </c>
      <c r="C22" s="11">
        <v>0.1</v>
      </c>
      <c r="D22" s="11" t="s">
        <v>61</v>
      </c>
      <c r="E22" s="14"/>
      <c r="F22" s="15"/>
      <c r="G22" s="14"/>
      <c r="H22" s="15"/>
      <c r="I22" s="9" t="s">
        <v>61</v>
      </c>
      <c r="K22" s="15">
        <f t="shared" si="2"/>
      </c>
      <c r="L22" s="14">
        <f t="shared" si="4"/>
      </c>
      <c r="M22" s="15">
        <f t="shared" si="2"/>
      </c>
      <c r="N22" s="9" t="s">
        <v>61</v>
      </c>
      <c r="O22" s="16"/>
      <c r="P22" s="15">
        <f t="shared" si="3"/>
      </c>
      <c r="Q22" s="14">
        <f t="shared" si="5"/>
      </c>
      <c r="R22" s="15">
        <f t="shared" si="3"/>
      </c>
    </row>
    <row r="23" spans="1:18" ht="12.75">
      <c r="A23" s="2"/>
      <c r="B23" s="2" t="s">
        <v>73</v>
      </c>
      <c r="C23" s="11">
        <v>0</v>
      </c>
      <c r="D23" s="11"/>
      <c r="E23" s="14">
        <v>7</v>
      </c>
      <c r="F23" s="15">
        <f t="shared" si="0"/>
        <v>0</v>
      </c>
      <c r="G23" s="14">
        <f t="shared" si="6"/>
        <v>7</v>
      </c>
      <c r="H23" s="15">
        <f t="shared" si="0"/>
        <v>0</v>
      </c>
      <c r="I23" s="9"/>
      <c r="J23" s="6">
        <v>3.2</v>
      </c>
      <c r="K23" s="15">
        <f t="shared" si="2"/>
        <v>0</v>
      </c>
      <c r="L23" s="14">
        <f t="shared" si="4"/>
        <v>3.2</v>
      </c>
      <c r="M23" s="15">
        <f t="shared" si="2"/>
        <v>0</v>
      </c>
      <c r="N23" s="9"/>
      <c r="O23" s="16">
        <v>4.3</v>
      </c>
      <c r="P23" s="15">
        <f t="shared" si="3"/>
        <v>0</v>
      </c>
      <c r="Q23" s="14">
        <f t="shared" si="5"/>
        <v>4.3</v>
      </c>
      <c r="R23" s="15">
        <f t="shared" si="3"/>
        <v>0</v>
      </c>
    </row>
    <row r="24" spans="1:18" ht="12.75">
      <c r="A24" s="2"/>
      <c r="B24" s="2" t="s">
        <v>74</v>
      </c>
      <c r="C24" s="11">
        <v>0.05</v>
      </c>
      <c r="D24" s="11" t="s">
        <v>61</v>
      </c>
      <c r="E24" s="14"/>
      <c r="F24" s="15">
        <f t="shared" si="0"/>
      </c>
      <c r="G24" s="14">
        <f t="shared" si="6"/>
      </c>
      <c r="H24" s="15">
        <f t="shared" si="0"/>
      </c>
      <c r="I24" s="9" t="s">
        <v>61</v>
      </c>
      <c r="K24" s="15">
        <f t="shared" si="2"/>
      </c>
      <c r="L24" s="14">
        <f t="shared" si="4"/>
      </c>
      <c r="M24" s="15">
        <f t="shared" si="2"/>
      </c>
      <c r="N24" s="9" t="s">
        <v>61</v>
      </c>
      <c r="O24" s="16"/>
      <c r="P24" s="15">
        <f t="shared" si="3"/>
      </c>
      <c r="Q24" s="14">
        <f t="shared" si="5"/>
      </c>
      <c r="R24" s="15">
        <f t="shared" si="3"/>
      </c>
    </row>
    <row r="25" spans="1:18" ht="12.75">
      <c r="A25" s="2"/>
      <c r="B25" s="2" t="s">
        <v>75</v>
      </c>
      <c r="C25" s="11">
        <v>0.5</v>
      </c>
      <c r="D25" s="11" t="s">
        <v>61</v>
      </c>
      <c r="E25" s="14"/>
      <c r="F25" s="15">
        <f t="shared" si="0"/>
      </c>
      <c r="G25" s="14">
        <f t="shared" si="6"/>
      </c>
      <c r="H25" s="15">
        <f t="shared" si="0"/>
      </c>
      <c r="I25" s="9" t="s">
        <v>61</v>
      </c>
      <c r="K25" s="15">
        <f t="shared" si="2"/>
      </c>
      <c r="L25" s="14">
        <f t="shared" si="4"/>
      </c>
      <c r="M25" s="15">
        <f t="shared" si="2"/>
      </c>
      <c r="N25" s="9" t="s">
        <v>61</v>
      </c>
      <c r="O25" s="16"/>
      <c r="P25" s="15">
        <f t="shared" si="3"/>
      </c>
      <c r="Q25" s="14">
        <f t="shared" si="5"/>
      </c>
      <c r="R25" s="15">
        <f t="shared" si="3"/>
      </c>
    </row>
    <row r="26" spans="1:18" ht="12.75">
      <c r="A26" s="2"/>
      <c r="B26" s="2" t="s">
        <v>76</v>
      </c>
      <c r="C26" s="11">
        <v>0</v>
      </c>
      <c r="D26" s="11" t="s">
        <v>61</v>
      </c>
      <c r="E26" s="14"/>
      <c r="F26" s="15">
        <f t="shared" si="0"/>
      </c>
      <c r="G26" s="14">
        <f t="shared" si="6"/>
      </c>
      <c r="H26" s="15">
        <f t="shared" si="0"/>
      </c>
      <c r="I26" s="9" t="s">
        <v>61</v>
      </c>
      <c r="K26" s="15">
        <f t="shared" si="2"/>
      </c>
      <c r="L26" s="14">
        <f t="shared" si="4"/>
      </c>
      <c r="M26" s="15">
        <f t="shared" si="2"/>
      </c>
      <c r="N26" s="9" t="s">
        <v>61</v>
      </c>
      <c r="O26" s="16"/>
      <c r="P26" s="15">
        <f t="shared" si="3"/>
      </c>
      <c r="Q26" s="14">
        <f t="shared" si="5"/>
      </c>
      <c r="R26" s="15">
        <f t="shared" si="3"/>
      </c>
    </row>
    <row r="27" spans="1:18" ht="12.75">
      <c r="A27" s="2"/>
      <c r="B27" s="2" t="s">
        <v>77</v>
      </c>
      <c r="C27" s="11">
        <v>0.1</v>
      </c>
      <c r="D27" s="11" t="s">
        <v>61</v>
      </c>
      <c r="E27" s="14"/>
      <c r="F27" s="15">
        <f t="shared" si="0"/>
      </c>
      <c r="G27" s="14">
        <f t="shared" si="6"/>
      </c>
      <c r="H27" s="15">
        <f t="shared" si="0"/>
      </c>
      <c r="I27" s="9" t="s">
        <v>61</v>
      </c>
      <c r="K27" s="15">
        <f t="shared" si="2"/>
      </c>
      <c r="L27" s="14">
        <f t="shared" si="4"/>
      </c>
      <c r="M27" s="15">
        <f t="shared" si="2"/>
      </c>
      <c r="N27" s="9" t="s">
        <v>61</v>
      </c>
      <c r="O27" s="16"/>
      <c r="P27" s="15">
        <f t="shared" si="3"/>
      </c>
      <c r="Q27" s="14">
        <f t="shared" si="5"/>
      </c>
      <c r="R27" s="15">
        <f t="shared" si="3"/>
      </c>
    </row>
    <row r="28" spans="1:18" ht="12.75">
      <c r="A28" s="2"/>
      <c r="B28" s="2" t="s">
        <v>78</v>
      </c>
      <c r="C28" s="11">
        <v>0.1</v>
      </c>
      <c r="D28" s="11" t="s">
        <v>61</v>
      </c>
      <c r="E28" s="14"/>
      <c r="F28" s="15">
        <f t="shared" si="0"/>
      </c>
      <c r="G28" s="14">
        <f t="shared" si="6"/>
      </c>
      <c r="H28" s="15">
        <f t="shared" si="0"/>
      </c>
      <c r="I28" s="9" t="s">
        <v>61</v>
      </c>
      <c r="K28" s="15">
        <f t="shared" si="2"/>
      </c>
      <c r="L28" s="14">
        <f t="shared" si="4"/>
      </c>
      <c r="M28" s="15">
        <f t="shared" si="2"/>
      </c>
      <c r="N28" s="9" t="s">
        <v>61</v>
      </c>
      <c r="O28" s="16"/>
      <c r="P28" s="15">
        <f t="shared" si="3"/>
      </c>
      <c r="Q28" s="14">
        <f t="shared" si="5"/>
      </c>
      <c r="R28" s="15">
        <f t="shared" si="3"/>
      </c>
    </row>
    <row r="29" spans="1:18" ht="12.75">
      <c r="A29" s="2"/>
      <c r="B29" s="2" t="s">
        <v>79</v>
      </c>
      <c r="C29" s="11">
        <v>0.1</v>
      </c>
      <c r="D29" s="11" t="s">
        <v>61</v>
      </c>
      <c r="E29" s="14"/>
      <c r="F29" s="15">
        <f t="shared" si="0"/>
      </c>
      <c r="G29" s="14">
        <f t="shared" si="6"/>
      </c>
      <c r="H29" s="15">
        <f t="shared" si="0"/>
      </c>
      <c r="I29" s="9" t="s">
        <v>61</v>
      </c>
      <c r="K29" s="15">
        <f t="shared" si="2"/>
      </c>
      <c r="L29" s="14">
        <f t="shared" si="4"/>
      </c>
      <c r="M29" s="15">
        <f t="shared" si="2"/>
      </c>
      <c r="N29" s="9" t="s">
        <v>61</v>
      </c>
      <c r="O29" s="16"/>
      <c r="P29" s="15">
        <f t="shared" si="3"/>
      </c>
      <c r="Q29" s="14">
        <f t="shared" si="5"/>
      </c>
      <c r="R29" s="15">
        <f t="shared" si="3"/>
      </c>
    </row>
    <row r="30" spans="1:18" ht="12.75">
      <c r="A30" s="2"/>
      <c r="B30" s="2" t="s">
        <v>80</v>
      </c>
      <c r="C30" s="11">
        <v>0.1</v>
      </c>
      <c r="D30" s="11" t="s">
        <v>61</v>
      </c>
      <c r="E30" s="14"/>
      <c r="F30" s="15">
        <f t="shared" si="0"/>
      </c>
      <c r="G30" s="14">
        <f t="shared" si="6"/>
      </c>
      <c r="H30" s="15">
        <f t="shared" si="0"/>
      </c>
      <c r="I30" s="9" t="s">
        <v>61</v>
      </c>
      <c r="K30" s="15">
        <f t="shared" si="2"/>
      </c>
      <c r="L30" s="14">
        <f t="shared" si="4"/>
      </c>
      <c r="M30" s="15">
        <f t="shared" si="2"/>
      </c>
      <c r="N30" s="9" t="s">
        <v>61</v>
      </c>
      <c r="O30" s="16"/>
      <c r="P30" s="15">
        <f t="shared" si="3"/>
      </c>
      <c r="Q30" s="14">
        <f t="shared" si="5"/>
      </c>
      <c r="R30" s="15">
        <f t="shared" si="3"/>
      </c>
    </row>
    <row r="31" spans="1:18" ht="12.75">
      <c r="A31" s="2"/>
      <c r="B31" s="2" t="s">
        <v>81</v>
      </c>
      <c r="C31" s="11">
        <v>0</v>
      </c>
      <c r="D31" s="11" t="s">
        <v>61</v>
      </c>
      <c r="E31" s="14"/>
      <c r="F31" s="15">
        <f t="shared" si="0"/>
      </c>
      <c r="G31" s="14">
        <f t="shared" si="6"/>
      </c>
      <c r="H31" s="15">
        <f t="shared" si="0"/>
      </c>
      <c r="I31" s="9" t="s">
        <v>61</v>
      </c>
      <c r="K31" s="15">
        <f t="shared" si="2"/>
      </c>
      <c r="L31" s="14">
        <f t="shared" si="4"/>
      </c>
      <c r="M31" s="15">
        <f t="shared" si="2"/>
      </c>
      <c r="N31" s="9" t="s">
        <v>61</v>
      </c>
      <c r="O31" s="16"/>
      <c r="P31" s="15">
        <f t="shared" si="3"/>
      </c>
      <c r="Q31" s="14">
        <f t="shared" si="5"/>
      </c>
      <c r="R31" s="15">
        <f t="shared" si="3"/>
      </c>
    </row>
    <row r="32" spans="1:18" ht="12.75">
      <c r="A32" s="2"/>
      <c r="B32" s="2" t="s">
        <v>82</v>
      </c>
      <c r="C32" s="11">
        <v>0.01</v>
      </c>
      <c r="D32" s="11" t="s">
        <v>61</v>
      </c>
      <c r="E32" s="14"/>
      <c r="F32" s="15">
        <f t="shared" si="0"/>
      </c>
      <c r="G32" s="14">
        <f t="shared" si="6"/>
      </c>
      <c r="H32" s="15">
        <f t="shared" si="0"/>
      </c>
      <c r="I32" s="9" t="s">
        <v>61</v>
      </c>
      <c r="K32" s="15">
        <f t="shared" si="2"/>
      </c>
      <c r="L32" s="14">
        <f t="shared" si="4"/>
      </c>
      <c r="M32" s="15">
        <f t="shared" si="2"/>
      </c>
      <c r="N32" s="9" t="s">
        <v>61</v>
      </c>
      <c r="O32" s="16"/>
      <c r="P32" s="15">
        <f t="shared" si="3"/>
      </c>
      <c r="Q32" s="14">
        <f t="shared" si="5"/>
      </c>
      <c r="R32" s="15">
        <f t="shared" si="3"/>
      </c>
    </row>
    <row r="33" spans="1:18" ht="12.75">
      <c r="A33" s="2"/>
      <c r="B33" s="2" t="s">
        <v>83</v>
      </c>
      <c r="C33" s="11">
        <v>0.01</v>
      </c>
      <c r="D33" s="11" t="s">
        <v>61</v>
      </c>
      <c r="E33" s="14"/>
      <c r="F33" s="15">
        <f t="shared" si="0"/>
      </c>
      <c r="G33" s="14">
        <f t="shared" si="6"/>
      </c>
      <c r="H33" s="15">
        <f t="shared" si="0"/>
      </c>
      <c r="I33" s="9" t="s">
        <v>61</v>
      </c>
      <c r="K33" s="15">
        <f t="shared" si="2"/>
      </c>
      <c r="L33" s="14">
        <f t="shared" si="4"/>
      </c>
      <c r="M33" s="15">
        <f t="shared" si="2"/>
      </c>
      <c r="N33" s="9" t="s">
        <v>61</v>
      </c>
      <c r="O33" s="16"/>
      <c r="P33" s="15">
        <f t="shared" si="3"/>
      </c>
      <c r="Q33" s="14">
        <f t="shared" si="5"/>
      </c>
      <c r="R33" s="15">
        <f t="shared" si="3"/>
      </c>
    </row>
    <row r="34" spans="1:18" ht="12.75">
      <c r="A34" s="2"/>
      <c r="B34" s="2" t="s">
        <v>84</v>
      </c>
      <c r="C34" s="11">
        <v>0</v>
      </c>
      <c r="D34" s="11" t="s">
        <v>61</v>
      </c>
      <c r="E34" s="14"/>
      <c r="F34" s="15">
        <f t="shared" si="0"/>
      </c>
      <c r="G34" s="14">
        <f t="shared" si="6"/>
      </c>
      <c r="H34" s="15">
        <f t="shared" si="0"/>
      </c>
      <c r="I34" s="9" t="s">
        <v>61</v>
      </c>
      <c r="K34" s="15">
        <f t="shared" si="2"/>
      </c>
      <c r="L34" s="14">
        <f t="shared" si="4"/>
      </c>
      <c r="M34" s="15">
        <f t="shared" si="2"/>
      </c>
      <c r="N34" s="9" t="s">
        <v>61</v>
      </c>
      <c r="O34" s="16"/>
      <c r="P34" s="15">
        <f t="shared" si="3"/>
      </c>
      <c r="Q34" s="14">
        <f t="shared" si="5"/>
      </c>
      <c r="R34" s="15">
        <f t="shared" si="3"/>
      </c>
    </row>
    <row r="35" spans="1:18" ht="12.75">
      <c r="A35" s="2"/>
      <c r="B35" s="2" t="s">
        <v>85</v>
      </c>
      <c r="C35" s="11">
        <v>0.001</v>
      </c>
      <c r="D35" s="11" t="s">
        <v>61</v>
      </c>
      <c r="E35" s="14"/>
      <c r="F35" s="15">
        <f t="shared" si="0"/>
      </c>
      <c r="G35" s="14">
        <f t="shared" si="6"/>
      </c>
      <c r="H35" s="15">
        <f t="shared" si="0"/>
      </c>
      <c r="I35" s="9" t="s">
        <v>61</v>
      </c>
      <c r="K35" s="15">
        <f t="shared" si="2"/>
      </c>
      <c r="L35" s="14">
        <f t="shared" si="4"/>
      </c>
      <c r="M35" s="15">
        <f t="shared" si="2"/>
      </c>
      <c r="N35" s="9" t="s">
        <v>61</v>
      </c>
      <c r="O35" s="16"/>
      <c r="P35" s="15">
        <f t="shared" si="3"/>
      </c>
      <c r="Q35" s="14">
        <f t="shared" si="5"/>
      </c>
      <c r="R35" s="15">
        <f t="shared" si="3"/>
      </c>
    </row>
    <row r="36" spans="1:18" ht="7.5" customHeight="1">
      <c r="A36" s="2"/>
      <c r="B36" s="2"/>
      <c r="C36" s="2"/>
      <c r="D36" s="2"/>
      <c r="E36" s="17"/>
      <c r="F36" s="4"/>
      <c r="G36" s="17"/>
      <c r="H36" s="4"/>
      <c r="I36" s="18"/>
      <c r="K36" s="14"/>
      <c r="L36" s="14"/>
      <c r="M36" s="14"/>
      <c r="N36" s="18"/>
      <c r="P36" s="3"/>
      <c r="Q36" s="17"/>
      <c r="R36" s="3"/>
    </row>
    <row r="37" spans="1:18" ht="12.75">
      <c r="A37" s="2"/>
      <c r="B37" s="2" t="s">
        <v>86</v>
      </c>
      <c r="C37" s="2"/>
      <c r="D37" s="2"/>
      <c r="E37" s="17"/>
      <c r="F37" s="17">
        <v>95.913</v>
      </c>
      <c r="G37" s="17"/>
      <c r="H37" s="17">
        <v>95.913</v>
      </c>
      <c r="I37" s="18"/>
      <c r="J37" s="17"/>
      <c r="K37" s="17">
        <v>97.992</v>
      </c>
      <c r="L37" s="17"/>
      <c r="M37" s="17">
        <v>97.992</v>
      </c>
      <c r="N37" s="18"/>
      <c r="O37" s="17"/>
      <c r="P37" s="17">
        <v>102.517887</v>
      </c>
      <c r="Q37" s="17"/>
      <c r="R37" s="17">
        <v>102.517887</v>
      </c>
    </row>
    <row r="38" spans="1:18" ht="12.75">
      <c r="A38" s="2"/>
      <c r="B38" s="2" t="s">
        <v>87</v>
      </c>
      <c r="C38" s="2"/>
      <c r="D38" s="2"/>
      <c r="E38" s="17"/>
      <c r="F38" s="17">
        <v>11.2</v>
      </c>
      <c r="G38" s="17"/>
      <c r="H38" s="17">
        <v>11.2</v>
      </c>
      <c r="I38" s="18"/>
      <c r="J38" s="17"/>
      <c r="K38" s="14">
        <v>11.2</v>
      </c>
      <c r="L38" s="14"/>
      <c r="M38" s="14">
        <v>11.2</v>
      </c>
      <c r="N38" s="18"/>
      <c r="O38" s="17"/>
      <c r="P38" s="17">
        <v>11.2</v>
      </c>
      <c r="Q38" s="17"/>
      <c r="R38" s="17">
        <v>11.2</v>
      </c>
    </row>
    <row r="39" spans="1:18" ht="8.25" customHeight="1">
      <c r="A39" s="2"/>
      <c r="B39" s="2"/>
      <c r="C39" s="2"/>
      <c r="D39" s="2"/>
      <c r="E39" s="17"/>
      <c r="G39" s="17"/>
      <c r="J39" s="17"/>
      <c r="K39" s="16"/>
      <c r="L39" s="14"/>
      <c r="M39" s="16"/>
      <c r="N39" s="18"/>
      <c r="O39" s="17"/>
      <c r="P39" s="17"/>
      <c r="Q39" s="17"/>
      <c r="R39" s="17"/>
    </row>
    <row r="40" spans="1:18" ht="12.75">
      <c r="A40" s="2"/>
      <c r="B40" s="2" t="s">
        <v>88</v>
      </c>
      <c r="C40" s="4"/>
      <c r="D40" s="4"/>
      <c r="E40" s="14"/>
      <c r="F40" s="17">
        <f>SUM(F11:F35)</f>
        <v>0.0183</v>
      </c>
      <c r="G40" s="14"/>
      <c r="H40" s="17">
        <f>SUM(H11:H35)</f>
        <v>0.0183</v>
      </c>
      <c r="I40" s="9"/>
      <c r="J40" s="14"/>
      <c r="K40" s="15">
        <f>SUM(K11:K35)</f>
        <v>0.0233</v>
      </c>
      <c r="L40" s="14"/>
      <c r="M40" s="15">
        <f>SUM(M11:M35)</f>
        <v>0.0233</v>
      </c>
      <c r="N40" s="9"/>
      <c r="O40" s="17"/>
      <c r="P40" s="4">
        <f>SUM(P11:P35)</f>
        <v>0.0219</v>
      </c>
      <c r="Q40" s="17"/>
      <c r="R40" s="4">
        <f>SUM(R11:R35)</f>
        <v>0.0219</v>
      </c>
    </row>
    <row r="41" spans="1:18" ht="12.75">
      <c r="A41" s="2"/>
      <c r="B41" s="2" t="s">
        <v>89</v>
      </c>
      <c r="C41" s="4"/>
      <c r="D41" s="14">
        <f>(F41-H41)*2/F41*100</f>
        <v>0</v>
      </c>
      <c r="E41" s="17"/>
      <c r="F41" s="19">
        <f>(F40/F37/0.0283*(21-7)/(21-F38))/1000</f>
        <v>9.631393771150284E-06</v>
      </c>
      <c r="G41" s="15"/>
      <c r="H41" s="19">
        <f>(H40/H37/0.0283*(21-7)/(21-H38))/1000</f>
        <v>9.631393771150284E-06</v>
      </c>
      <c r="I41" s="14">
        <f>(K41-M41)*2/K41*100</f>
        <v>0</v>
      </c>
      <c r="J41" s="17"/>
      <c r="K41" s="19">
        <f>K40/K37/0.0283*(21-7)/(21-K38)/1000</f>
        <v>1.2002751751896921E-05</v>
      </c>
      <c r="L41" s="14"/>
      <c r="M41" s="19">
        <f>M40/M37/0.0283*(21-7)/(21-M38)/1000</f>
        <v>1.2002751751896921E-05</v>
      </c>
      <c r="N41" s="14">
        <f>(P41-R41)*2/P41*100</f>
        <v>0</v>
      </c>
      <c r="O41" s="17"/>
      <c r="P41" s="19">
        <f>P40/P37/0.0283*(21-7)/(21-P38)/1000</f>
        <v>1.0783506214676566E-05</v>
      </c>
      <c r="Q41" s="15"/>
      <c r="R41" s="19">
        <f>R40/R37/0.0283*(21-7)/(21-R38)/1000</f>
        <v>1.0783506214676566E-05</v>
      </c>
    </row>
    <row r="42" spans="1:18" ht="6.75" customHeight="1">
      <c r="A42" s="2"/>
      <c r="B42" s="2"/>
      <c r="C42" s="2"/>
      <c r="D42" s="2"/>
      <c r="E42" s="15"/>
      <c r="F42" s="4"/>
      <c r="G42" s="15"/>
      <c r="H42" s="4"/>
      <c r="I42" s="20"/>
      <c r="J42" s="15"/>
      <c r="K42" s="15"/>
      <c r="L42" s="15"/>
      <c r="M42" s="15"/>
      <c r="N42" s="20"/>
      <c r="O42" s="15"/>
      <c r="P42" s="3"/>
      <c r="Q42" s="15"/>
      <c r="R42" s="3"/>
    </row>
    <row r="43" spans="1:18" ht="12.75">
      <c r="A43" s="17"/>
      <c r="B43" s="17" t="s">
        <v>127</v>
      </c>
      <c r="C43" s="17"/>
      <c r="D43" s="17"/>
      <c r="E43" s="17"/>
      <c r="F43" s="4"/>
      <c r="G43" s="17"/>
      <c r="H43" s="4"/>
      <c r="I43" s="18"/>
      <c r="J43" s="17"/>
      <c r="K43" s="17"/>
      <c r="L43" s="17"/>
      <c r="M43" s="17"/>
      <c r="N43" s="18"/>
      <c r="O43" s="17"/>
      <c r="P43" s="3"/>
      <c r="Q43" s="17"/>
      <c r="R43" s="3"/>
    </row>
    <row r="44" spans="1:18" ht="6.75" customHeight="1">
      <c r="A44" s="2"/>
      <c r="B44" s="2"/>
      <c r="C44" s="2"/>
      <c r="D44" s="2"/>
      <c r="E44" s="3"/>
      <c r="F44" s="4"/>
      <c r="G44" s="3"/>
      <c r="H44" s="4"/>
      <c r="I44" s="5"/>
      <c r="J44" s="3"/>
      <c r="K44" s="3"/>
      <c r="L44" s="3"/>
      <c r="M44" s="3"/>
      <c r="N44" s="5"/>
      <c r="O44" s="3"/>
      <c r="P44" s="3"/>
      <c r="Q44" s="3"/>
      <c r="R44" s="3"/>
    </row>
    <row r="45" spans="1:18" ht="12.75">
      <c r="A45" s="2"/>
      <c r="B45" s="2" t="s">
        <v>146</v>
      </c>
      <c r="C45" s="19">
        <f>AVERAGE(H41,M41,R41)</f>
        <v>1.0805883912574591E-05</v>
      </c>
      <c r="D45" s="2"/>
      <c r="E45" s="2"/>
      <c r="F45" s="4"/>
      <c r="G45" s="2"/>
      <c r="H45" s="4"/>
      <c r="I45" s="11"/>
      <c r="J45" s="2"/>
      <c r="K45" s="2"/>
      <c r="L45" s="2"/>
      <c r="M45" s="2"/>
      <c r="N45" s="11"/>
      <c r="O45" s="2"/>
      <c r="P45" s="2"/>
      <c r="Q45" s="2"/>
      <c r="R45" s="2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2004-02-20T00:48:21Z</cp:lastPrinted>
  <dcterms:created xsi:type="dcterms:W3CDTF">2000-01-10T00:44:42Z</dcterms:created>
  <dcterms:modified xsi:type="dcterms:W3CDTF">2004-02-20T00:48:27Z</dcterms:modified>
  <cp:category/>
  <cp:version/>
  <cp:contentType/>
  <cp:contentStatus/>
</cp:coreProperties>
</file>