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4700" windowHeight="8595" tabRatio="733" activeTab="1"/>
  </bookViews>
  <sheets>
    <sheet name="NF-Output Power-BER derivation" sheetId="1" r:id="rId1"/>
    <sheet name="Summary" sheetId="2" r:id="rId2"/>
    <sheet name="SD" sheetId="3" r:id="rId3"/>
    <sheet name="PDR" sheetId="4" r:id="rId4"/>
    <sheet name="WEFAX" sheetId="5" r:id="rId5"/>
    <sheet name="EMWIN" sheetId="6" r:id="rId6"/>
    <sheet name="MDL" sheetId="7" r:id="rId7"/>
    <sheet name="DCPI" sheetId="8" r:id="rId8"/>
    <sheet name="DCPR" sheetId="9" r:id="rId9"/>
    <sheet name="SAR" sheetId="10" r:id="rId10"/>
    <sheet name="Changes since last revision" sheetId="11" r:id="rId11"/>
    <sheet name="Changes since CDR" sheetId="12" r:id="rId12"/>
  </sheets>
  <definedNames>
    <definedName name="_xlnm.Print_Area" localSheetId="11">'Changes since CDR'!$A$1:$C$634</definedName>
    <definedName name="_xlnm.Print_Area" localSheetId="10">'Changes since last revision'!$A$1:$D$127</definedName>
    <definedName name="_xlnm.Print_Area" localSheetId="7">'DCPI'!$A$1:$M$108</definedName>
    <definedName name="_xlnm.Print_Area" localSheetId="8">'DCPR'!$A$1:$O$125</definedName>
    <definedName name="_xlnm.Print_Area" localSheetId="5">'EMWIN'!$A$1:$M$108</definedName>
    <definedName name="_xlnm.Print_Area" localSheetId="6">'MDL'!$A$1:$Q$76</definedName>
    <definedName name="_xlnm.Print_Area" localSheetId="0">'NF-Output Power-BER derivation'!$A$2:$S$115</definedName>
    <definedName name="_xlnm.Print_Area" localSheetId="3">'PDR'!$A$1:$M$109</definedName>
    <definedName name="_xlnm.Print_Area" localSheetId="9">'SAR'!$A$1:$M$113</definedName>
    <definedName name="_xlnm.Print_Area" localSheetId="2">'SD'!$A$1:$Q$110</definedName>
    <definedName name="_xlnm.Print_Area" localSheetId="1">'Summary'!$A$1:$J$48</definedName>
    <definedName name="_xlnm.Print_Area" localSheetId="4">'WEFAX'!$A$1:$M$108</definedName>
  </definedNames>
  <calcPr fullCalcOnLoad="1"/>
</workbook>
</file>

<file path=xl/sharedStrings.xml><?xml version="1.0" encoding="utf-8"?>
<sst xmlns="http://schemas.openxmlformats.org/spreadsheetml/2006/main" count="6329" uniqueCount="934">
  <si>
    <t>IM</t>
  </si>
  <si>
    <t>Specifications</t>
  </si>
  <si>
    <t>INPUTS</t>
  </si>
  <si>
    <t>CALULATIONS</t>
  </si>
  <si>
    <t>Parameter</t>
  </si>
  <si>
    <t>Units</t>
  </si>
  <si>
    <t>worst case possible perform</t>
  </si>
  <si>
    <t>Minimum or Maximum</t>
  </si>
  <si>
    <t>Variation</t>
  </si>
  <si>
    <t>Design Value</t>
  </si>
  <si>
    <t>FAV Tol</t>
  </si>
  <si>
    <t>Adv TOL</t>
  </si>
  <si>
    <t>Mean Value</t>
  </si>
  <si>
    <t>Variance</t>
  </si>
  <si>
    <t>PDF Ref</t>
  </si>
  <si>
    <t>Remarks</t>
  </si>
  <si>
    <t xml:space="preserve">Link </t>
  </si>
  <si>
    <t>current</t>
  </si>
  <si>
    <t>Data Rate, Rb</t>
  </si>
  <si>
    <t>MHz</t>
  </si>
  <si>
    <t>E/S Uplink Transmitter</t>
  </si>
  <si>
    <t>Frequency</t>
  </si>
  <si>
    <t>Polarization Type</t>
  </si>
  <si>
    <t>lin or cir</t>
  </si>
  <si>
    <t>linear</t>
  </si>
  <si>
    <t>Use circular or linear</t>
  </si>
  <si>
    <t>Axial Ratio if circular</t>
  </si>
  <si>
    <t>dB</t>
  </si>
  <si>
    <t xml:space="preserve"> --</t>
  </si>
  <si>
    <t>axial ratio if circular or zero</t>
  </si>
  <si>
    <t>Transmitter C/N (not per Hz)</t>
  </si>
  <si>
    <t>not included</t>
  </si>
  <si>
    <t>GAU</t>
  </si>
  <si>
    <t>Transmitter CIM (not per Hz)</t>
  </si>
  <si>
    <t>Transmit EIRP</t>
  </si>
  <si>
    <t>dBmi</t>
  </si>
  <si>
    <t>TRI</t>
  </si>
  <si>
    <t>Spec 10.2.1.8 with variation</t>
  </si>
  <si>
    <t>+/- 60 Degree Modulation Loss</t>
  </si>
  <si>
    <t>UNI</t>
  </si>
  <si>
    <t>Use for +/- 60 degree modulators</t>
  </si>
  <si>
    <t>Antenna Pointing Loss</t>
  </si>
  <si>
    <t>Earth - To - Space Performance</t>
  </si>
  <si>
    <t>Path Distance</t>
  </si>
  <si>
    <t>km</t>
  </si>
  <si>
    <t>Free Space Loss</t>
  </si>
  <si>
    <t>(lambda/4 pi range) squared</t>
  </si>
  <si>
    <t>Atmospheric Attenuation</t>
  </si>
  <si>
    <t>gaseous and hydrometeors</t>
  </si>
  <si>
    <t>S/C Receive Channel</t>
  </si>
  <si>
    <t>Polarization Loss</t>
  </si>
  <si>
    <t>polarization miss alignment</t>
  </si>
  <si>
    <t>Dynamic Range Rqmt</t>
  </si>
  <si>
    <t xml:space="preserve"> -96 to -86</t>
  </si>
  <si>
    <t>U/L RSSi/Carrier</t>
  </si>
  <si>
    <t>Antenna EOC Gain</t>
  </si>
  <si>
    <t>dBi</t>
  </si>
  <si>
    <t>EOC = edge of coverage inc all effects</t>
  </si>
  <si>
    <t>Antenna Cable Loss</t>
  </si>
  <si>
    <t>cable from antenna to payload module</t>
  </si>
  <si>
    <t>C-C Input Power</t>
  </si>
  <si>
    <t>dBm</t>
  </si>
  <si>
    <t>connector to connector i/p power</t>
  </si>
  <si>
    <t>Antenna Temperature</t>
  </si>
  <si>
    <t>deg K</t>
  </si>
  <si>
    <t>not stated</t>
  </si>
  <si>
    <t>includes hot body effects</t>
  </si>
  <si>
    <t>Payload Module NF</t>
  </si>
  <si>
    <t xml:space="preserve"> + / - 10 %</t>
  </si>
  <si>
    <t>noise figure at input to payload module</t>
  </si>
  <si>
    <t xml:space="preserve"> NF degradation</t>
  </si>
  <si>
    <t>Payload Module N Temp</t>
  </si>
  <si>
    <t>noise temp at input to payload module</t>
  </si>
  <si>
    <t>System Temperature</t>
  </si>
  <si>
    <t>dBK</t>
  </si>
  <si>
    <t>temp of ant plus payload module</t>
  </si>
  <si>
    <t>G/T</t>
  </si>
  <si>
    <t>dB/K</t>
  </si>
  <si>
    <t>Boltzmann constant</t>
  </si>
  <si>
    <t>dBm/Hz*K</t>
  </si>
  <si>
    <t>DET</t>
  </si>
  <si>
    <t>universal constant</t>
  </si>
  <si>
    <t>Uplink Thermal C/No</t>
  </si>
  <si>
    <t>dB/Hz</t>
  </si>
  <si>
    <t>Composite Uplink C/No</t>
  </si>
  <si>
    <t>transmitter C/No and S/C C/No</t>
  </si>
  <si>
    <t>S/C Transmit Channel</t>
  </si>
  <si>
    <t>Downlink Frequency</t>
  </si>
  <si>
    <t>Transmit Power</t>
  </si>
  <si>
    <t>Watts</t>
  </si>
  <si>
    <t>Minimum output power SSPA</t>
  </si>
  <si>
    <t>SSPA output power spec</t>
  </si>
  <si>
    <t>Mux Losses</t>
  </si>
  <si>
    <t>OMUX losses</t>
  </si>
  <si>
    <t>Output Section Losses</t>
  </si>
  <si>
    <t>losses to output of PM excluding MUX</t>
  </si>
  <si>
    <t>C-C Output Power</t>
  </si>
  <si>
    <t>connector to connector o/p power</t>
  </si>
  <si>
    <t>cable from payload module to antenna</t>
  </si>
  <si>
    <t>Number of Carriers</t>
  </si>
  <si>
    <t>number of carriers</t>
  </si>
  <si>
    <t>Transmit EIRP/Carrier</t>
  </si>
  <si>
    <t xml:space="preserve"> total EIRP divided by number of Carriers</t>
  </si>
  <si>
    <t>Space - To - Earth Performance</t>
  </si>
  <si>
    <t>0.13/1.67</t>
  </si>
  <si>
    <t>E/S Downlink Receiver</t>
  </si>
  <si>
    <t>D/L RSSi/Carrier</t>
  </si>
  <si>
    <t>Pwr Flux Density Rqmt EOC</t>
  </si>
  <si>
    <t>dBW/m2</t>
  </si>
  <si>
    <t>Power Flux Density EOC</t>
  </si>
  <si>
    <t>E/S G/T</t>
  </si>
  <si>
    <t>Pointing Loss</t>
  </si>
  <si>
    <t>Downlink Thermal C/No</t>
  </si>
  <si>
    <t>Noise Power Robbing</t>
  </si>
  <si>
    <t>Carrier to Noise Ratio at input to SSPA</t>
  </si>
  <si>
    <t>Subcarrier Modulation Loss</t>
  </si>
  <si>
    <t>Use only in PSK/PM (SAR channel)</t>
  </si>
  <si>
    <t>Downlink Composite C/No</t>
  </si>
  <si>
    <t>Eb/No Overall Calculation</t>
  </si>
  <si>
    <t>Overall Composite C/No</t>
  </si>
  <si>
    <t>composite U/L &amp; D/L C/No</t>
  </si>
  <si>
    <t>dB-Hz</t>
  </si>
  <si>
    <t>Eb/No Calculated</t>
  </si>
  <si>
    <t>Required Eb/No Adjustments</t>
  </si>
  <si>
    <t>Required BER</t>
  </si>
  <si>
    <t>Theoretical Eb/No</t>
  </si>
  <si>
    <t>mathematical calculation</t>
  </si>
  <si>
    <t>Ground Segment Degradations</t>
  </si>
  <si>
    <t>Demod Loss</t>
  </si>
  <si>
    <t>Transmitter Degradations</t>
  </si>
  <si>
    <t>distortions / linearity</t>
  </si>
  <si>
    <t>transmitter phase noise</t>
  </si>
  <si>
    <t>modulator impairments</t>
  </si>
  <si>
    <t>Satellite Segment Degradations</t>
  </si>
  <si>
    <t xml:space="preserve"> +/- 10 %</t>
  </si>
  <si>
    <t>SPW simulation + analysis</t>
  </si>
  <si>
    <t>channel phase noise</t>
  </si>
  <si>
    <t>intermod noise</t>
  </si>
  <si>
    <t>adj ch interfer - inband</t>
  </si>
  <si>
    <t>Required Eb/No</t>
  </si>
  <si>
    <t>Eb/No MARGIN</t>
  </si>
  <si>
    <t>NQ margin to IJK rqmt</t>
  </si>
  <si>
    <t>sigma=</t>
  </si>
  <si>
    <t xml:space="preserve"> 2-sigma=</t>
  </si>
  <si>
    <t>Required</t>
  </si>
  <si>
    <t>Total</t>
  </si>
  <si>
    <t>EOL</t>
  </si>
  <si>
    <t>S/C Build</t>
  </si>
  <si>
    <t>Margin</t>
  </si>
  <si>
    <t>Design + 2-sigma</t>
  </si>
  <si>
    <t>Design</t>
  </si>
  <si>
    <t>Design - 2-sigma</t>
  </si>
  <si>
    <t>SD Imager, advanced</t>
  </si>
  <si>
    <t>SD Sounder, advanced</t>
  </si>
  <si>
    <t>Subcarrier Mod Loss</t>
  </si>
  <si>
    <t>Imager -- Eb/No Overall Calculation</t>
  </si>
  <si>
    <t>SSPA Power Sharing Factor</t>
  </si>
  <si>
    <t>Eb/No</t>
  </si>
  <si>
    <t>Imager -- E/S Demodulator Performance</t>
  </si>
  <si>
    <t>Satellite Channel Degradations</t>
  </si>
  <si>
    <t>NQ margin to IM rqmt</t>
  </si>
  <si>
    <t>Sounder -- Eb/No Overall Calculation</t>
  </si>
  <si>
    <t>Sounder -- E/S Demodulator Performance</t>
  </si>
  <si>
    <t>Imager</t>
  </si>
  <si>
    <t>Sounder</t>
  </si>
  <si>
    <t>WEFAX</t>
  </si>
  <si>
    <t>FM</t>
  </si>
  <si>
    <t>digital</t>
  </si>
  <si>
    <t>system</t>
  </si>
  <si>
    <t>-107 to -97</t>
  </si>
  <si>
    <t>EMWIN</t>
  </si>
  <si>
    <t>-114 to -104</t>
  </si>
  <si>
    <t>MDL</t>
  </si>
  <si>
    <t>MDL -- Eb/No Overall Calculation</t>
  </si>
  <si>
    <t>MDL -- E/S Demodulator Performance</t>
  </si>
  <si>
    <t>IJK</t>
  </si>
  <si>
    <t>DCPI</t>
  </si>
  <si>
    <t>+/-10%</t>
  </si>
  <si>
    <t>RHCP</t>
  </si>
  <si>
    <t>0.05/0.68</t>
  </si>
  <si>
    <t>DCPR</t>
  </si>
  <si>
    <t>BPSK</t>
  </si>
  <si>
    <t>8PSK</t>
  </si>
  <si>
    <t>N/A</t>
  </si>
  <si>
    <t>--</t>
  </si>
  <si>
    <t>to -100</t>
  </si>
  <si>
    <t>Eb/No MARGIN to user</t>
  </si>
  <si>
    <t>NQ margin into CDA</t>
  </si>
  <si>
    <t>SAR</t>
  </si>
  <si>
    <t>no limit</t>
  </si>
  <si>
    <t>Processing Gain</t>
  </si>
  <si>
    <t xml:space="preserve">From IKJ Report </t>
  </si>
  <si>
    <t>Coding Gain</t>
  </si>
  <si>
    <t>+/- 1.1 Radian Modulation Loss</t>
  </si>
  <si>
    <t>Use for +/- 1.1 Radian modulators</t>
  </si>
  <si>
    <t>noz to -125</t>
  </si>
  <si>
    <r>
      <t>E</t>
    </r>
    <r>
      <rPr>
        <vertAlign val="subscript"/>
        <sz val="10"/>
        <rFont val="Arial"/>
        <family val="2"/>
      </rPr>
      <t>b</t>
    </r>
    <r>
      <rPr>
        <sz val="10"/>
        <rFont val="Arial"/>
        <family val="0"/>
      </rPr>
      <t>/N</t>
    </r>
    <r>
      <rPr>
        <vertAlign val="subscript"/>
        <sz val="10"/>
        <rFont val="Arial"/>
        <family val="2"/>
      </rPr>
      <t>O</t>
    </r>
    <r>
      <rPr>
        <sz val="10"/>
        <rFont val="Arial"/>
        <family val="2"/>
      </rPr>
      <t xml:space="preserve"> Calculated</t>
    </r>
  </si>
  <si>
    <t xml:space="preserve">   Design + 2-sigma</t>
  </si>
  <si>
    <t xml:space="preserve">   Design</t>
  </si>
  <si>
    <t xml:space="preserve">   Design - 2-sigma</t>
  </si>
  <si>
    <t>PDR</t>
  </si>
  <si>
    <t>Required Margin</t>
  </si>
  <si>
    <t>S/C Build Margin</t>
  </si>
  <si>
    <t>SD Imager</t>
  </si>
  <si>
    <t>SD Sounder</t>
  </si>
  <si>
    <t>Function</t>
  </si>
  <si>
    <t>BER</t>
  </si>
  <si>
    <t>Adjacent Channels for BER Test</t>
  </si>
  <si>
    <r>
      <t>10</t>
    </r>
    <r>
      <rPr>
        <vertAlign val="superscript"/>
        <sz val="10"/>
        <rFont val="Arial"/>
        <family val="2"/>
      </rPr>
      <t>-6</t>
    </r>
  </si>
  <si>
    <r>
      <t>10</t>
    </r>
    <r>
      <rPr>
        <vertAlign val="superscript"/>
        <sz val="10"/>
        <rFont val="Arial"/>
        <family val="2"/>
      </rPr>
      <t>-8</t>
    </r>
  </si>
  <si>
    <r>
      <t>10</t>
    </r>
    <r>
      <rPr>
        <vertAlign val="superscript"/>
        <sz val="10"/>
        <rFont val="Arial"/>
        <family val="2"/>
      </rPr>
      <t>-2</t>
    </r>
  </si>
  <si>
    <r>
      <t>10</t>
    </r>
    <r>
      <rPr>
        <vertAlign val="superscript"/>
        <sz val="10"/>
        <rFont val="Arial"/>
        <family val="2"/>
      </rPr>
      <t>-5</t>
    </r>
  </si>
  <si>
    <r>
      <t>10</t>
    </r>
    <r>
      <rPr>
        <vertAlign val="superscript"/>
        <sz val="10"/>
        <rFont val="Arial"/>
        <family val="2"/>
      </rPr>
      <t xml:space="preserve">-8
</t>
    </r>
    <r>
      <rPr>
        <sz val="10"/>
        <rFont val="Arial"/>
        <family val="2"/>
      </rPr>
      <t>10</t>
    </r>
    <r>
      <rPr>
        <vertAlign val="superscript"/>
        <sz val="10"/>
        <rFont val="Arial"/>
        <family val="2"/>
      </rPr>
      <t>-8</t>
    </r>
  </si>
  <si>
    <t>293 kbps, NRZ-M, BPSK Coded</t>
  </si>
  <si>
    <r>
      <t>100 bps, Bi</t>
    </r>
    <r>
      <rPr>
        <sz val="10"/>
        <rFont val="Symbol"/>
        <family val="1"/>
      </rPr>
      <t>F</t>
    </r>
    <r>
      <rPr>
        <sz val="10"/>
        <rFont val="Arial"/>
        <family val="0"/>
      </rPr>
      <t>-L, ±60° PSK</t>
    </r>
  </si>
  <si>
    <r>
      <t>400 bps, Bi</t>
    </r>
    <r>
      <rPr>
        <sz val="10"/>
        <rFont val="Symbol"/>
        <family val="1"/>
      </rPr>
      <t>F</t>
    </r>
    <r>
      <rPr>
        <sz val="10"/>
        <rFont val="Arial"/>
        <family val="0"/>
      </rPr>
      <t>-L, 1.1 rads peak, 500 msec pulse every 50 sec</t>
    </r>
  </si>
  <si>
    <t>2.62 Mbps (I), 40 kbps (Q), NRZ-S, OQPSK (Current Instruments)
2.934 Mbps (I), 720 kbps (Q), NRZ-S, OQPSK (Adv Instruments)</t>
  </si>
  <si>
    <t>Contractor Spec kbps, NRZ-L, QPSK</t>
  </si>
  <si>
    <t>2.11 Mbps, NRZ-S, BPSK
(Current Instruments)
2.374 Mbps, NRZ-S, BPSK
(Advanced Instruments)</t>
  </si>
  <si>
    <t>MDL and WEFAX</t>
  </si>
  <si>
    <t>Receive System
Losses (dB)</t>
  </si>
  <si>
    <t>Channel Modulated Signal
Structure</t>
  </si>
  <si>
    <t>PDR and EMWIN</t>
  </si>
  <si>
    <t>WEAFX</t>
  </si>
  <si>
    <t>-</t>
  </si>
  <si>
    <t>SD and PDR</t>
  </si>
  <si>
    <t>Table 10.2.1.8-1
Digital Transmission Channel Performance Specifications</t>
  </si>
  <si>
    <t>Link Specification</t>
  </si>
  <si>
    <r>
      <t>Design +2</t>
    </r>
    <r>
      <rPr>
        <sz val="10"/>
        <rFont val="Symbol"/>
        <family val="1"/>
      </rPr>
      <t>s</t>
    </r>
  </si>
  <si>
    <r>
      <t>Design -2</t>
    </r>
    <r>
      <rPr>
        <sz val="10"/>
        <rFont val="Symbol"/>
        <family val="1"/>
      </rPr>
      <t>s</t>
    </r>
  </si>
  <si>
    <t>Minimum Link Margin (dB)</t>
  </si>
  <si>
    <t>&gt; 1.0</t>
  </si>
  <si>
    <t>&gt; 0.0</t>
  </si>
  <si>
    <t>Table 10.2.1.8-2
Statistical Link Margin Performance Specifications at Earth Edge</t>
  </si>
  <si>
    <t>Summary of Link Performance</t>
  </si>
  <si>
    <t>Sensor Data
 Imager
 Sounder</t>
  </si>
  <si>
    <r>
      <t>E</t>
    </r>
    <r>
      <rPr>
        <vertAlign val="subscript"/>
        <sz val="10"/>
        <rFont val="Arial"/>
        <family val="2"/>
      </rPr>
      <t>b</t>
    </r>
    <r>
      <rPr>
        <sz val="10"/>
        <rFont val="Arial"/>
        <family val="0"/>
      </rPr>
      <t>/N</t>
    </r>
    <r>
      <rPr>
        <vertAlign val="subscript"/>
        <sz val="10"/>
        <rFont val="Arial"/>
        <family val="2"/>
      </rPr>
      <t>O</t>
    </r>
    <r>
      <rPr>
        <sz val="10"/>
        <rFont val="Arial"/>
        <family val="2"/>
      </rPr>
      <t xml:space="preserve"> Required</t>
    </r>
  </si>
  <si>
    <r>
      <t xml:space="preserve">10.2.1.8 </t>
    </r>
    <r>
      <rPr>
        <b/>
        <i/>
        <sz val="10"/>
        <rFont val="Arial"/>
        <family val="2"/>
      </rPr>
      <t>Link BER Performance -</t>
    </r>
    <r>
      <rPr>
        <sz val="10"/>
        <rFont val="Arial"/>
        <family val="0"/>
      </rPr>
      <t xml:space="preserve"> Each communication subsystem function link performance shall sustain the minimum digital transmission quality of Table 10.2.1.8-1 with global coverage and the three minimum statistical link margins (see CCSDS Recommendations for Radio Frequency and Modulation Systems, CCSDS 401) shown in Table 10.2.1.8-2 for all link parameters in Table 10.0.  The G/T parameters, the Receive System Losses, and BER in Table 10.0 and Table 10.2.1.8-1 are the “Design Values” for use in the statistical link margin calculation methodology. The EIRP values for PDR, WEFAX, EMWIN, and DCPI are nominal values that may be increased only until the minimum dynamic range requirements is realized. The EIRP values for DCPR and SAR are the “Design Values” for use in the statistical link margin calculation methodology.</t>
    </r>
  </si>
  <si>
    <t>CCR 4065</t>
  </si>
  <si>
    <t>25 kbps, NRZ-L, BPSK Uncoded</t>
  </si>
  <si>
    <r>
      <t>100 bps, Bi</t>
    </r>
    <r>
      <rPr>
        <sz val="10"/>
        <rFont val="Symbol"/>
        <family val="1"/>
      </rPr>
      <t>F</t>
    </r>
    <r>
      <rPr>
        <sz val="10"/>
        <rFont val="Arial"/>
        <family val="0"/>
      </rPr>
      <t>-L, ±60° PSK
300 bps, Trellis Codulated 8-PSK
1.2 kbps, Trellis Codulated 8-PSK</t>
    </r>
  </si>
  <si>
    <t>&gt; 2.0</t>
  </si>
  <si>
    <t>With the exception of the SAR channel, the spacecraft contractor shall determine the minimum transmit EIRP of each communication channel required to meet the link performance requirements of this section when transmitting to an earth station at Earth edge (0° elevation angle) for the Adverse Tolerance, to an Earth station with a 5° elevation angle for the Design Values and an Earth station with 15° elevation angle for the Favorable Tolerance. For each link, the link design margins given in Table 10.2.1.8-2 shall include the contribution of all signal-to-noise ratio, propagation, polarization, and satellite channel waveform distortion losses.  A 0.5 dB pointing loss Design Values shall be allowed for the Suitland PDR and MDL receive antennas since they have no autotrack capability.  The same Design Values pointing loss shall also be allowed for the CDAS 18-meter GOES antennas (transmit and receive) since they use step trackers. Polarization loss Design Values of 0.2 dB shall be used for all linear ground and satellite antenna combinations.</t>
  </si>
  <si>
    <t>Adj ch interfer - out of band</t>
  </si>
  <si>
    <t>0.14/1.83</t>
  </si>
  <si>
    <t>wideband</t>
  </si>
  <si>
    <t>Carrier to Intermodulation C/IM</t>
  </si>
  <si>
    <t>from the NPR of the SSPA</t>
  </si>
  <si>
    <t>Receiver Spurious</t>
  </si>
  <si>
    <t>=Transmit EIRP- ±60° Mod Loss-Ant Point Loss-Free Space Loss-Atmos Attn-Polarization Loss</t>
  </si>
  <si>
    <t>=290*(10^((Payload Mod NF+NF degradation)/10)-1)</t>
  </si>
  <si>
    <t>=10*LOG(Ant Temp+Payload Mod Temp)</t>
  </si>
  <si>
    <t>=Ant EOC Gain-Ant Cable Loss-System Temp</t>
  </si>
  <si>
    <t>=10*LOG(1/(1/((10^(Trans C/N/10))*(Data Rate*1000000))+1/((10^(Trans CIM/10))*(Data Rate*1000000))+1/(10^(Uplink Thermal C/No/10))))</t>
  </si>
  <si>
    <t>=Trans Power-Mux Loss-Output Section Loss-Ant Cable Loss+Ant EOC Gain</t>
  </si>
  <si>
    <t>=Trans EIRP-±60° Mos Loss-10*LOG(# of Carriers)</t>
  </si>
  <si>
    <t>=(20*LOG(uplink frequency*1000000)+20*LOG(4*PI()*Path Distance*1000)-20*LOG(300000000))</t>
  </si>
  <si>
    <t>=(20*LOG(downlink frequency*1000000)+20*LOG(4*PI()*Path Distance*1000)-20*LOG(300000000))</t>
  </si>
  <si>
    <t>=Trans EIRP/Carrier-Free Space Loss-Atmos Atten</t>
  </si>
  <si>
    <t>=D/L RSSi/Carrier+E/S G/T-Pointing Loss-Polarization Loss-Boltzmann Const</t>
  </si>
  <si>
    <t>=Downlink Thermal C/No-Noise Power Robbing-Subcarrier Mod Loss</t>
  </si>
  <si>
    <t>=10*LOG(1/(1/(10^(Composite Uplink C/No/10))+1/(10^(Downlink Composite C/No/10))))</t>
  </si>
  <si>
    <t>=10*LOG(Data Rate) + 60</t>
  </si>
  <si>
    <t>=Overall Composite C/No-Data Rate</t>
  </si>
  <si>
    <t>=Eb/No Calculated -Required Eb/No</t>
  </si>
  <si>
    <t>Performance Specification S-415-22 Table 10.2.1.8-1</t>
  </si>
  <si>
    <t>Performance Specification S-415-22 Section 10.2.1.6</t>
  </si>
  <si>
    <t>Performance Specification S-415-22 Table 10.0</t>
  </si>
  <si>
    <t>Performance Specification S-415-22 Section 10.2.1.8</t>
  </si>
  <si>
    <t>Performance Specification S-415-22 Section 10.2.1.2</t>
  </si>
  <si>
    <t>SSPA Worst Case Circuit Analysis</t>
  </si>
  <si>
    <t>Mux spec with variation</t>
  </si>
  <si>
    <t>Antenna Spec</t>
  </si>
  <si>
    <t>NF degradation Analysis</t>
  </si>
  <si>
    <t>Performance Specification S-415-22 Section 10.2</t>
  </si>
  <si>
    <t>ACI analysis</t>
  </si>
  <si>
    <t>per 6/12/98 telecon</t>
  </si>
  <si>
    <t>from Ground Station with variation</t>
  </si>
  <si>
    <t>sheet converts to per Hz</t>
  </si>
  <si>
    <t>Gain and Noise Figure Budgets</t>
  </si>
  <si>
    <t>Performance Specification S-415-22 Section 10.2.1.9</t>
  </si>
  <si>
    <t>in 4kHz</t>
  </si>
  <si>
    <t>nominal case</t>
  </si>
  <si>
    <t>with variation</t>
  </si>
  <si>
    <t>Design Value Equation</t>
  </si>
  <si>
    <t>Design Value Source</t>
  </si>
  <si>
    <t>Variance Equation</t>
  </si>
  <si>
    <t>Variance Source</t>
  </si>
  <si>
    <t>13 Sept 1999 Memorandum of Understanding - Variance Calculation</t>
  </si>
  <si>
    <t>SPW simulation</t>
  </si>
  <si>
    <t>=(FAV^2+ADV^2-FAV*ADV)/18</t>
  </si>
  <si>
    <t>=((FAV-ADV)^2)/12</t>
  </si>
  <si>
    <t>=((FAV-ADV)^2)/36</t>
  </si>
  <si>
    <t>=Transmitt EIRP+ ±60 Mod Loss+Ant Point Loss+Free Space Loss+Atmos Attn+Polarization Loss</t>
  </si>
  <si>
    <t>=Ant EOC Gain + Ant Cable Loss + System Temp</t>
  </si>
  <si>
    <t>=U/L RSSi/Carrier + G/T+Boltzmann Const</t>
  </si>
  <si>
    <t>=Transmit Power VAR+Mux Loss VAR+Output Section Loss VAR+Ant Cable Loss VAR+Ant EOC Gain VAR</t>
  </si>
  <si>
    <t>=Transmit EIRP VAR+ ±60° Mod Loss VAR</t>
  </si>
  <si>
    <t>=Downlink Thermal C/No VAR+Noise Power Robbing VAR+Subcarrier Mod Loss VAR</t>
  </si>
  <si>
    <t>See 13 Sept, 1999 Memorandum of Understanding</t>
  </si>
  <si>
    <t>=Overall Composite C/No VAR+Data Rate VAR</t>
  </si>
  <si>
    <t>NASA Reference Publication 1108(2) "Propagation Effects on Satellite Systems at Frequencies Below 10 GHz", Dec 1987</t>
  </si>
  <si>
    <t>Joseph Yuen, Editor, "Deep Space Telecommunication System Engineering," Plenum Press, New York, 1983, Chapter 1</t>
  </si>
  <si>
    <t>=0</t>
  </si>
  <si>
    <t>Design is 5°; FAV is Wallops; Adv is 0° elevation</t>
  </si>
  <si>
    <t>=Trans EIRP/Carrier VAR-Free Space Loss VAR-Atmos Atten VAR</t>
  </si>
  <si>
    <t>PDR Inband Spurious Analysis</t>
  </si>
  <si>
    <t>Phase Noise</t>
  </si>
  <si>
    <t>phase noise</t>
  </si>
  <si>
    <t>=1+20+10*LOG(3000)</t>
  </si>
  <si>
    <t>=10*LOG(1/(1/(10^(Downlink Thermal C/No/10))+1/(10^(Carrier to Intermodulation C/IM/10))))</t>
  </si>
  <si>
    <t>=Downlink Thermal C/No VAR+Carrier to Intermodulation C/IM VAR</t>
  </si>
  <si>
    <t>Performance Specification S-415-22 Section 10.2.7</t>
  </si>
  <si>
    <t>EIRP variation from center freq</t>
  </si>
  <si>
    <t>=4/5</t>
  </si>
  <si>
    <t>Performance Specification S-415-22 Section 10.2.2.2</t>
  </si>
  <si>
    <t>=Downlink Composite C/No</t>
  </si>
  <si>
    <t>=Overall Composite C/No-Data Rate+10*log(SSPA Power Sharing Factor)</t>
  </si>
  <si>
    <t>4:1 Unbalanced QPSK</t>
  </si>
  <si>
    <t>=Transmit Power VAR+Noise Power Robbing VAR+Mux Loss VAR+Output Section Loss VAR+Ant Cable Loss VAR+Ant EOC Gain VAR</t>
  </si>
  <si>
    <t>=Transmit EIRP VAR</t>
  </si>
  <si>
    <t>=D/L RSSi/Carrier VAR+E/S G/T VAR+Pointing Loss VAR+Polarization Loss VAR+Boltzmann Const VAR</t>
  </si>
  <si>
    <t>=Downlink Thermal C/No VAR+Subcarrier Mod Loss VAR</t>
  </si>
  <si>
    <t>=Downlink Composite C/No VAR</t>
  </si>
  <si>
    <t>CCSDS "Radio Frequency and Modulation Systems" 401.0-B Blue Book, May 1999, Part 1 Earth Stations ans Spacecraft</t>
  </si>
  <si>
    <t>=Trans Power-Noise Power Robbing-Mux Loss-Output Section Loss-Ant Cable Loss+Ant EOC Gain</t>
  </si>
  <si>
    <t>=Trans EIRP-10*LOG(# of Carriers)</t>
  </si>
  <si>
    <t>=1</t>
  </si>
  <si>
    <t>=Overall Composite C/No VAR+Data Rate VAR+SSPA Power Sharing Factor VAR</t>
  </si>
  <si>
    <t>composite D/L C/No</t>
  </si>
  <si>
    <t>new for
N-Q</t>
  </si>
  <si>
    <t>=U/L RSSi/Carrier+G/T-Boltzmann Const</t>
  </si>
  <si>
    <t>=Transmit EIRP- ±1.1 Rad Mod Loss-Ant Point Loss-Free Space Loss-Atmos Attn-Polarization Loss</t>
  </si>
  <si>
    <t>=10*LOG(1/(1/((10^(Trans C/N/10))*(Data Rate*1000000))+1/(10^(Uplink Thermal C/No/10))))</t>
  </si>
  <si>
    <t>=Trans EIRP-±1.1 Rad Mod Loss-10*LOG(# of Carriers)</t>
  </si>
  <si>
    <t>=Trans EIRP-±60° Mod Loss-10*LOG(# of Carriers)</t>
  </si>
  <si>
    <t>=Transmitt EIRP+ ±1.1 Rad Mod Loss+Ant Point Loss+Free Space Loss+Atmos Attn+Polarization Loss</t>
  </si>
  <si>
    <t>=Transmit EIRP VAR+ ±1.1 Rad Mod Loss VAR</t>
  </si>
  <si>
    <t>A Keith, Antenna temperatures of GOES receive antennas based on measured pattern data, TA-10-99-007, April 1999</t>
  </si>
  <si>
    <t>Antenna Analysis</t>
  </si>
  <si>
    <t>G/T calculation</t>
  </si>
  <si>
    <t>calculation of G/T</t>
  </si>
  <si>
    <t>HSC G/T Spec</t>
  </si>
  <si>
    <t>HSC G/T spec, subsequent calculations use this G/T</t>
  </si>
  <si>
    <t>Specification plus calculated variation (j35-L35)</t>
  </si>
  <si>
    <t>=System Temp+G/T-Boltzmann Const</t>
  </si>
  <si>
    <t>EIRP calculation</t>
  </si>
  <si>
    <t>calculation of EIRP</t>
  </si>
  <si>
    <t>HSC EIRP Spec, center channel</t>
  </si>
  <si>
    <t>HSC EIRP spec, subsequent calculations use this</t>
  </si>
  <si>
    <t>Specification plus SSPA variation</t>
  </si>
  <si>
    <t>calculated from cascaded frequency responses</t>
  </si>
  <si>
    <t>used calculated variance from line of G/T calculation</t>
  </si>
  <si>
    <t>used calculated variance from line of EIRP calculation</t>
  </si>
  <si>
    <t>Single Event Effects</t>
  </si>
  <si>
    <t>Single Event Effects Analysis</t>
  </si>
  <si>
    <t>G/T Margin</t>
  </si>
  <si>
    <t>EIRP Margin</t>
  </si>
  <si>
    <t>DCPR G/T</t>
  </si>
  <si>
    <t>DCPR EIRP</t>
  </si>
  <si>
    <t>SAR EIRP</t>
  </si>
  <si>
    <t>HSC EIRP Spec</t>
  </si>
  <si>
    <t>Equivalent Number of Carriers</t>
  </si>
  <si>
    <t>SD</t>
  </si>
  <si>
    <t>I15</t>
  </si>
  <si>
    <t>Added design value</t>
  </si>
  <si>
    <t>J15</t>
  </si>
  <si>
    <t>=Trans Power-Noise Power Robbing-Mux Loss-Output Section Loss</t>
  </si>
  <si>
    <t>K15</t>
  </si>
  <si>
    <t>L15</t>
  </si>
  <si>
    <t>Added Mean value</t>
  </si>
  <si>
    <t>M15</t>
  </si>
  <si>
    <t>Added varance</t>
  </si>
  <si>
    <t>Q15</t>
  </si>
  <si>
    <t>Added PDF Ref</t>
  </si>
  <si>
    <t>S15</t>
  </si>
  <si>
    <t>Added Design Value equation</t>
  </si>
  <si>
    <t>=Transmit Power VAR+Noise Power Robbing VAR+Mux Loss VAR+Output Section Loss VAR</t>
  </si>
  <si>
    <t>U15</t>
  </si>
  <si>
    <t>Added variance equation</t>
  </si>
  <si>
    <t>Added variance source</t>
  </si>
  <si>
    <t>V15</t>
  </si>
  <si>
    <t>Added Favorable tollerance calculated from +3*sqrt(variance)</t>
  </si>
  <si>
    <t>Added Adverse tollerance calculated from -3*sqrt(variance)</t>
  </si>
  <si>
    <t>=Trans Power-Mux Loss-Output Section Loss</t>
  </si>
  <si>
    <t>=Transmit Power VAR+Mux Loss VAR+Output Section Loss VAR</t>
  </si>
  <si>
    <t>Changes are shaded in Rose</t>
  </si>
  <si>
    <t>I13</t>
  </si>
  <si>
    <t>J13</t>
  </si>
  <si>
    <t>K13</t>
  </si>
  <si>
    <t>L13</t>
  </si>
  <si>
    <t>M13</t>
  </si>
  <si>
    <t>Q13</t>
  </si>
  <si>
    <t>S13</t>
  </si>
  <si>
    <t>U13</t>
  </si>
  <si>
    <t>V13</t>
  </si>
  <si>
    <t>K45</t>
  </si>
  <si>
    <t>L45</t>
  </si>
  <si>
    <t>M45</t>
  </si>
  <si>
    <t>N45</t>
  </si>
  <si>
    <t>O45</t>
  </si>
  <si>
    <t>S45</t>
  </si>
  <si>
    <t>U45</t>
  </si>
  <si>
    <t>W45</t>
  </si>
  <si>
    <t>X45</t>
  </si>
  <si>
    <t>I43</t>
  </si>
  <si>
    <t>J43</t>
  </si>
  <si>
    <t>K43</t>
  </si>
  <si>
    <t>L43</t>
  </si>
  <si>
    <t>M43</t>
  </si>
  <si>
    <t>Q43</t>
  </si>
  <si>
    <t>S43</t>
  </si>
  <si>
    <t>U43</t>
  </si>
  <si>
    <t>V43</t>
  </si>
  <si>
    <t>H14</t>
  </si>
  <si>
    <t>I14</t>
  </si>
  <si>
    <t>Variation was +0.0,-0.5</t>
  </si>
  <si>
    <t>Design value was 0.0</t>
  </si>
  <si>
    <t>Favorable tolerance was 0.0</t>
  </si>
  <si>
    <t>H22</t>
  </si>
  <si>
    <t>Variation was +0.0,-0.2</t>
  </si>
  <si>
    <t>I22</t>
  </si>
  <si>
    <t>J22</t>
  </si>
  <si>
    <t>J14</t>
  </si>
  <si>
    <t>I64</t>
  </si>
  <si>
    <t>H64</t>
  </si>
  <si>
    <t>J64</t>
  </si>
  <si>
    <t>Variation was -0.0,+0.2</t>
  </si>
  <si>
    <t>J68</t>
  </si>
  <si>
    <t>K68</t>
  </si>
  <si>
    <t>L68</t>
  </si>
  <si>
    <t>Minimum</t>
  </si>
  <si>
    <t>Maximum</t>
  </si>
  <si>
    <t>Pass / Fail Criteria for Satellite Level Testing</t>
  </si>
  <si>
    <t>Added Row</t>
  </si>
  <si>
    <t>BOL</t>
  </si>
  <si>
    <t>Changed variation from -0.0/+0.2 to ±0.2</t>
  </si>
  <si>
    <t>Changed design value from 0.0 to 0.2</t>
  </si>
  <si>
    <t>Changed Favorable tolerance from 0.0 to -0.2</t>
  </si>
  <si>
    <t>Added Favorable tolerance calculated from +3*sqrt(variance)</t>
  </si>
  <si>
    <t>Added Adverse tolerance calculated from -3*sqrt(variance)</t>
  </si>
  <si>
    <t>Added variance</t>
  </si>
  <si>
    <t>H29</t>
  </si>
  <si>
    <t>I29</t>
  </si>
  <si>
    <t>J29</t>
  </si>
  <si>
    <t>K29</t>
  </si>
  <si>
    <t>Changed variation from ±0.355 to ±1.03</t>
  </si>
  <si>
    <t>Changed design value from 4.26 to 3.58</t>
  </si>
  <si>
    <t>Changed FAV tollerance from -0.355 to -1.03</t>
  </si>
  <si>
    <t>Changed ADV tollerance from 0.355 to 1.03</t>
  </si>
  <si>
    <t>Changed variation from ±10% to ±0.88</t>
  </si>
  <si>
    <t>Changed design value from 3.65 to 3.17</t>
  </si>
  <si>
    <t>Changed FAV tollerance from -0.405 to -0.88</t>
  </si>
  <si>
    <t>Changed ADV tollerance from 0.405 to 0.88</t>
  </si>
  <si>
    <t>G26</t>
  </si>
  <si>
    <t>H26</t>
  </si>
  <si>
    <t>I26</t>
  </si>
  <si>
    <t>K26</t>
  </si>
  <si>
    <t>I46</t>
  </si>
  <si>
    <t>G46</t>
  </si>
  <si>
    <t>H46</t>
  </si>
  <si>
    <t>K46</t>
  </si>
  <si>
    <t>G14</t>
  </si>
  <si>
    <t>G44</t>
  </si>
  <si>
    <t>Better fit measured data</t>
  </si>
  <si>
    <t>ECR GA1086430</t>
  </si>
  <si>
    <t>Changed maximum from 0.79 to 0.35 dB</t>
  </si>
  <si>
    <t>Changed design from 0.76 to 0.3 dB</t>
  </si>
  <si>
    <t>J26</t>
  </si>
  <si>
    <t>Changed FAV tollerance from -0.03 to -0.05</t>
  </si>
  <si>
    <t>Changed ADV tollerance from 0.03 to 0.05</t>
  </si>
  <si>
    <t>Changed variation from ±0.03 to ±0.05 dB</t>
  </si>
  <si>
    <t>J46</t>
  </si>
  <si>
    <t>Changed variation from ±0.05 to ±0.07</t>
  </si>
  <si>
    <t>L46</t>
  </si>
  <si>
    <t>M46</t>
  </si>
  <si>
    <t>Changed FAV tollerance from -0.05 to -0.07</t>
  </si>
  <si>
    <t>Changed ADV tollerance from 0.05 to 0.07</t>
  </si>
  <si>
    <t>I44</t>
  </si>
  <si>
    <t>H44</t>
  </si>
  <si>
    <t>J44</t>
  </si>
  <si>
    <t>K44</t>
  </si>
  <si>
    <t>K14</t>
  </si>
  <si>
    <t>Changed maximum from 0.44 to 0.34 dB</t>
  </si>
  <si>
    <t>Changed maximum from 0.34 to 0.20 dB</t>
  </si>
  <si>
    <t>ECR GA1107430</t>
  </si>
  <si>
    <t>Changed design value from 0.39 to 0.29 dB</t>
  </si>
  <si>
    <t>Changed design value from 0.25 to 0.15 dB</t>
  </si>
  <si>
    <t>G25</t>
  </si>
  <si>
    <t>Changed minimum from 13.1 to 13.5</t>
  </si>
  <si>
    <t>H25</t>
  </si>
  <si>
    <t>Changed variation from +0.2 to ±0.1 dB</t>
  </si>
  <si>
    <t>typo</t>
  </si>
  <si>
    <t>I25</t>
  </si>
  <si>
    <t>Changed design from 13.2 to 13.6 dB</t>
  </si>
  <si>
    <t>H11</t>
  </si>
  <si>
    <t>I11</t>
  </si>
  <si>
    <t>J11</t>
  </si>
  <si>
    <t>K11</t>
  </si>
  <si>
    <t>Changed variation from ±0.1 to ±0.5</t>
  </si>
  <si>
    <t>Changed design value from 2.3 to 1.9</t>
  </si>
  <si>
    <t>Changed FAV tollerance from -0.1 to -0.5</t>
  </si>
  <si>
    <t>Changed ADV tollerance from 0.1 to 0.5</t>
  </si>
  <si>
    <t>H41</t>
  </si>
  <si>
    <t>I41</t>
  </si>
  <si>
    <t>J41</t>
  </si>
  <si>
    <t>K41</t>
  </si>
  <si>
    <t>Changed design from 1.375 to 1.125 dB</t>
  </si>
  <si>
    <t>Changed variation from ±0.125 to ±0.375</t>
  </si>
  <si>
    <t>Changed FAV tollerance from -0.125 to -0.375</t>
  </si>
  <si>
    <t>Changed ADV tollerance from 0.125 to 0.375</t>
  </si>
  <si>
    <t>Changed design from 2.0 to 1.875 dB</t>
  </si>
  <si>
    <t>Changed variation from ±0.5 to ±0.625</t>
  </si>
  <si>
    <t>Changed FAV tollerance from -0.5 to -0.625</t>
  </si>
  <si>
    <t>Changed ADV tollerance from 0.5 to 0.625</t>
  </si>
  <si>
    <t>Changed design from 1.75 to 1.625 dB</t>
  </si>
  <si>
    <t>Changed variation from ±0.25 to ±0.375</t>
  </si>
  <si>
    <t>Changed FAV tollerance from -0.25 to -0.375</t>
  </si>
  <si>
    <t>Changed ADV tollerance from 0.25 to 0.375</t>
  </si>
  <si>
    <t>Changed maximum from 1.51 to 1.44</t>
  </si>
  <si>
    <t>Changed design value from 0.27 to 0.17 dB</t>
  </si>
  <si>
    <t>ECR GA1075169</t>
  </si>
  <si>
    <t>Changed design value from 1.26 to 1.19 dB</t>
  </si>
  <si>
    <t>Changed design from 0.4 to 0.375 dB</t>
  </si>
  <si>
    <t>Changed variation from ±0.1 to ±0.125</t>
  </si>
  <si>
    <t>Changed FAV tollerance from -0.1 to -0.125</t>
  </si>
  <si>
    <t>Changed ADV tollerance from 0.1 to 0.125</t>
  </si>
  <si>
    <t>G42</t>
  </si>
  <si>
    <t>I42</t>
  </si>
  <si>
    <t>Changed maximum from 1.57 to 1.5 dB</t>
  </si>
  <si>
    <t>Changed design value from 1.37 to 1.3 dB</t>
  </si>
  <si>
    <t>H13</t>
  </si>
  <si>
    <t>Changed variation from ±0.1 to ±0.25</t>
  </si>
  <si>
    <t>Changed design value from 1.4 to 1.25</t>
  </si>
  <si>
    <t>Changed FAV tollerance from -0.1 to -0.25</t>
  </si>
  <si>
    <t>Changed ADV tollerance from 0.1 to 0.25</t>
  </si>
  <si>
    <t xml:space="preserve">Changed maximum from 0.44 to 0.34 dB </t>
  </si>
  <si>
    <t>Changed maximum or minimum form 0.32 to 0.22 dB</t>
  </si>
  <si>
    <t>Derived test requirement</t>
  </si>
  <si>
    <t>Added pass/fail criteria</t>
  </si>
  <si>
    <t>Para 10.2.1.8</t>
  </si>
  <si>
    <t>Changed design value from 0.39 to 0.27dB</t>
  </si>
  <si>
    <t>=Theoretical Eb/No+Ground Segment Degradations+Satellite Segment Degrations</t>
  </si>
  <si>
    <t>=Eb/No Calculated VAR+Ground Segment Degradations VAR+Satellite Segment Degradations VAR</t>
  </si>
  <si>
    <t>=Theoretical Eb/No-Processing Gain-Coding Gain+Ground Segment Degradations+Satellite Segment Degrations</t>
  </si>
  <si>
    <t>I10</t>
  </si>
  <si>
    <t>Changed from 5.4 to 6.8</t>
  </si>
  <si>
    <t>value was min not design</t>
  </si>
  <si>
    <t>Changed from 1.48 to 1.42</t>
  </si>
  <si>
    <t>Cable changes</t>
  </si>
  <si>
    <t>Changed from 1.38 to 1.278</t>
  </si>
  <si>
    <t>H16</t>
  </si>
  <si>
    <t>Changed from ±10% to ±0.05</t>
  </si>
  <si>
    <t>I16</t>
  </si>
  <si>
    <t>J16</t>
  </si>
  <si>
    <t>K16</t>
  </si>
  <si>
    <t>Changed from 0.3 to 0.39</t>
  </si>
  <si>
    <t>Changed from -0.03 to -0.05</t>
  </si>
  <si>
    <t>Changed from 0.03 to 0.05</t>
  </si>
  <si>
    <t>Match other links</t>
  </si>
  <si>
    <t>H17</t>
  </si>
  <si>
    <t>Changed from 0.3 to ±0.15</t>
  </si>
  <si>
    <t>J25</t>
  </si>
  <si>
    <t>Changed sign from + to -</t>
  </si>
  <si>
    <t>K25</t>
  </si>
  <si>
    <t>Changed sign from - to +</t>
  </si>
  <si>
    <t>Correct error</t>
  </si>
  <si>
    <t>J35</t>
  </si>
  <si>
    <t>K35</t>
  </si>
  <si>
    <t>J49</t>
  </si>
  <si>
    <t>K49</t>
  </si>
  <si>
    <t>J52</t>
  </si>
  <si>
    <t>K52</t>
  </si>
  <si>
    <t>Added Row added single event effects</t>
  </si>
  <si>
    <t>Increase Satellite degradations</t>
  </si>
  <si>
    <t>Current changes are shaded in Rose. Older changes are in Yellow</t>
  </si>
  <si>
    <t>J17</t>
  </si>
  <si>
    <t>K17</t>
  </si>
  <si>
    <t>J18</t>
  </si>
  <si>
    <t>K18</t>
  </si>
  <si>
    <t>K22</t>
  </si>
  <si>
    <t>G29</t>
  </si>
  <si>
    <t>Changed from 4.59 to 4.61</t>
  </si>
  <si>
    <t>I39</t>
  </si>
  <si>
    <t>Changed from 35 to 40.4</t>
  </si>
  <si>
    <t>Changed from 1.5 to 1.49</t>
  </si>
  <si>
    <t>Changed 1.4 to 1.34</t>
  </si>
  <si>
    <t>H42</t>
  </si>
  <si>
    <t>J42</t>
  </si>
  <si>
    <t>K42</t>
  </si>
  <si>
    <t>Changed from ±10% to ±0.22</t>
  </si>
  <si>
    <t>Changed from +10% to -0.22</t>
  </si>
  <si>
    <t>Changed from -10% to +0.22</t>
  </si>
  <si>
    <t>Changed from ±0.1 to ±0.25</t>
  </si>
  <si>
    <t>Changed from 0.1 to -0.25</t>
  </si>
  <si>
    <t>Changed from -0.1 to 0.25</t>
  </si>
  <si>
    <t>Better fit specs</t>
  </si>
  <si>
    <t>Changed from 0.44 to 0.39</t>
  </si>
  <si>
    <t>Changed from max to design</t>
  </si>
  <si>
    <t>H45</t>
  </si>
  <si>
    <t>Changed from +0.3 to ±0.15</t>
  </si>
  <si>
    <t>J54</t>
  </si>
  <si>
    <t>K54</t>
  </si>
  <si>
    <t>J55</t>
  </si>
  <si>
    <t>K55</t>
  </si>
  <si>
    <t>K61</t>
  </si>
  <si>
    <t>K64</t>
  </si>
  <si>
    <t>J67</t>
  </si>
  <si>
    <t>K67</t>
  </si>
  <si>
    <t>J77</t>
  </si>
  <si>
    <t>K77</t>
  </si>
  <si>
    <t>J84</t>
  </si>
  <si>
    <t>K84</t>
  </si>
  <si>
    <t>Changed variation from ±0.2 to ±0.22</t>
  </si>
  <si>
    <t>Changed design value from 1.46 to 1.44</t>
  </si>
  <si>
    <t>Changed FAV tollerance from -0.2 to -0.22</t>
  </si>
  <si>
    <t>Changed ADV tollerance from 0.2 to 0.22</t>
  </si>
  <si>
    <t>Changed maximum from 4.59 to 4.61 dB</t>
  </si>
  <si>
    <t>Changed from maximum to design</t>
  </si>
  <si>
    <t>G40</t>
  </si>
  <si>
    <t>H40</t>
  </si>
  <si>
    <t>I40</t>
  </si>
  <si>
    <t>J40</t>
  </si>
  <si>
    <t>K40</t>
  </si>
  <si>
    <t>Changed from 39.54 to 39.5</t>
  </si>
  <si>
    <t>Changed from ±1.69 to ±1.78</t>
  </si>
  <si>
    <t>Changed from 41.23 to 41.28</t>
  </si>
  <si>
    <t>Changed from 1.69 to 1.78</t>
  </si>
  <si>
    <t>Changed from -1.69 to -1.78</t>
  </si>
  <si>
    <t>SSPA spec</t>
  </si>
  <si>
    <t>Changed from ±0.1 to ±0.35</t>
  </si>
  <si>
    <t>Changed from 2.1 to 1.85</t>
  </si>
  <si>
    <t>Changed from 0.1 to -0.35</t>
  </si>
  <si>
    <t>Changed from -0.1 to 0.35</t>
  </si>
  <si>
    <t>Changed from 2 to 1.62</t>
  </si>
  <si>
    <t>Changed from 1.9 to 1.37</t>
  </si>
  <si>
    <t>better fit specs</t>
  </si>
  <si>
    <t>J60</t>
  </si>
  <si>
    <t>K60</t>
  </si>
  <si>
    <t>J28</t>
  </si>
  <si>
    <t>K28</t>
  </si>
  <si>
    <t>I28</t>
  </si>
  <si>
    <t>Changed from 100 to 150</t>
  </si>
  <si>
    <t>G39</t>
  </si>
  <si>
    <t>Changed from 3.25 to 2.89</t>
  </si>
  <si>
    <t>Insure PFD limit</t>
  </si>
  <si>
    <t>Changed from 3.25 to 3.4</t>
  </si>
  <si>
    <t>Changed from 35.12 to 34.61</t>
  </si>
  <si>
    <t>Changed from ±1.0 to ±0.75</t>
  </si>
  <si>
    <t>Changed from 36.12 to 35.36</t>
  </si>
  <si>
    <t>Changed from 1.0 to 0.75</t>
  </si>
  <si>
    <t>Changed from -1.0 to -0.75</t>
  </si>
  <si>
    <t>Changed from 1.99 to 1.66</t>
  </si>
  <si>
    <t>value was max not design</t>
  </si>
  <si>
    <t>I8</t>
  </si>
  <si>
    <t>Changed from 8.0 to 10.1</t>
  </si>
  <si>
    <t>G12</t>
  </si>
  <si>
    <t>H12</t>
  </si>
  <si>
    <t>I12</t>
  </si>
  <si>
    <t>J12</t>
  </si>
  <si>
    <t>K12</t>
  </si>
  <si>
    <t>Changed from 1.98 to 1.44</t>
  </si>
  <si>
    <t>Changed from ±0.1 to ±0.2</t>
  </si>
  <si>
    <t>Changed from 1.88 to 1.24</t>
  </si>
  <si>
    <t>Changed from 0.1 to -0.2</t>
  </si>
  <si>
    <t>Changed from -0.1 to 0.2</t>
  </si>
  <si>
    <t>H15</t>
  </si>
  <si>
    <t>Changed from+0.3 to ±0.15</t>
  </si>
  <si>
    <t>J23</t>
  </si>
  <si>
    <t>J24</t>
  </si>
  <si>
    <t>K24</t>
  </si>
  <si>
    <t>Added row</t>
  </si>
  <si>
    <t>Added single events effects</t>
  </si>
  <si>
    <t>Changed from min to design</t>
  </si>
  <si>
    <t>Get gain budget and links to match</t>
  </si>
  <si>
    <t>Changed from 0.82 to 0.78</t>
  </si>
  <si>
    <t>Changed from ±0.1 to ±0.15</t>
  </si>
  <si>
    <t>Changed from 0.72 to 0.63</t>
  </si>
  <si>
    <t>Changed from 0.1 to -0.15</t>
  </si>
  <si>
    <t>Changed from -0.1 to 0.15</t>
  </si>
  <si>
    <t>Changed from ±0.02 to ±0.1</t>
  </si>
  <si>
    <t>Changed from 0.02 to -0.1</t>
  </si>
  <si>
    <t>Changed from -0.02 to 0.1</t>
  </si>
  <si>
    <t>K5</t>
  </si>
  <si>
    <t>Changed from 0.0012 to 0.0001</t>
  </si>
  <si>
    <t>Changed from 0.0 to 1.25</t>
  </si>
  <si>
    <t>Required for 100 bps</t>
  </si>
  <si>
    <t>Changed from 0.0 to 0.12</t>
  </si>
  <si>
    <t>Changed from 0.0 to -0.12</t>
  </si>
  <si>
    <t>L17</t>
  </si>
  <si>
    <t>M17</t>
  </si>
  <si>
    <t>L18</t>
  </si>
  <si>
    <t>M18</t>
  </si>
  <si>
    <t>M24</t>
  </si>
  <si>
    <t>L26</t>
  </si>
  <si>
    <t>M26</t>
  </si>
  <si>
    <t>Changed from 4.5 to 7.1</t>
  </si>
  <si>
    <t>G41</t>
  </si>
  <si>
    <t>L41</t>
  </si>
  <si>
    <t>M41</t>
  </si>
  <si>
    <t>Changed from 36.53 to 36.50</t>
  </si>
  <si>
    <t>Changed from ±1.75 to ±2.0</t>
  </si>
  <si>
    <t>Changed from 38.28 to 38.50</t>
  </si>
  <si>
    <t>Changed from 1.75 to 2.00</t>
  </si>
  <si>
    <t>Changed from -1.75 to -2.00</t>
  </si>
  <si>
    <t>L42</t>
  </si>
  <si>
    <t>M42</t>
  </si>
  <si>
    <t>L44</t>
  </si>
  <si>
    <t>M44</t>
  </si>
  <si>
    <t>J47</t>
  </si>
  <si>
    <t>K53</t>
  </si>
  <si>
    <t>L53</t>
  </si>
  <si>
    <t>M53</t>
  </si>
  <si>
    <t xml:space="preserve">K54 </t>
  </si>
  <si>
    <t>G54</t>
  </si>
  <si>
    <t>H54</t>
  </si>
  <si>
    <t>I54</t>
  </si>
  <si>
    <t>Changed from 233 to 529.4</t>
  </si>
  <si>
    <t>Changed from 233 to 265.5</t>
  </si>
  <si>
    <t>Changed from 233 to 133.2</t>
  </si>
  <si>
    <t>power sharing adjusted for different uplink powers</t>
  </si>
  <si>
    <t>L58</t>
  </si>
  <si>
    <t>M58</t>
  </si>
  <si>
    <t>L59</t>
  </si>
  <si>
    <t>M59</t>
  </si>
  <si>
    <t>M68</t>
  </si>
  <si>
    <t>K79</t>
  </si>
  <si>
    <t>Changed from 7.3 to 10.5</t>
  </si>
  <si>
    <t>L80</t>
  </si>
  <si>
    <t>M80</t>
  </si>
  <si>
    <t>L87</t>
  </si>
  <si>
    <t>M87</t>
  </si>
  <si>
    <t>K87</t>
  </si>
  <si>
    <t>Changed from 1.46 to 1.01</t>
  </si>
  <si>
    <t>Changed from 0.16 to -0.11</t>
  </si>
  <si>
    <t>Changed from -0.16 to 0.11</t>
  </si>
  <si>
    <t>L29</t>
  </si>
  <si>
    <t>M29</t>
  </si>
  <si>
    <t>Changed from 3.92 to 4.05</t>
  </si>
  <si>
    <t>J30</t>
  </si>
  <si>
    <t>K30</t>
  </si>
  <si>
    <t>Changed from 2.5 to 3.0</t>
  </si>
  <si>
    <t>Changed from ±0.02 to ±0.05</t>
  </si>
  <si>
    <t>Changed from 0.02 to -0.05</t>
  </si>
  <si>
    <t>Changed from -0.02 to 0.05</t>
  </si>
  <si>
    <t>G68</t>
  </si>
  <si>
    <t>H68</t>
  </si>
  <si>
    <t>I68</t>
  </si>
  <si>
    <t>Changed from 18.79 to 19.24</t>
  </si>
  <si>
    <t>Changed from ±0.55 to ±0.52</t>
  </si>
  <si>
    <t>Changed from 18.24 to 18.72</t>
  </si>
  <si>
    <t>Changed from 0.55 to -0.52</t>
  </si>
  <si>
    <t>Changed from -0.55 to 0.52</t>
  </si>
  <si>
    <t>Latest calculation</t>
  </si>
  <si>
    <t>J79</t>
  </si>
  <si>
    <t>J86</t>
  </si>
  <si>
    <t>K86</t>
  </si>
  <si>
    <t>Added STE Error</t>
  </si>
  <si>
    <t>BER white paper</t>
  </si>
  <si>
    <t>Added Final Eb/No</t>
  </si>
  <si>
    <t>G95</t>
  </si>
  <si>
    <t>G96</t>
  </si>
  <si>
    <t>G97</t>
  </si>
  <si>
    <t>G99</t>
  </si>
  <si>
    <t>G100</t>
  </si>
  <si>
    <t>G101</t>
  </si>
  <si>
    <t>G98</t>
  </si>
  <si>
    <t>FM system</t>
  </si>
  <si>
    <t>new for N-Q</t>
  </si>
  <si>
    <t>G66</t>
  </si>
  <si>
    <t>G67</t>
  </si>
  <si>
    <t>I100</t>
  </si>
  <si>
    <t>I101</t>
  </si>
  <si>
    <t>I102</t>
  </si>
  <si>
    <t>Changed from 36.00 to 35.67</t>
  </si>
  <si>
    <t>Changed from 4.0 to 3.7</t>
  </si>
  <si>
    <t>Changed from ±0.75 to ±0.91</t>
  </si>
  <si>
    <t>Changed from 36.75 to 36.58</t>
  </si>
  <si>
    <t>Changed from 4.7 to 4.5</t>
  </si>
  <si>
    <t>ECR GA1119278</t>
  </si>
  <si>
    <t>Changed from 0.75 to 0.91</t>
  </si>
  <si>
    <t>Changed from -0.75 to -0.91</t>
  </si>
  <si>
    <t>Changed from -0.0/+0.4 to ±0.2</t>
  </si>
  <si>
    <t>per customer review</t>
  </si>
  <si>
    <t>Changed from 0.0 to 0.2</t>
  </si>
  <si>
    <t>L24</t>
  </si>
  <si>
    <t>Changed from 0.0 to -0.2</t>
  </si>
  <si>
    <t>Changed from 0.4 to 0.2</t>
  </si>
  <si>
    <t>advanced</t>
  </si>
  <si>
    <t>G61</t>
  </si>
  <si>
    <t>H61</t>
  </si>
  <si>
    <t>I61</t>
  </si>
  <si>
    <t>J61</t>
  </si>
  <si>
    <t>Changed from 0.0 to 0.5</t>
  </si>
  <si>
    <t>Changed from ±0.0 to ±0.25</t>
  </si>
  <si>
    <t>Changed from 0.0 to 0.25</t>
  </si>
  <si>
    <t>Changed from 0.0 to -0.25</t>
  </si>
  <si>
    <t>L14</t>
  </si>
  <si>
    <t>M14</t>
  </si>
  <si>
    <t>Changed from -0.0/+0.5 to ±0.25</t>
  </si>
  <si>
    <t>Changed from 0 to 0.5</t>
  </si>
  <si>
    <t>BOL-EOL Setback</t>
  </si>
  <si>
    <t>Measurement system margin allocation</t>
  </si>
  <si>
    <t>Changed title</t>
  </si>
  <si>
    <t>LPE Suggestion</t>
  </si>
  <si>
    <t>A90~D90</t>
  </si>
  <si>
    <t>Add BOL-EOL Setbacks</t>
  </si>
  <si>
    <t>Setback Trace Matrix</t>
  </si>
  <si>
    <t>B107~E107</t>
  </si>
  <si>
    <t>B108~E108</t>
  </si>
  <si>
    <t>A93~D93</t>
  </si>
  <si>
    <t>A92~D92</t>
  </si>
  <si>
    <t>B106~E106</t>
  </si>
  <si>
    <t>Final Eb/No Margin</t>
  </si>
  <si>
    <t>Corrrect Title</t>
  </si>
  <si>
    <t>A91~D91</t>
  </si>
  <si>
    <t>A94~D94</t>
  </si>
  <si>
    <t>A61~D61</t>
  </si>
  <si>
    <t>A62~D62</t>
  </si>
  <si>
    <t>B74~E74</t>
  </si>
  <si>
    <t>A95~D95</t>
  </si>
  <si>
    <t>A96~D96</t>
  </si>
  <si>
    <t>B119~E119</t>
  </si>
  <si>
    <t>B111~E111</t>
  </si>
  <si>
    <t>110-125</t>
  </si>
  <si>
    <t>Deleted Rows</t>
  </si>
  <si>
    <t>Moved info to rows 106-108</t>
  </si>
  <si>
    <t>109-115</t>
  </si>
  <si>
    <t>Moved info to rows 105-107</t>
  </si>
  <si>
    <t>108-113</t>
  </si>
  <si>
    <t>Moved info to rows 104-106</t>
  </si>
  <si>
    <t>76-84</t>
  </si>
  <si>
    <t>Moved info to rows 73-74</t>
  </si>
  <si>
    <t>121-134</t>
  </si>
  <si>
    <t>Moved info to rows 117-119</t>
  </si>
  <si>
    <t>113-118</t>
  </si>
  <si>
    <t>Moved info to rows 109-111</t>
  </si>
  <si>
    <t>EXAMPLE</t>
  </si>
  <si>
    <r>
      <t>For Max EOL NF derivation is: 4.61=Design Value(3.58) + 3</t>
    </r>
    <r>
      <rPr>
        <b/>
        <i/>
        <sz val="16"/>
        <rFont val="Symbol"/>
        <family val="1"/>
      </rPr>
      <t>s</t>
    </r>
    <r>
      <rPr>
        <b/>
        <i/>
        <sz val="16"/>
        <rFont val="Arial"/>
        <family val="2"/>
      </rPr>
      <t xml:space="preserve"> Adverse Tolerance(1.03)</t>
    </r>
  </si>
  <si>
    <r>
      <t>For Min EOL NF derivation is: 2.55=Design Value(3.58) + 3</t>
    </r>
    <r>
      <rPr>
        <b/>
        <i/>
        <sz val="16"/>
        <rFont val="Symbol"/>
        <family val="1"/>
      </rPr>
      <t>s</t>
    </r>
    <r>
      <rPr>
        <b/>
        <i/>
        <sz val="16"/>
        <rFont val="Arial"/>
        <family val="2"/>
      </rPr>
      <t xml:space="preserve"> Favourable Tolerance(-1.03)</t>
    </r>
  </si>
  <si>
    <r>
      <t>For Max EOL Output power derivation is: 33.51=Design Value(32.04) + 3</t>
    </r>
    <r>
      <rPr>
        <b/>
        <i/>
        <sz val="16"/>
        <rFont val="Symbol"/>
        <family val="1"/>
      </rPr>
      <t>s</t>
    </r>
    <r>
      <rPr>
        <b/>
        <i/>
        <sz val="16"/>
        <rFont val="Arial"/>
        <family val="2"/>
      </rPr>
      <t xml:space="preserve"> Favourable Tolerance(1.47)</t>
    </r>
  </si>
  <si>
    <r>
      <t>For Min EOL Output power derivation is:  30.57=Design Value(32.04) + 3</t>
    </r>
    <r>
      <rPr>
        <b/>
        <i/>
        <sz val="16"/>
        <rFont val="System"/>
        <family val="2"/>
      </rPr>
      <t>s</t>
    </r>
    <r>
      <rPr>
        <b/>
        <i/>
        <sz val="16"/>
        <rFont val="Arial"/>
        <family val="2"/>
      </rPr>
      <t xml:space="preserve"> Adverse Tolerance(-1.47)</t>
    </r>
  </si>
  <si>
    <t xml:space="preserve">In each case the BOL values will form the pass/fail criterion for test. </t>
  </si>
  <si>
    <t>These are found by adding or subtracting the BOL/EOL setback value as required to tighten the spec</t>
  </si>
  <si>
    <t>Added new sheet showing example of how the BOL test levels are generated. The sheet is called:</t>
  </si>
  <si>
    <t>"NF-Output Power-BER derivation"</t>
  </si>
  <si>
    <t>G73, H73</t>
  </si>
  <si>
    <t>Corrected BOL-EOL Setbacks</t>
  </si>
  <si>
    <t>Was not corrected earlier</t>
  </si>
  <si>
    <t>G105, H105</t>
  </si>
  <si>
    <t>G106, H106</t>
  </si>
  <si>
    <t>Imager Implementation Loss</t>
  </si>
  <si>
    <t>C-C Output Power ( statistical )</t>
  </si>
  <si>
    <t>C-C Output Power ( EIRP )</t>
  </si>
  <si>
    <t>C-C Output Power ( envelope )</t>
  </si>
  <si>
    <t>Payload Module NF ( statistical )</t>
  </si>
  <si>
    <t>Payload Module NF ( envelope )</t>
  </si>
  <si>
    <t>---</t>
  </si>
  <si>
    <t>Payload Module NF ( G/T )</t>
  </si>
  <si>
    <t>Changed title, was "Satellite + meas. Degradations" is "MDL Implementation losses"</t>
  </si>
  <si>
    <t>Changed to reflect true nature of test</t>
  </si>
  <si>
    <t>Row 73, 74</t>
  </si>
  <si>
    <t>B74</t>
  </si>
  <si>
    <t>Added Design columns in the the BOL, BOL/EOL setback and EOL table.</t>
  </si>
  <si>
    <t>Additional information</t>
  </si>
  <si>
    <t>Table</t>
  </si>
  <si>
    <t>Removed yellow colour from cells.</t>
  </si>
  <si>
    <t>Not needed, cleans up format</t>
  </si>
  <si>
    <t xml:space="preserve">Row 62 </t>
  </si>
  <si>
    <t>Removed row 62 from original, then moved row 61 moved it to row 58. Now adds value (1dB) to required Eb/No value, now used in design value</t>
  </si>
  <si>
    <t>Part of changing test to Implementation loss test from BER degradation test</t>
  </si>
  <si>
    <t>Row 108</t>
  </si>
  <si>
    <t>Covered as part of Imager test</t>
  </si>
  <si>
    <t>Verification not required therefore row 108 removed</t>
  </si>
  <si>
    <t>Row 106,107</t>
  </si>
  <si>
    <t xml:space="preserve">Row 65 </t>
  </si>
  <si>
    <t>Removed row 65 from original, then moved row 64 moved it to row 61. Now adds value (1dB) to required Eb/No value, now used in design value</t>
  </si>
  <si>
    <t>Row 90, 91</t>
  </si>
  <si>
    <t>Removed</t>
  </si>
  <si>
    <t>Not required</t>
  </si>
  <si>
    <t>Rows 117 and down</t>
  </si>
  <si>
    <t>Expanded information in Pass/Fail criteria table</t>
  </si>
  <si>
    <t>Added information for completeness and clarity</t>
  </si>
  <si>
    <t>Rows 110 and down</t>
  </si>
  <si>
    <t>Implementaion loss</t>
  </si>
  <si>
    <t>Implementation loss</t>
  </si>
  <si>
    <t>Pass/fail table</t>
  </si>
  <si>
    <t>Removed Design columns from Pass fail table, removed Rose shading from cells</t>
  </si>
  <si>
    <t>Row 96</t>
  </si>
  <si>
    <t>Inserted row, showing implementation loss per 2 Feb 02 L. Pond verification plan</t>
  </si>
  <si>
    <t>Re-doing test method</t>
  </si>
  <si>
    <t>Removed Rose shading from cells. Changed final row from "Satellite+ degradations" to "Implementation loss", Changed value to the implementation loss value from Row. 96. EOL-BOL setback remains the same</t>
  </si>
  <si>
    <t>Reflect new test method, per L. Pond Verification plan</t>
  </si>
  <si>
    <t>Row 95</t>
  </si>
  <si>
    <t>Removed Rose shading from cells. Changed final row from "Satellite+ degradations" to "Implementation loss", Changed value to the implementation loss value from Row. 95. EOL-BOL setback remains the same. Corrected EOL-BOL set back cell reference.</t>
  </si>
  <si>
    <t>Row 98</t>
  </si>
  <si>
    <t>Removed Rose shading from cells. Changed final row from "Satellite+ degradations" to "Implementation loss", Changed value to the implementation loss value from Row. 97. EOL-BOL setback remains the same.</t>
  </si>
  <si>
    <t>Removed Rose shading from cells. Changed final row from "Satellite+ degradations" to "Implementation loss", Changed value to the implementation loss value from Row. 98. EOL-BOL setback remains the same.</t>
  </si>
  <si>
    <t>Added information like what was done on the budget sheets, and added arrows showing what added to what.</t>
  </si>
  <si>
    <t>Row 97</t>
  </si>
  <si>
    <t>For Max EOL Implementation loss is:</t>
  </si>
  <si>
    <t xml:space="preserve">  3.99=Satellite segment degradations(0.68) + Measurement system margin allocation(1.00) + Ground station (2.3)</t>
  </si>
  <si>
    <t>Summary</t>
  </si>
  <si>
    <t>Excel Cell #s</t>
  </si>
  <si>
    <t>Change</t>
  </si>
  <si>
    <t>Reason</t>
  </si>
  <si>
    <t>Date</t>
  </si>
  <si>
    <t>D25</t>
  </si>
  <si>
    <t>Changed Number</t>
  </si>
  <si>
    <t>Not include system margin</t>
  </si>
  <si>
    <t>E25</t>
  </si>
  <si>
    <t>F25</t>
  </si>
  <si>
    <t>Row 66</t>
  </si>
  <si>
    <t>implementation loss missing</t>
  </si>
  <si>
    <t>Row 88</t>
  </si>
  <si>
    <t>system margin allocation missing</t>
  </si>
  <si>
    <t>i89</t>
  </si>
  <si>
    <t>updated number</t>
  </si>
  <si>
    <t>includes system margin</t>
  </si>
  <si>
    <t>i90</t>
  </si>
  <si>
    <t>correct number for sounder</t>
  </si>
  <si>
    <t>i93</t>
  </si>
  <si>
    <t>h102,i102</t>
  </si>
  <si>
    <t xml:space="preserve">correct number </t>
  </si>
  <si>
    <t>h103,i103</t>
  </si>
  <si>
    <t>h104,i104</t>
  </si>
  <si>
    <t>rows111,113</t>
  </si>
  <si>
    <t>Added rows</t>
  </si>
  <si>
    <t>not have sounder numbers</t>
  </si>
  <si>
    <t>row75</t>
  </si>
  <si>
    <t>updated several numbers</t>
  </si>
  <si>
    <t>correct number</t>
  </si>
  <si>
    <t>Had wrong services numbers</t>
  </si>
  <si>
    <t>Implementation Loss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</si>
</sst>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E+00"/>
    <numFmt numFmtId="172" formatCode="0.0E+00"/>
    <numFmt numFmtId="173" formatCode="0.000000E+00"/>
    <numFmt numFmtId="174" formatCode="0.0000000E+00"/>
    <numFmt numFmtId="175" formatCode="0.00000E+00"/>
    <numFmt numFmtId="176" formatCode="0.0000E+00"/>
    <numFmt numFmtId="177" formatCode="0.000E+00"/>
    <numFmt numFmtId="178" formatCode="0.0000000000"/>
    <numFmt numFmtId="179" formatCode="0.00000000000"/>
    <numFmt numFmtId="180" formatCode="0.000000000"/>
    <numFmt numFmtId="181" formatCode="0.000000000000"/>
    <numFmt numFmtId="182" formatCode="0.0000000000000"/>
    <numFmt numFmtId="183" formatCode="0.E+00"/>
    <numFmt numFmtId="184" formatCode="00000"/>
    <numFmt numFmtId="185" formatCode="0.00000000000000"/>
  </numFmts>
  <fonts count="13">
    <font>
      <sz val="10"/>
      <name val="Arial"/>
      <family val="0"/>
    </font>
    <font>
      <b/>
      <sz val="10"/>
      <name val="Arial"/>
      <family val="0"/>
    </font>
    <font>
      <vertAlign val="subscript"/>
      <sz val="10"/>
      <name val="Arial"/>
      <family val="2"/>
    </font>
    <font>
      <b/>
      <i/>
      <sz val="10"/>
      <name val="Arial"/>
      <family val="2"/>
    </font>
    <font>
      <vertAlign val="superscript"/>
      <sz val="10"/>
      <name val="Arial"/>
      <family val="2"/>
    </font>
    <font>
      <sz val="10"/>
      <name val="Symbol"/>
      <family val="1"/>
    </font>
    <font>
      <b/>
      <sz val="8"/>
      <name val="Arial"/>
      <family val="2"/>
    </font>
    <font>
      <b/>
      <sz val="10"/>
      <color indexed="10"/>
      <name val="Arial"/>
      <family val="2"/>
    </font>
    <font>
      <b/>
      <i/>
      <sz val="16"/>
      <name val="Arial"/>
      <family val="2"/>
    </font>
    <font>
      <sz val="16"/>
      <name val="Arial"/>
      <family val="2"/>
    </font>
    <font>
      <b/>
      <sz val="16"/>
      <name val="Arial"/>
      <family val="2"/>
    </font>
    <font>
      <b/>
      <i/>
      <sz val="16"/>
      <name val="Symbol"/>
      <family val="1"/>
    </font>
    <font>
      <b/>
      <i/>
      <sz val="16"/>
      <name val="System"/>
      <family val="2"/>
    </font>
  </fonts>
  <fills count="7">
    <fill>
      <patternFill/>
    </fill>
    <fill>
      <patternFill patternType="gray125"/>
    </fill>
    <fill>
      <patternFill patternType="darkUp"/>
    </fill>
    <fill>
      <patternFill patternType="solid">
        <fgColor indexed="65"/>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s>
  <borders count="82">
    <border>
      <left/>
      <right/>
      <top/>
      <bottom/>
      <diagonal/>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style="medium"/>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style="thin"/>
      <bottom style="thin"/>
    </border>
    <border>
      <left style="thin"/>
      <right style="thin"/>
      <top>
        <color indexed="63"/>
      </top>
      <bottom style="medium"/>
    </border>
    <border>
      <left>
        <color indexed="63"/>
      </left>
      <right style="thin"/>
      <top style="thin"/>
      <bottom>
        <color indexed="63"/>
      </botto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thin"/>
      <bottom style="medium"/>
    </border>
    <border>
      <left>
        <color indexed="63"/>
      </left>
      <right style="medium"/>
      <top style="medium"/>
      <bottom>
        <color indexed="63"/>
      </bottom>
    </border>
    <border>
      <left style="thin"/>
      <right>
        <color indexed="63"/>
      </right>
      <top style="medium"/>
      <bottom style="medium"/>
    </border>
    <border>
      <left style="thin"/>
      <right style="thin"/>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style="medium"/>
      <right style="thin"/>
      <top style="medium"/>
      <bottom style="medium"/>
    </border>
    <border>
      <left style="thin"/>
      <right>
        <color indexed="63"/>
      </right>
      <top style="thin"/>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style="medium"/>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thin"/>
      <right style="thin"/>
      <top style="thick"/>
      <bottom style="thick"/>
    </border>
    <border>
      <left style="thin"/>
      <right style="thick"/>
      <top style="thick"/>
      <bottom style="thick"/>
    </border>
    <border>
      <left style="medium"/>
      <right>
        <color indexed="63"/>
      </right>
      <top>
        <color indexed="63"/>
      </top>
      <bottom style="thin"/>
    </border>
    <border>
      <left>
        <color indexed="63"/>
      </left>
      <right style="thin"/>
      <top>
        <color indexed="63"/>
      </top>
      <bottom style="thin"/>
    </border>
    <border>
      <left>
        <color indexed="63"/>
      </left>
      <right style="thick"/>
      <top style="thick"/>
      <bottom style="thick"/>
    </border>
    <border>
      <left style="medium"/>
      <right style="medium"/>
      <top style="thin"/>
      <bottom>
        <color indexed="63"/>
      </bottom>
    </border>
    <border>
      <left style="medium"/>
      <right style="medium"/>
      <top>
        <color indexed="63"/>
      </top>
      <bottom style="thin"/>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2">
    <xf numFmtId="0" fontId="0" fillId="0" borderId="0" xfId="0" applyAlignment="1">
      <alignment/>
    </xf>
    <xf numFmtId="0" fontId="1" fillId="0" borderId="1" xfId="0"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Continuous"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vertical="center" wrapText="1"/>
    </xf>
    <xf numFmtId="0" fontId="0" fillId="0" borderId="4" xfId="0" applyBorder="1" applyAlignment="1">
      <alignment horizontal="center" vertical="center"/>
    </xf>
    <xf numFmtId="0" fontId="0" fillId="0" borderId="3" xfId="0" applyBorder="1" applyAlignment="1">
      <alignment vertical="center"/>
    </xf>
    <xf numFmtId="0" fontId="0" fillId="0" borderId="8" xfId="0"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2" borderId="8"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1" fillId="0" borderId="12" xfId="0" applyFont="1" applyBorder="1" applyAlignment="1">
      <alignment horizontal="center" vertical="center"/>
    </xf>
    <xf numFmtId="0" fontId="0" fillId="0" borderId="12" xfId="0" applyBorder="1" applyAlignment="1">
      <alignment horizontal="center" vertical="center"/>
    </xf>
    <xf numFmtId="0" fontId="0" fillId="2" borderId="11" xfId="0" applyFill="1" applyBorder="1" applyAlignment="1">
      <alignment horizontal="center" vertical="center"/>
    </xf>
    <xf numFmtId="0" fontId="0" fillId="0" borderId="13" xfId="0" applyBorder="1" applyAlignment="1">
      <alignment vertical="center"/>
    </xf>
    <xf numFmtId="49" fontId="0" fillId="0" borderId="14" xfId="0" applyNumberFormat="1" applyBorder="1" applyAlignment="1">
      <alignment horizont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2" fontId="1" fillId="0" borderId="12"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2" fontId="1" fillId="0" borderId="17" xfId="0" applyNumberFormat="1" applyFont="1" applyFill="1" applyBorder="1" applyAlignment="1">
      <alignment horizontal="center" vertical="center"/>
    </xf>
    <xf numFmtId="2" fontId="0" fillId="2" borderId="8" xfId="0" applyNumberFormat="1" applyFill="1" applyBorder="1" applyAlignment="1">
      <alignment horizontal="center" vertical="center"/>
    </xf>
    <xf numFmtId="2" fontId="1" fillId="0" borderId="8"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19" xfId="0" applyBorder="1" applyAlignment="1">
      <alignment horizontal="center" vertical="center"/>
    </xf>
    <xf numFmtId="2" fontId="0" fillId="2" borderId="20" xfId="0" applyNumberFormat="1" applyFill="1" applyBorder="1" applyAlignment="1">
      <alignment horizontal="center" vertical="center"/>
    </xf>
    <xf numFmtId="2" fontId="0" fillId="2" borderId="11" xfId="0" applyNumberFormat="1" applyFill="1" applyBorder="1" applyAlignment="1">
      <alignment horizontal="center" vertical="center"/>
    </xf>
    <xf numFmtId="0" fontId="0" fillId="0" borderId="11" xfId="0" applyFont="1" applyBorder="1" applyAlignment="1">
      <alignment horizontal="center" vertical="center"/>
    </xf>
    <xf numFmtId="165" fontId="0" fillId="0" borderId="11" xfId="0" applyNumberFormat="1" applyBorder="1" applyAlignment="1">
      <alignment horizontal="center" vertical="center"/>
    </xf>
    <xf numFmtId="167" fontId="0" fillId="0" borderId="11" xfId="0" applyNumberFormat="1" applyBorder="1" applyAlignment="1">
      <alignment horizontal="center" vertical="center"/>
    </xf>
    <xf numFmtId="2" fontId="1" fillId="0" borderId="11"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165" fontId="1" fillId="0" borderId="11" xfId="0" applyNumberFormat="1" applyFont="1" applyFill="1" applyBorder="1" applyAlignment="1">
      <alignment horizontal="center" vertical="center"/>
    </xf>
    <xf numFmtId="2" fontId="1" fillId="0" borderId="21" xfId="0" applyNumberFormat="1" applyFont="1" applyFill="1" applyBorder="1" applyAlignment="1">
      <alignment horizontal="center"/>
    </xf>
    <xf numFmtId="165" fontId="1" fillId="0" borderId="8" xfId="0" applyNumberFormat="1" applyFont="1" applyFill="1" applyBorder="1" applyAlignment="1">
      <alignment horizontal="center"/>
    </xf>
    <xf numFmtId="2" fontId="1" fillId="0" borderId="9"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0" xfId="0" applyFill="1" applyBorder="1" applyAlignment="1">
      <alignment horizontal="center" vertical="center"/>
    </xf>
    <xf numFmtId="166" fontId="0" fillId="0" borderId="11" xfId="0" applyNumberFormat="1" applyBorder="1" applyAlignment="1">
      <alignment horizontal="center" vertical="center"/>
    </xf>
    <xf numFmtId="183" fontId="1" fillId="0" borderId="12" xfId="0" applyNumberFormat="1" applyFont="1" applyBorder="1" applyAlignment="1">
      <alignment horizontal="center" vertical="center"/>
    </xf>
    <xf numFmtId="0" fontId="0" fillId="0" borderId="22" xfId="0" applyBorder="1" applyAlignment="1">
      <alignment horizontal="center" vertical="center"/>
    </xf>
    <xf numFmtId="2" fontId="1" fillId="0" borderId="23" xfId="0" applyNumberFormat="1" applyFont="1" applyFill="1" applyBorder="1" applyAlignment="1">
      <alignment horizontal="center" vertical="center"/>
    </xf>
    <xf numFmtId="0" fontId="0" fillId="2" borderId="18" xfId="0" applyFill="1" applyBorder="1" applyAlignment="1">
      <alignment horizontal="center" vertical="center"/>
    </xf>
    <xf numFmtId="0" fontId="1" fillId="0" borderId="1" xfId="0" applyFont="1" applyBorder="1" applyAlignment="1">
      <alignment/>
    </xf>
    <xf numFmtId="0" fontId="1" fillId="0" borderId="24" xfId="0" applyFont="1" applyBorder="1" applyAlignment="1">
      <alignment horizontal="center"/>
    </xf>
    <xf numFmtId="2" fontId="1" fillId="0" borderId="24" xfId="0" applyNumberFormat="1" applyFont="1" applyFill="1" applyBorder="1" applyAlignment="1">
      <alignment horizontal="center" vertical="center"/>
    </xf>
    <xf numFmtId="0" fontId="0" fillId="2" borderId="24" xfId="0" applyFill="1" applyBorder="1" applyAlignment="1">
      <alignment horizontal="center" vertical="center"/>
    </xf>
    <xf numFmtId="0" fontId="0" fillId="0" borderId="25" xfId="0" applyFill="1" applyBorder="1" applyAlignment="1">
      <alignment horizontal="center" vertical="center"/>
    </xf>
    <xf numFmtId="0" fontId="0" fillId="0" borderId="0" xfId="0" applyAlignment="1">
      <alignment horizontal="center"/>
    </xf>
    <xf numFmtId="0" fontId="0" fillId="0" borderId="0" xfId="0" applyAlignment="1">
      <alignment horizontal="right"/>
    </xf>
    <xf numFmtId="2" fontId="0" fillId="0" borderId="7" xfId="0" applyNumberFormat="1" applyBorder="1" applyAlignment="1">
      <alignment horizontal="center"/>
    </xf>
    <xf numFmtId="0" fontId="0" fillId="0" borderId="0" xfId="0" applyAlignment="1">
      <alignment horizontal="left"/>
    </xf>
    <xf numFmtId="2" fontId="1" fillId="0" borderId="7"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Alignment="1">
      <alignment horizontal="center"/>
    </xf>
    <xf numFmtId="0" fontId="0" fillId="0" borderId="26" xfId="0" applyBorder="1" applyAlignment="1">
      <alignment/>
    </xf>
    <xf numFmtId="0" fontId="0" fillId="0" borderId="27" xfId="0" applyBorder="1" applyAlignment="1">
      <alignment/>
    </xf>
    <xf numFmtId="0" fontId="0" fillId="0" borderId="11" xfId="0" applyFont="1" applyFill="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0" fillId="2" borderId="28" xfId="0" applyFill="1" applyBorder="1" applyAlignment="1">
      <alignment horizontal="center" vertical="center"/>
    </xf>
    <xf numFmtId="2" fontId="0" fillId="0" borderId="0" xfId="0" applyNumberFormat="1" applyAlignment="1">
      <alignment/>
    </xf>
    <xf numFmtId="0" fontId="0" fillId="0" borderId="12" xfId="0" applyFill="1" applyBorder="1" applyAlignment="1">
      <alignment horizontal="center" vertical="center"/>
    </xf>
    <xf numFmtId="0" fontId="0" fillId="2" borderId="29" xfId="0" applyFill="1" applyBorder="1" applyAlignment="1">
      <alignment horizontal="center" vertical="center"/>
    </xf>
    <xf numFmtId="2" fontId="1" fillId="0" borderId="22" xfId="0" applyNumberFormat="1" applyFont="1" applyBorder="1" applyAlignment="1">
      <alignment horizontal="center" vertical="center"/>
    </xf>
    <xf numFmtId="11" fontId="0" fillId="0" borderId="0" xfId="0" applyNumberFormat="1" applyAlignment="1">
      <alignment vertical="center"/>
    </xf>
    <xf numFmtId="11" fontId="0" fillId="0" borderId="0" xfId="0" applyNumberFormat="1" applyAlignment="1">
      <alignment vertical="center" wrapText="1"/>
    </xf>
    <xf numFmtId="11" fontId="0" fillId="0" borderId="0" xfId="0" applyNumberFormat="1" applyAlignment="1">
      <alignment/>
    </xf>
    <xf numFmtId="0" fontId="1" fillId="0" borderId="30" xfId="0" applyFont="1" applyBorder="1" applyAlignment="1">
      <alignment horizontal="centerContinuous" vertical="center"/>
    </xf>
    <xf numFmtId="2" fontId="1" fillId="0" borderId="12" xfId="0" applyNumberFormat="1" applyFont="1" applyFill="1" applyBorder="1" applyAlignment="1">
      <alignment horizontal="center" vertical="center"/>
    </xf>
    <xf numFmtId="2" fontId="1" fillId="0" borderId="31" xfId="0" applyNumberFormat="1" applyFont="1" applyFill="1" applyBorder="1" applyAlignment="1">
      <alignment horizontal="center" vertical="center"/>
    </xf>
    <xf numFmtId="2" fontId="0" fillId="0" borderId="0" xfId="0" applyNumberFormat="1" applyBorder="1" applyAlignment="1">
      <alignment horizontal="center"/>
    </xf>
    <xf numFmtId="11" fontId="1" fillId="0" borderId="8" xfId="0" applyNumberFormat="1" applyFont="1" applyFill="1" applyBorder="1" applyAlignment="1">
      <alignment horizontal="center"/>
    </xf>
    <xf numFmtId="0" fontId="0" fillId="0" borderId="0" xfId="0" applyFont="1" applyAlignment="1">
      <alignment/>
    </xf>
    <xf numFmtId="0" fontId="1" fillId="0" borderId="6" xfId="0" applyFont="1" applyBorder="1" applyAlignment="1">
      <alignment horizontal="center" vertical="center"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2" fontId="0"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64" fontId="0" fillId="0" borderId="12" xfId="0" applyNumberFormat="1" applyFont="1" applyBorder="1" applyAlignment="1">
      <alignment horizontal="center" vertical="center"/>
    </xf>
    <xf numFmtId="11" fontId="0" fillId="0" borderId="12" xfId="0" applyNumberFormat="1" applyFont="1" applyBorder="1" applyAlignment="1">
      <alignment horizontal="center" vertical="center"/>
    </xf>
    <xf numFmtId="0" fontId="0" fillId="0" borderId="0" xfId="0" applyFont="1" applyAlignment="1">
      <alignment horizontal="center"/>
    </xf>
    <xf numFmtId="0" fontId="0" fillId="0" borderId="32" xfId="0" applyFont="1" applyBorder="1" applyAlignment="1">
      <alignment horizontal="center"/>
    </xf>
    <xf numFmtId="0" fontId="1" fillId="0" borderId="1" xfId="0" applyFont="1" applyBorder="1" applyAlignment="1">
      <alignment horizontal="right"/>
    </xf>
    <xf numFmtId="2" fontId="0" fillId="0" borderId="11" xfId="0" applyNumberFormat="1" applyFill="1" applyBorder="1" applyAlignment="1">
      <alignment horizontal="center" vertical="center"/>
    </xf>
    <xf numFmtId="2" fontId="1" fillId="0" borderId="33" xfId="0" applyNumberFormat="1" applyFont="1" applyBorder="1" applyAlignment="1">
      <alignment horizontal="center" vertical="center"/>
    </xf>
    <xf numFmtId="0" fontId="0" fillId="0" borderId="15" xfId="0" applyFont="1" applyBorder="1" applyAlignment="1">
      <alignment horizontal="center" vertical="center"/>
    </xf>
    <xf numFmtId="49" fontId="0" fillId="0" borderId="34" xfId="0" applyNumberFormat="1" applyBorder="1" applyAlignment="1">
      <alignment horizontal="center"/>
    </xf>
    <xf numFmtId="0" fontId="1" fillId="0" borderId="4"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0" fillId="0" borderId="15" xfId="0" applyBorder="1" applyAlignment="1">
      <alignment vertical="center"/>
    </xf>
    <xf numFmtId="0" fontId="1" fillId="0" borderId="4" xfId="0" applyFont="1" applyBorder="1" applyAlignment="1">
      <alignment/>
    </xf>
    <xf numFmtId="0" fontId="1" fillId="0" borderId="4" xfId="0" applyFont="1" applyBorder="1" applyAlignment="1">
      <alignment horizontal="right"/>
    </xf>
    <xf numFmtId="0" fontId="0" fillId="0" borderId="2" xfId="0" applyBorder="1" applyAlignment="1">
      <alignment horizontal="centerContinuous" vertical="center"/>
    </xf>
    <xf numFmtId="0" fontId="0" fillId="0" borderId="35" xfId="0" applyBorder="1" applyAlignment="1">
      <alignment horizontal="centerContinuous" vertical="center"/>
    </xf>
    <xf numFmtId="0" fontId="0" fillId="0" borderId="30" xfId="0" applyBorder="1" applyAlignment="1">
      <alignment horizontal="centerContinuous" vertical="center"/>
    </xf>
    <xf numFmtId="0" fontId="1" fillId="0" borderId="36" xfId="0" applyFont="1" applyBorder="1" applyAlignment="1">
      <alignment horizontal="centerContinuous" vertical="center"/>
    </xf>
    <xf numFmtId="0" fontId="1" fillId="0" borderId="37" xfId="0" applyFont="1" applyBorder="1" applyAlignment="1">
      <alignment horizontal="centerContinuous" vertical="center"/>
    </xf>
    <xf numFmtId="0" fontId="1" fillId="0" borderId="38" xfId="0" applyFont="1" applyBorder="1" applyAlignment="1">
      <alignment horizontal="centerContinuous" vertical="center"/>
    </xf>
    <xf numFmtId="0" fontId="0" fillId="0" borderId="39" xfId="0" applyBorder="1" applyAlignment="1">
      <alignment vertical="center"/>
    </xf>
    <xf numFmtId="0" fontId="0" fillId="0" borderId="33" xfId="0"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0" xfId="0" applyBorder="1" applyAlignment="1">
      <alignment/>
    </xf>
    <xf numFmtId="0" fontId="0" fillId="0" borderId="40" xfId="0" applyBorder="1" applyAlignment="1">
      <alignment horizontal="center" vertical="center"/>
    </xf>
    <xf numFmtId="2" fontId="1" fillId="0" borderId="41" xfId="0" applyNumberFormat="1" applyFont="1" applyFill="1" applyBorder="1" applyAlignment="1">
      <alignment horizontal="center" vertical="center"/>
    </xf>
    <xf numFmtId="0" fontId="0" fillId="0" borderId="42" xfId="0" applyBorder="1" applyAlignment="1">
      <alignment horizontal="center" vertical="center"/>
    </xf>
    <xf numFmtId="2" fontId="1" fillId="0" borderId="43" xfId="0" applyNumberFormat="1" applyFont="1" applyFill="1" applyBorder="1" applyAlignment="1">
      <alignment horizontal="center" vertical="center"/>
    </xf>
    <xf numFmtId="0" fontId="0" fillId="2" borderId="41" xfId="0" applyFill="1" applyBorder="1" applyAlignment="1">
      <alignment horizontal="center" vertical="center"/>
    </xf>
    <xf numFmtId="2" fontId="0" fillId="0" borderId="41" xfId="0" applyNumberFormat="1"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32" xfId="0" applyBorder="1" applyAlignment="1">
      <alignment horizontal="center" vertical="center"/>
    </xf>
    <xf numFmtId="2" fontId="1" fillId="0" borderId="45" xfId="0" applyNumberFormat="1" applyFont="1" applyFill="1" applyBorder="1" applyAlignment="1">
      <alignment horizontal="center"/>
    </xf>
    <xf numFmtId="2" fontId="1" fillId="0" borderId="32" xfId="0" applyNumberFormat="1" applyFont="1" applyFill="1" applyBorder="1" applyAlignment="1">
      <alignment horizontal="center"/>
    </xf>
    <xf numFmtId="0" fontId="0" fillId="0" borderId="45" xfId="0" applyBorder="1" applyAlignment="1">
      <alignment horizontal="center" vertical="center"/>
    </xf>
    <xf numFmtId="2" fontId="1" fillId="0" borderId="28" xfId="0" applyNumberFormat="1" applyFont="1" applyFill="1" applyBorder="1" applyAlignment="1">
      <alignment horizontal="center"/>
    </xf>
    <xf numFmtId="0" fontId="0" fillId="2" borderId="32" xfId="0" applyFill="1" applyBorder="1" applyAlignment="1">
      <alignment horizontal="center" vertical="center"/>
    </xf>
    <xf numFmtId="165" fontId="1" fillId="0" borderId="32" xfId="0" applyNumberFormat="1" applyFont="1" applyFill="1" applyBorder="1" applyAlignment="1">
      <alignment horizontal="center"/>
    </xf>
    <xf numFmtId="11" fontId="1" fillId="0" borderId="32" xfId="0" applyNumberFormat="1" applyFont="1" applyFill="1" applyBorder="1" applyAlignment="1">
      <alignment horizontal="center"/>
    </xf>
    <xf numFmtId="0" fontId="0" fillId="0" borderId="2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2" fontId="1" fillId="0" borderId="49" xfId="0" applyNumberFormat="1" applyFont="1" applyFill="1" applyBorder="1" applyAlignment="1">
      <alignment horizontal="center"/>
    </xf>
    <xf numFmtId="0" fontId="0" fillId="0" borderId="50" xfId="0" applyBorder="1" applyAlignment="1">
      <alignment horizontal="center" vertical="center"/>
    </xf>
    <xf numFmtId="0" fontId="0" fillId="0" borderId="33" xfId="0" applyBorder="1" applyAlignment="1" quotePrefix="1">
      <alignment vertical="center"/>
    </xf>
    <xf numFmtId="0" fontId="0" fillId="0" borderId="0" xfId="0" applyFont="1" applyAlignment="1">
      <alignment horizontal="center"/>
    </xf>
    <xf numFmtId="0" fontId="0" fillId="0" borderId="4" xfId="0" applyFont="1" applyBorder="1" applyAlignment="1">
      <alignment horizontal="center" vertical="center"/>
    </xf>
    <xf numFmtId="0" fontId="0" fillId="0" borderId="32" xfId="0" applyFont="1" applyBorder="1" applyAlignment="1">
      <alignment horizont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0" fillId="0" borderId="12" xfId="0" applyFont="1" applyBorder="1" applyAlignment="1">
      <alignment horizontal="center" vertical="center"/>
    </xf>
    <xf numFmtId="49" fontId="0" fillId="0" borderId="14" xfId="0" applyNumberFormat="1" applyFont="1" applyBorder="1" applyAlignment="1">
      <alignment horizontal="center"/>
    </xf>
    <xf numFmtId="0" fontId="0" fillId="0" borderId="11" xfId="0" applyFont="1" applyFill="1" applyBorder="1" applyAlignment="1">
      <alignment horizontal="center"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0" fillId="0" borderId="9" xfId="0" applyFont="1" applyBorder="1" applyAlignment="1">
      <alignment horizontal="center" vertical="center"/>
    </xf>
    <xf numFmtId="2" fontId="1" fillId="0" borderId="12" xfId="0" applyNumberFormat="1" applyFont="1" applyBorder="1" applyAlignment="1">
      <alignment horizontal="center" vertical="center"/>
    </xf>
    <xf numFmtId="2" fontId="1" fillId="0" borderId="33"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0" fillId="0" borderId="32" xfId="0" applyNumberFormat="1" applyFont="1" applyFill="1" applyBorder="1" applyAlignment="1">
      <alignment horizontal="center" vertical="center"/>
    </xf>
    <xf numFmtId="2" fontId="0" fillId="0" borderId="32" xfId="0" applyNumberFormat="1" applyFont="1" applyFill="1" applyBorder="1" applyAlignment="1" quotePrefix="1">
      <alignment horizontal="center" vertical="center"/>
    </xf>
    <xf numFmtId="0" fontId="1" fillId="0" borderId="11" xfId="0" applyFont="1" applyBorder="1" applyAlignment="1">
      <alignment horizontal="center" vertical="center"/>
    </xf>
    <xf numFmtId="2" fontId="1" fillId="0" borderId="21" xfId="0" applyNumberFormat="1" applyFont="1" applyFill="1" applyBorder="1" applyAlignment="1">
      <alignment horizontal="center"/>
    </xf>
    <xf numFmtId="2" fontId="1" fillId="0" borderId="49" xfId="0" applyNumberFormat="1" applyFont="1" applyFill="1" applyBorder="1" applyAlignment="1">
      <alignment horizontal="center"/>
    </xf>
    <xf numFmtId="164" fontId="0" fillId="0" borderId="12" xfId="0" applyNumberFormat="1" applyFont="1" applyBorder="1" applyAlignment="1">
      <alignment horizontal="center" vertical="center"/>
    </xf>
    <xf numFmtId="2" fontId="0" fillId="0" borderId="12" xfId="0" applyNumberFormat="1" applyFont="1" applyBorder="1" applyAlignment="1">
      <alignment horizontal="center" vertical="center"/>
    </xf>
    <xf numFmtId="0" fontId="0" fillId="0" borderId="15" xfId="0" applyFont="1" applyBorder="1" applyAlignment="1">
      <alignment horizontal="center" vertical="center"/>
    </xf>
    <xf numFmtId="2" fontId="1" fillId="0" borderId="9" xfId="0" applyNumberFormat="1" applyFont="1" applyBorder="1" applyAlignment="1">
      <alignment horizontal="center" vertical="center"/>
    </xf>
    <xf numFmtId="1" fontId="0" fillId="0" borderId="12" xfId="0" applyNumberFormat="1" applyFont="1" applyBorder="1" applyAlignment="1">
      <alignment horizontal="center" vertical="center"/>
    </xf>
    <xf numFmtId="2" fontId="1" fillId="0" borderId="45"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41" xfId="0" applyNumberFormat="1" applyFont="1" applyFill="1" applyBorder="1" applyAlignment="1">
      <alignment horizontal="center" vertical="center"/>
    </xf>
    <xf numFmtId="2" fontId="1" fillId="0" borderId="43" xfId="0" applyNumberFormat="1" applyFont="1" applyFill="1" applyBorder="1" applyAlignment="1">
      <alignment horizontal="center" vertical="center"/>
    </xf>
    <xf numFmtId="183" fontId="1" fillId="0" borderId="12" xfId="0" applyNumberFormat="1" applyFont="1" applyBorder="1" applyAlignment="1">
      <alignment horizontal="center" vertical="center"/>
    </xf>
    <xf numFmtId="11" fontId="0" fillId="0" borderId="12"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4" xfId="0" applyNumberFormat="1"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1" fillId="0" borderId="44" xfId="0" applyFont="1" applyBorder="1" applyAlignment="1">
      <alignment horizontal="left"/>
    </xf>
    <xf numFmtId="0" fontId="1" fillId="0" borderId="45" xfId="0" applyFont="1" applyBorder="1" applyAlignment="1">
      <alignment horizontal="left"/>
    </xf>
    <xf numFmtId="0" fontId="1" fillId="0" borderId="51" xfId="0" applyFont="1" applyBorder="1" applyAlignment="1">
      <alignment horizontal="center"/>
    </xf>
    <xf numFmtId="2" fontId="1" fillId="0" borderId="32" xfId="0" applyNumberFormat="1" applyFont="1" applyBorder="1" applyAlignment="1">
      <alignment horizontal="center"/>
    </xf>
    <xf numFmtId="2" fontId="1" fillId="0" borderId="51" xfId="0" applyNumberFormat="1" applyFont="1" applyBorder="1" applyAlignment="1">
      <alignment horizontal="center"/>
    </xf>
    <xf numFmtId="0" fontId="1" fillId="0" borderId="33"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center"/>
    </xf>
    <xf numFmtId="2" fontId="1" fillId="0" borderId="11" xfId="0" applyNumberFormat="1" applyFont="1" applyBorder="1" applyAlignment="1">
      <alignment horizontal="center"/>
    </xf>
    <xf numFmtId="2" fontId="1" fillId="0" borderId="14" xfId="0" applyNumberFormat="1" applyFont="1" applyBorder="1" applyAlignment="1">
      <alignment horizontal="center"/>
    </xf>
    <xf numFmtId="0" fontId="1" fillId="0" borderId="46" xfId="0" applyFont="1" applyBorder="1" applyAlignment="1">
      <alignment horizontal="left"/>
    </xf>
    <xf numFmtId="0" fontId="1" fillId="0" borderId="47" xfId="0" applyFont="1" applyBorder="1" applyAlignment="1">
      <alignment horizontal="left"/>
    </xf>
    <xf numFmtId="0" fontId="1" fillId="0" borderId="50" xfId="0" applyFont="1" applyBorder="1" applyAlignment="1">
      <alignment horizontal="center"/>
    </xf>
    <xf numFmtId="2" fontId="1" fillId="0" borderId="29" xfId="0" applyNumberFormat="1" applyFont="1" applyBorder="1" applyAlignment="1">
      <alignment horizontal="center"/>
    </xf>
    <xf numFmtId="2" fontId="1" fillId="0" borderId="50" xfId="0" applyNumberFormat="1" applyFont="1" applyBorder="1" applyAlignment="1">
      <alignment horizontal="center"/>
    </xf>
    <xf numFmtId="0" fontId="0" fillId="0" borderId="0" xfId="0" applyFont="1" applyAlignment="1">
      <alignment/>
    </xf>
    <xf numFmtId="0" fontId="1" fillId="0" borderId="36" xfId="0" applyFont="1" applyBorder="1" applyAlignment="1">
      <alignment horizontal="centerContinuous" vertical="center" wrapText="1"/>
    </xf>
    <xf numFmtId="0" fontId="1" fillId="0" borderId="37" xfId="0" applyFont="1" applyBorder="1" applyAlignment="1">
      <alignment horizontal="centerContinuous" vertical="center" wrapText="1"/>
    </xf>
    <xf numFmtId="0" fontId="1" fillId="0" borderId="38" xfId="0" applyFont="1" applyBorder="1" applyAlignment="1">
      <alignment horizontal="centerContinuous" vertical="center" wrapText="1"/>
    </xf>
    <xf numFmtId="0" fontId="0" fillId="0" borderId="32" xfId="0" applyBorder="1" applyAlignment="1">
      <alignment horizontal="center"/>
    </xf>
    <xf numFmtId="0" fontId="0" fillId="0" borderId="32" xfId="0" applyBorder="1" applyAlignment="1">
      <alignment/>
    </xf>
    <xf numFmtId="0" fontId="0" fillId="0" borderId="41" xfId="0" applyBorder="1" applyAlignment="1">
      <alignment horizontal="center"/>
    </xf>
    <xf numFmtId="0" fontId="0" fillId="2" borderId="43" xfId="0" applyFill="1" applyBorder="1" applyAlignment="1">
      <alignment horizontal="center" vertical="center"/>
    </xf>
    <xf numFmtId="2" fontId="1" fillId="0" borderId="29" xfId="0" applyNumberFormat="1" applyFont="1" applyBorder="1" applyAlignment="1">
      <alignment horizontal="center" vertical="center"/>
    </xf>
    <xf numFmtId="0" fontId="0" fillId="3" borderId="35" xfId="0" applyFill="1" applyBorder="1" applyAlignment="1">
      <alignment vertical="center"/>
    </xf>
    <xf numFmtId="2" fontId="1" fillId="3" borderId="0" xfId="0" applyNumberFormat="1" applyFont="1" applyFill="1" applyBorder="1" applyAlignment="1">
      <alignment horizontal="center"/>
    </xf>
    <xf numFmtId="2" fontId="0" fillId="0" borderId="11" xfId="0" applyNumberFormat="1" applyBorder="1" applyAlignment="1">
      <alignment horizontal="center" vertical="center"/>
    </xf>
    <xf numFmtId="12" fontId="1" fillId="0" borderId="11" xfId="0" applyNumberFormat="1" applyFont="1" applyFill="1" applyBorder="1" applyAlignment="1">
      <alignment horizontal="center" vertical="center"/>
    </xf>
    <xf numFmtId="12" fontId="1" fillId="0" borderId="20" xfId="0" applyNumberFormat="1" applyFont="1" applyFill="1" applyBorder="1" applyAlignment="1">
      <alignment horizontal="center" vertical="center"/>
    </xf>
    <xf numFmtId="12" fontId="0" fillId="0" borderId="11" xfId="0" applyNumberFormat="1" applyBorder="1" applyAlignment="1">
      <alignment horizontal="center" vertical="center"/>
    </xf>
    <xf numFmtId="0" fontId="0" fillId="0" borderId="52" xfId="0" applyBorder="1" applyAlignment="1">
      <alignment horizontal="center" vertical="center"/>
    </xf>
    <xf numFmtId="2" fontId="1" fillId="0" borderId="29" xfId="0" applyNumberFormat="1" applyFont="1" applyFill="1"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vertical="center"/>
    </xf>
    <xf numFmtId="2" fontId="0" fillId="2" borderId="20"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0" fontId="1" fillId="0" borderId="31" xfId="0" applyFont="1" applyBorder="1" applyAlignment="1">
      <alignment horizontal="center"/>
    </xf>
    <xf numFmtId="2" fontId="1" fillId="0" borderId="53" xfId="0" applyNumberFormat="1" applyFont="1" applyFill="1" applyBorder="1" applyAlignment="1">
      <alignment horizontal="center" vertical="center"/>
    </xf>
    <xf numFmtId="0" fontId="1" fillId="0" borderId="0" xfId="0" applyFont="1" applyAlignment="1">
      <alignment/>
    </xf>
    <xf numFmtId="0" fontId="1" fillId="0" borderId="28" xfId="0" applyFont="1" applyBorder="1" applyAlignment="1">
      <alignment horizontal="left"/>
    </xf>
    <xf numFmtId="0" fontId="1" fillId="0" borderId="20" xfId="0" applyFont="1" applyBorder="1" applyAlignment="1">
      <alignment horizontal="left"/>
    </xf>
    <xf numFmtId="0" fontId="1" fillId="0" borderId="23" xfId="0" applyFont="1" applyBorder="1" applyAlignment="1">
      <alignment horizontal="left"/>
    </xf>
    <xf numFmtId="0" fontId="0" fillId="0" borderId="12" xfId="0" applyBorder="1" applyAlignment="1" quotePrefix="1">
      <alignment horizontal="center" vertical="center"/>
    </xf>
    <xf numFmtId="2" fontId="0" fillId="0" borderId="0" xfId="0" applyNumberFormat="1" applyAlignment="1">
      <alignment horizontal="center"/>
    </xf>
    <xf numFmtId="2" fontId="0" fillId="0" borderId="11" xfId="0" applyNumberFormat="1" applyFont="1" applyBorder="1" applyAlignment="1">
      <alignment horizontal="center" vertical="center"/>
    </xf>
    <xf numFmtId="165" fontId="0" fillId="0" borderId="12" xfId="0" applyNumberFormat="1" applyFont="1" applyBorder="1" applyAlignment="1">
      <alignment horizontal="center" vertical="center"/>
    </xf>
    <xf numFmtId="2" fontId="0" fillId="0" borderId="4" xfId="0" applyNumberFormat="1" applyFont="1" applyBorder="1" applyAlignment="1">
      <alignment horizontal="center" vertical="center"/>
    </xf>
    <xf numFmtId="0" fontId="0" fillId="0" borderId="11" xfId="0" applyFont="1" applyBorder="1" applyAlignment="1" quotePrefix="1">
      <alignment horizontal="center" vertical="center"/>
    </xf>
    <xf numFmtId="2" fontId="0" fillId="0" borderId="4" xfId="0" applyNumberFormat="1" applyBorder="1" applyAlignment="1">
      <alignment horizontal="center" vertical="center"/>
    </xf>
    <xf numFmtId="2" fontId="1" fillId="0" borderId="0" xfId="0" applyNumberFormat="1" applyFont="1" applyBorder="1" applyAlignment="1">
      <alignment horizontal="center"/>
    </xf>
    <xf numFmtId="2" fontId="0" fillId="0" borderId="11" xfId="0" applyNumberFormat="1" applyFont="1" applyFill="1" applyBorder="1" applyAlignment="1" quotePrefix="1">
      <alignment horizontal="center" vertical="center"/>
    </xf>
    <xf numFmtId="2" fontId="0" fillId="0" borderId="11" xfId="0" applyNumberFormat="1" applyFont="1" applyFill="1" applyBorder="1" applyAlignment="1">
      <alignment horizontal="center" vertical="center"/>
    </xf>
    <xf numFmtId="0" fontId="0" fillId="0" borderId="54" xfId="0" applyBorder="1" applyAlignment="1">
      <alignment horizontal="center" vertical="center"/>
    </xf>
    <xf numFmtId="2" fontId="1" fillId="0" borderId="18" xfId="0" applyNumberFormat="1" applyFont="1" applyFill="1" applyBorder="1" applyAlignment="1">
      <alignment horizontal="center" vertical="center"/>
    </xf>
    <xf numFmtId="2" fontId="1" fillId="0" borderId="55" xfId="0" applyNumberFormat="1" applyFont="1" applyFill="1" applyBorder="1" applyAlignment="1">
      <alignment horizontal="center" vertical="center"/>
    </xf>
    <xf numFmtId="2" fontId="0" fillId="2" borderId="18" xfId="0" applyNumberFormat="1" applyFill="1" applyBorder="1" applyAlignment="1">
      <alignment horizontal="center" vertical="center"/>
    </xf>
    <xf numFmtId="2" fontId="0" fillId="0" borderId="11"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center"/>
    </xf>
    <xf numFmtId="12" fontId="0" fillId="0" borderId="4" xfId="0" applyNumberFormat="1" applyFont="1" applyBorder="1" applyAlignment="1">
      <alignment horizontal="center" vertical="center"/>
    </xf>
    <xf numFmtId="0" fontId="1" fillId="0" borderId="6" xfId="0" applyFont="1" applyBorder="1" applyAlignment="1">
      <alignment horizontal="center" vertical="center" wrapText="1"/>
    </xf>
    <xf numFmtId="2" fontId="1" fillId="0" borderId="9" xfId="0" applyNumberFormat="1" applyFont="1" applyFill="1" applyBorder="1" applyAlignment="1">
      <alignment horizontal="center" vertical="center"/>
    </xf>
    <xf numFmtId="2" fontId="1" fillId="0" borderId="23" xfId="0" applyNumberFormat="1" applyFont="1" applyBorder="1" applyAlignment="1">
      <alignment horizontal="center" vertical="center"/>
    </xf>
    <xf numFmtId="2" fontId="0" fillId="0" borderId="20" xfId="0" applyNumberFormat="1" applyFont="1" applyFill="1" applyBorder="1" applyAlignment="1">
      <alignment horizontal="center" vertical="center"/>
    </xf>
    <xf numFmtId="0" fontId="0" fillId="0" borderId="51" xfId="0" applyBorder="1" applyAlignment="1">
      <alignment horizontal="center"/>
    </xf>
    <xf numFmtId="0" fontId="0" fillId="0" borderId="20" xfId="0" applyBorder="1" applyAlignment="1">
      <alignment/>
    </xf>
    <xf numFmtId="2" fontId="0" fillId="0" borderId="11" xfId="0" applyNumberFormat="1" applyFont="1" applyBorder="1" applyAlignment="1">
      <alignment horizontal="center"/>
    </xf>
    <xf numFmtId="2" fontId="0" fillId="0" borderId="14" xfId="0" applyNumberFormat="1" applyFont="1" applyBorder="1" applyAlignment="1">
      <alignment horizontal="center"/>
    </xf>
    <xf numFmtId="0" fontId="0" fillId="0" borderId="20" xfId="0" applyFont="1" applyBorder="1" applyAlignment="1">
      <alignment horizontal="left"/>
    </xf>
    <xf numFmtId="0" fontId="0" fillId="0" borderId="23" xfId="0" applyFont="1" applyBorder="1" applyAlignment="1">
      <alignment horizontal="left"/>
    </xf>
    <xf numFmtId="2" fontId="0" fillId="0" borderId="29" xfId="0" applyNumberFormat="1" applyFont="1" applyBorder="1" applyAlignment="1">
      <alignment horizontal="center"/>
    </xf>
    <xf numFmtId="0" fontId="0" fillId="4" borderId="11" xfId="0" applyFont="1" applyFill="1" applyBorder="1" applyAlignment="1">
      <alignment horizontal="center"/>
    </xf>
    <xf numFmtId="0" fontId="0" fillId="4" borderId="14" xfId="0" applyFont="1" applyFill="1" applyBorder="1" applyAlignment="1">
      <alignment horizontal="center"/>
    </xf>
    <xf numFmtId="0" fontId="0" fillId="4" borderId="28" xfId="0" applyFill="1" applyBorder="1" applyAlignment="1">
      <alignment/>
    </xf>
    <xf numFmtId="0" fontId="0" fillId="0" borderId="43" xfId="0" applyFill="1" applyBorder="1" applyAlignment="1">
      <alignment/>
    </xf>
    <xf numFmtId="183" fontId="0" fillId="0" borderId="41" xfId="0" applyNumberFormat="1" applyBorder="1" applyAlignment="1">
      <alignment horizontal="center"/>
    </xf>
    <xf numFmtId="183" fontId="0" fillId="0" borderId="56" xfId="0" applyNumberFormat="1" applyBorder="1" applyAlignment="1">
      <alignment horizontal="center"/>
    </xf>
    <xf numFmtId="0" fontId="0" fillId="0" borderId="0" xfId="0" applyAlignment="1">
      <alignment wrapText="1"/>
    </xf>
    <xf numFmtId="0" fontId="0" fillId="0" borderId="11" xfId="0" applyBorder="1" applyAlignment="1">
      <alignment/>
    </xf>
    <xf numFmtId="16" fontId="0" fillId="0" borderId="11" xfId="0" applyNumberFormat="1" applyBorder="1" applyAlignment="1" quotePrefix="1">
      <alignment/>
    </xf>
    <xf numFmtId="0" fontId="0" fillId="0" borderId="11" xfId="0" applyBorder="1" applyAlignment="1">
      <alignment wrapText="1"/>
    </xf>
    <xf numFmtId="16" fontId="0" fillId="0" borderId="11" xfId="0" applyNumberFormat="1" applyBorder="1" applyAlignment="1" quotePrefix="1">
      <alignment wrapText="1"/>
    </xf>
    <xf numFmtId="0" fontId="1" fillId="0" borderId="7" xfId="0" applyFont="1" applyBorder="1" applyAlignment="1">
      <alignment horizontal="center" vertical="center"/>
    </xf>
    <xf numFmtId="2" fontId="0" fillId="0" borderId="7" xfId="0" applyNumberFormat="1" applyFont="1" applyBorder="1" applyAlignment="1">
      <alignment horizontal="center"/>
    </xf>
    <xf numFmtId="2" fontId="0" fillId="0" borderId="20" xfId="0" applyNumberFormat="1" applyFont="1" applyFill="1" applyBorder="1" applyAlignment="1" quotePrefix="1">
      <alignment horizontal="center" vertical="center"/>
    </xf>
    <xf numFmtId="0" fontId="1" fillId="0" borderId="25" xfId="0" applyFont="1" applyBorder="1" applyAlignment="1">
      <alignment horizontal="center"/>
    </xf>
    <xf numFmtId="2" fontId="1" fillId="0" borderId="35" xfId="0" applyNumberFormat="1" applyFont="1" applyBorder="1" applyAlignment="1">
      <alignment horizontal="center"/>
    </xf>
    <xf numFmtId="2" fontId="1" fillId="0" borderId="7" xfId="0" applyNumberFormat="1" applyFont="1" applyBorder="1" applyAlignment="1">
      <alignment horizontal="center"/>
    </xf>
    <xf numFmtId="2" fontId="1" fillId="0" borderId="7" xfId="0" applyNumberFormat="1" applyFont="1" applyBorder="1" applyAlignment="1">
      <alignment horizontal="center"/>
    </xf>
    <xf numFmtId="2" fontId="1" fillId="0" borderId="7" xfId="0" applyNumberFormat="1" applyFont="1" applyBorder="1" applyAlignment="1">
      <alignment horizontal="center"/>
    </xf>
    <xf numFmtId="2" fontId="1" fillId="0" borderId="35" xfId="0" applyNumberFormat="1" applyFont="1" applyBorder="1" applyAlignment="1">
      <alignment horizontal="center"/>
    </xf>
    <xf numFmtId="0" fontId="0" fillId="0" borderId="57" xfId="0" applyBorder="1" applyAlignment="1">
      <alignment vertical="center"/>
    </xf>
    <xf numFmtId="0" fontId="0" fillId="0" borderId="58" xfId="0" applyBorder="1" applyAlignment="1">
      <alignment vertical="center"/>
    </xf>
    <xf numFmtId="0" fontId="0" fillId="0" borderId="22" xfId="0" applyBorder="1" applyAlignment="1">
      <alignment vertical="center"/>
    </xf>
    <xf numFmtId="0" fontId="0" fillId="0" borderId="22" xfId="0" applyFont="1" applyBorder="1" applyAlignment="1">
      <alignment horizontal="center" vertical="center"/>
    </xf>
    <xf numFmtId="49" fontId="0" fillId="0" borderId="58" xfId="0" applyNumberFormat="1" applyBorder="1" applyAlignment="1">
      <alignment horizontal="center"/>
    </xf>
    <xf numFmtId="2" fontId="0" fillId="2" borderId="55" xfId="0" applyNumberFormat="1" applyFill="1" applyBorder="1" applyAlignment="1">
      <alignment horizontal="center" vertical="center"/>
    </xf>
    <xf numFmtId="164"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1" fillId="0" borderId="0" xfId="0" applyFont="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0" fillId="0" borderId="5" xfId="0" applyBorder="1" applyAlignment="1">
      <alignment horizontal="left" vertical="center"/>
    </xf>
    <xf numFmtId="0" fontId="0" fillId="0" borderId="5" xfId="0" applyBorder="1" applyAlignment="1">
      <alignment vertical="center"/>
    </xf>
    <xf numFmtId="0" fontId="1" fillId="0" borderId="5" xfId="0" applyFont="1" applyFill="1" applyBorder="1" applyAlignment="1">
      <alignment horizontal="center" vertical="center"/>
    </xf>
    <xf numFmtId="11" fontId="0" fillId="0" borderId="5" xfId="0" applyNumberFormat="1" applyBorder="1" applyAlignment="1">
      <alignment vertical="center"/>
    </xf>
    <xf numFmtId="0" fontId="1" fillId="0" borderId="6" xfId="0" applyFont="1" applyBorder="1" applyAlignment="1">
      <alignment horizontal="center" vertical="center"/>
    </xf>
    <xf numFmtId="0" fontId="0" fillId="3" borderId="10" xfId="0" applyFill="1" applyBorder="1" applyAlignment="1">
      <alignment vertical="center"/>
    </xf>
    <xf numFmtId="0" fontId="0" fillId="3" borderId="13" xfId="0" applyFill="1" applyBorder="1" applyAlignment="1">
      <alignment vertical="center"/>
    </xf>
    <xf numFmtId="2" fontId="0" fillId="0" borderId="13" xfId="0" applyNumberFormat="1" applyFont="1" applyBorder="1" applyAlignment="1" quotePrefix="1">
      <alignment horizontal="left" vertical="center"/>
    </xf>
    <xf numFmtId="2" fontId="0" fillId="0" borderId="13" xfId="0" applyNumberFormat="1" applyFont="1" applyFill="1" applyBorder="1" applyAlignment="1" quotePrefix="1">
      <alignment horizontal="left" vertical="center"/>
    </xf>
    <xf numFmtId="167" fontId="0" fillId="0" borderId="13" xfId="0" applyNumberFormat="1" applyFont="1" applyFill="1" applyBorder="1" applyAlignment="1" quotePrefix="1">
      <alignment horizontal="left" vertical="center"/>
    </xf>
    <xf numFmtId="167" fontId="0" fillId="0" borderId="27" xfId="0" applyNumberFormat="1" applyFont="1" applyFill="1" applyBorder="1" applyAlignment="1" quotePrefix="1">
      <alignment horizontal="left" vertical="center"/>
    </xf>
    <xf numFmtId="0" fontId="0" fillId="0" borderId="7" xfId="0" applyBorder="1" applyAlignment="1">
      <alignment vertical="center"/>
    </xf>
    <xf numFmtId="2" fontId="0" fillId="0" borderId="7" xfId="0" applyNumberFormat="1" applyFont="1" applyFill="1" applyBorder="1" applyAlignment="1" quotePrefix="1">
      <alignment horizontal="left" vertical="center"/>
    </xf>
    <xf numFmtId="2" fontId="0" fillId="0" borderId="27" xfId="0" applyNumberFormat="1" applyFont="1" applyFill="1" applyBorder="1" applyAlignment="1" quotePrefix="1">
      <alignment horizontal="left"/>
    </xf>
    <xf numFmtId="0" fontId="0" fillId="2" borderId="44" xfId="0" applyFont="1" applyFill="1" applyBorder="1" applyAlignment="1">
      <alignment horizontal="left"/>
    </xf>
    <xf numFmtId="11" fontId="0" fillId="2" borderId="59" xfId="0" applyNumberFormat="1" applyFont="1" applyFill="1" applyBorder="1" applyAlignment="1">
      <alignment vertical="center"/>
    </xf>
    <xf numFmtId="11" fontId="0" fillId="2" borderId="60" xfId="0" applyNumberFormat="1" applyFont="1" applyFill="1" applyBorder="1" applyAlignment="1">
      <alignment vertical="center"/>
    </xf>
    <xf numFmtId="0" fontId="0" fillId="0" borderId="26" xfId="0" applyFont="1" applyBorder="1" applyAlignment="1">
      <alignment vertical="center"/>
    </xf>
    <xf numFmtId="0" fontId="0" fillId="2" borderId="26" xfId="0" applyFont="1" applyFill="1" applyBorder="1" applyAlignment="1">
      <alignment horizontal="center" vertical="center"/>
    </xf>
    <xf numFmtId="0" fontId="0" fillId="2" borderId="26" xfId="0" applyFont="1" applyFill="1" applyBorder="1" applyAlignment="1">
      <alignment/>
    </xf>
    <xf numFmtId="0" fontId="0" fillId="0" borderId="13" xfId="0" applyFont="1" applyBorder="1" applyAlignment="1">
      <alignment vertical="center"/>
    </xf>
    <xf numFmtId="0" fontId="0" fillId="2" borderId="13" xfId="0" applyFont="1" applyFill="1" applyBorder="1" applyAlignment="1">
      <alignment horizontal="center" vertical="center"/>
    </xf>
    <xf numFmtId="0" fontId="0" fillId="2" borderId="13" xfId="0" applyFont="1" applyFill="1" applyBorder="1" applyAlignment="1">
      <alignment/>
    </xf>
    <xf numFmtId="167" fontId="0" fillId="0" borderId="13" xfId="0" applyNumberFormat="1" applyFont="1" applyBorder="1" applyAlignment="1" quotePrefix="1">
      <alignment horizontal="left" vertical="center"/>
    </xf>
    <xf numFmtId="0" fontId="0" fillId="0" borderId="13" xfId="0" applyFont="1" applyBorder="1" applyAlignment="1">
      <alignment/>
    </xf>
    <xf numFmtId="0" fontId="0" fillId="0" borderId="27" xfId="0" applyFont="1" applyBorder="1" applyAlignment="1">
      <alignment vertical="center"/>
    </xf>
    <xf numFmtId="167" fontId="0" fillId="0" borderId="27" xfId="0" applyNumberFormat="1" applyFont="1" applyBorder="1" applyAlignment="1" quotePrefix="1">
      <alignment horizontal="left" vertical="center"/>
    </xf>
    <xf numFmtId="0" fontId="0" fillId="0" borderId="27" xfId="0" applyFont="1" applyBorder="1" applyAlignment="1">
      <alignment/>
    </xf>
    <xf numFmtId="0" fontId="0" fillId="2" borderId="26" xfId="0" applyFont="1" applyFill="1" applyBorder="1" applyAlignment="1">
      <alignment horizontal="left" vertical="center"/>
    </xf>
    <xf numFmtId="2" fontId="0" fillId="2" borderId="13" xfId="0" applyNumberFormat="1" applyFont="1" applyFill="1" applyBorder="1" applyAlignment="1">
      <alignment horizontal="center" vertical="center"/>
    </xf>
    <xf numFmtId="0" fontId="0" fillId="2" borderId="13" xfId="0" applyFont="1" applyFill="1" applyBorder="1" applyAlignment="1">
      <alignment horizontal="left"/>
    </xf>
    <xf numFmtId="0" fontId="0" fillId="0" borderId="13" xfId="0" applyFont="1" applyFill="1" applyBorder="1" applyAlignment="1">
      <alignment horizontal="center" vertical="center"/>
    </xf>
    <xf numFmtId="0" fontId="0" fillId="0" borderId="27" xfId="0" applyFont="1" applyFill="1" applyBorder="1" applyAlignment="1">
      <alignment horizontal="left" vertical="center"/>
    </xf>
    <xf numFmtId="2" fontId="0" fillId="0" borderId="27" xfId="0" applyNumberFormat="1" applyFont="1" applyBorder="1" applyAlignment="1" quotePrefix="1">
      <alignment horizontal="left" vertical="center"/>
    </xf>
    <xf numFmtId="2" fontId="0" fillId="0" borderId="26" xfId="0" applyNumberFormat="1" applyFont="1" applyFill="1" applyBorder="1" applyAlignment="1" quotePrefix="1">
      <alignment horizontal="left" vertical="center"/>
    </xf>
    <xf numFmtId="0" fontId="0" fillId="0" borderId="26" xfId="0" applyFont="1" applyBorder="1" applyAlignment="1">
      <alignment/>
    </xf>
    <xf numFmtId="2" fontId="0" fillId="0" borderId="27" xfId="0" applyNumberFormat="1" applyFont="1" applyFill="1" applyBorder="1" applyAlignment="1" quotePrefix="1">
      <alignment horizontal="left" vertical="center"/>
    </xf>
    <xf numFmtId="2" fontId="0" fillId="0" borderId="26" xfId="0" applyNumberFormat="1" applyFont="1" applyFill="1" applyBorder="1" applyAlignment="1" quotePrefix="1">
      <alignment horizontal="left"/>
    </xf>
    <xf numFmtId="0" fontId="0" fillId="0" borderId="26" xfId="0" applyFont="1" applyFill="1" applyBorder="1" applyAlignment="1">
      <alignment horizontal="left" vertical="center"/>
    </xf>
    <xf numFmtId="0" fontId="0" fillId="2" borderId="27" xfId="0" applyFont="1" applyFill="1" applyBorder="1" applyAlignment="1">
      <alignment/>
    </xf>
    <xf numFmtId="0" fontId="0" fillId="2" borderId="27" xfId="0" applyFont="1" applyFill="1" applyBorder="1" applyAlignment="1">
      <alignment horizontal="center" vertical="center"/>
    </xf>
    <xf numFmtId="0" fontId="0" fillId="0" borderId="13" xfId="0" applyFont="1" applyFill="1" applyBorder="1" applyAlignment="1" quotePrefix="1">
      <alignment horizontal="left" vertical="center"/>
    </xf>
    <xf numFmtId="0" fontId="0" fillId="2" borderId="46" xfId="0" applyFont="1" applyFill="1" applyBorder="1" applyAlignment="1">
      <alignment horizontal="left"/>
    </xf>
    <xf numFmtId="0" fontId="0" fillId="2" borderId="26" xfId="0" applyFont="1" applyFill="1" applyBorder="1" applyAlignment="1">
      <alignment horizontal="left"/>
    </xf>
    <xf numFmtId="0" fontId="0" fillId="2" borderId="13" xfId="0" applyFont="1" applyFill="1" applyBorder="1" applyAlignment="1" quotePrefix="1">
      <alignment horizontal="left"/>
    </xf>
    <xf numFmtId="0" fontId="0" fillId="2" borderId="27" xfId="0" applyFont="1" applyFill="1" applyBorder="1" applyAlignment="1">
      <alignment horizontal="left"/>
    </xf>
    <xf numFmtId="164" fontId="0" fillId="0" borderId="11" xfId="0" applyNumberFormat="1" applyFill="1" applyBorder="1" applyAlignment="1">
      <alignment horizontal="center" vertical="center"/>
    </xf>
    <xf numFmtId="0" fontId="0" fillId="2" borderId="7" xfId="0" applyFont="1" applyFill="1" applyBorder="1" applyAlignment="1">
      <alignment/>
    </xf>
    <xf numFmtId="0" fontId="0" fillId="0" borderId="59" xfId="0" applyFont="1" applyBorder="1" applyAlignment="1">
      <alignment vertical="center"/>
    </xf>
    <xf numFmtId="0" fontId="0" fillId="2" borderId="44" xfId="0" applyFont="1" applyFill="1" applyBorder="1" applyAlignment="1">
      <alignment horizontal="center" vertical="center"/>
    </xf>
    <xf numFmtId="0" fontId="0" fillId="0" borderId="60" xfId="0" applyFont="1" applyBorder="1" applyAlignment="1">
      <alignment vertical="center"/>
    </xf>
    <xf numFmtId="0" fontId="0" fillId="2" borderId="46" xfId="0" applyFont="1" applyFill="1" applyBorder="1" applyAlignment="1">
      <alignment horizontal="center" vertical="center"/>
    </xf>
    <xf numFmtId="0" fontId="0" fillId="0" borderId="0" xfId="0" applyBorder="1" applyAlignment="1">
      <alignment vertical="center"/>
    </xf>
    <xf numFmtId="0" fontId="0" fillId="3" borderId="13" xfId="0" applyFont="1" applyFill="1" applyBorder="1" applyAlignment="1">
      <alignment/>
    </xf>
    <xf numFmtId="0" fontId="0" fillId="0" borderId="13" xfId="0" applyFont="1" applyFill="1" applyBorder="1" applyAlignment="1" quotePrefix="1">
      <alignment horizontal="left"/>
    </xf>
    <xf numFmtId="2" fontId="0" fillId="0" borderId="20" xfId="0" applyNumberFormat="1" applyFont="1" applyFill="1" applyBorder="1" applyAlignment="1" quotePrefix="1">
      <alignment horizontal="left" vertical="center"/>
    </xf>
    <xf numFmtId="2" fontId="1" fillId="0" borderId="48" xfId="0" applyNumberFormat="1" applyFont="1" applyBorder="1" applyAlignment="1">
      <alignment horizontal="center" vertical="center"/>
    </xf>
    <xf numFmtId="164" fontId="0" fillId="0" borderId="20" xfId="0" applyNumberFormat="1" applyFont="1" applyFill="1"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0" fontId="0" fillId="0" borderId="4" xfId="0" applyBorder="1" applyAlignment="1">
      <alignment/>
    </xf>
    <xf numFmtId="0" fontId="0" fillId="0" borderId="35" xfId="0" applyBorder="1" applyAlignment="1">
      <alignment/>
    </xf>
    <xf numFmtId="166" fontId="0" fillId="2" borderId="8" xfId="0" applyNumberFormat="1" applyFill="1" applyBorder="1" applyAlignment="1">
      <alignment horizontal="center" vertical="center"/>
    </xf>
    <xf numFmtId="166" fontId="0" fillId="2" borderId="11" xfId="0" applyNumberFormat="1" applyFill="1" applyBorder="1" applyAlignment="1">
      <alignment horizontal="center" vertical="center"/>
    </xf>
    <xf numFmtId="166" fontId="0" fillId="0" borderId="4" xfId="0" applyNumberFormat="1" applyBorder="1" applyAlignment="1">
      <alignment horizontal="center" vertical="center"/>
    </xf>
    <xf numFmtId="166" fontId="1" fillId="0" borderId="20"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6" fontId="1" fillId="0" borderId="8" xfId="0" applyNumberFormat="1" applyFont="1" applyFill="1" applyBorder="1" applyAlignment="1">
      <alignment horizontal="center" vertical="center"/>
    </xf>
    <xf numFmtId="166" fontId="1" fillId="0" borderId="29" xfId="0" applyNumberFormat="1" applyFont="1" applyFill="1" applyBorder="1" applyAlignment="1">
      <alignment horizontal="center" vertical="center"/>
    </xf>
    <xf numFmtId="166" fontId="1" fillId="0" borderId="32" xfId="0" applyNumberFormat="1" applyFont="1" applyFill="1" applyBorder="1" applyAlignment="1">
      <alignment horizontal="center"/>
    </xf>
    <xf numFmtId="166" fontId="0" fillId="2" borderId="11" xfId="0" applyNumberFormat="1" applyFont="1" applyFill="1" applyBorder="1" applyAlignment="1">
      <alignment horizontal="center" vertical="center"/>
    </xf>
    <xf numFmtId="166" fontId="0" fillId="0" borderId="11" xfId="0" applyNumberFormat="1" applyFont="1" applyFill="1" applyBorder="1" applyAlignment="1" quotePrefix="1">
      <alignment horizontal="left" vertical="center"/>
    </xf>
    <xf numFmtId="0" fontId="0" fillId="2" borderId="27" xfId="0" applyFill="1" applyBorder="1" applyAlignment="1">
      <alignment/>
    </xf>
    <xf numFmtId="0" fontId="0" fillId="0" borderId="37" xfId="0" applyBorder="1" applyAlignment="1">
      <alignment/>
    </xf>
    <xf numFmtId="0" fontId="0" fillId="2" borderId="26" xfId="0" applyFill="1" applyBorder="1" applyAlignment="1">
      <alignment/>
    </xf>
    <xf numFmtId="0" fontId="0" fillId="2" borderId="13" xfId="0" applyFill="1" applyBorder="1" applyAlignment="1">
      <alignment/>
    </xf>
    <xf numFmtId="0" fontId="0" fillId="3" borderId="0" xfId="0" applyFill="1" applyBorder="1" applyAlignment="1">
      <alignment vertical="center"/>
    </xf>
    <xf numFmtId="0" fontId="0" fillId="3" borderId="0" xfId="0" applyFill="1" applyBorder="1" applyAlignment="1">
      <alignment horizontal="center" vertical="center"/>
    </xf>
    <xf numFmtId="166" fontId="1" fillId="3" borderId="0" xfId="0" applyNumberFormat="1" applyFont="1" applyFill="1" applyBorder="1" applyAlignment="1">
      <alignment horizontal="center"/>
    </xf>
    <xf numFmtId="165" fontId="1" fillId="3" borderId="0" xfId="0" applyNumberFormat="1" applyFont="1" applyFill="1" applyBorder="1" applyAlignment="1">
      <alignment horizontal="center"/>
    </xf>
    <xf numFmtId="0" fontId="0" fillId="0" borderId="35" xfId="0" applyBorder="1" applyAlignment="1">
      <alignment vertical="center"/>
    </xf>
    <xf numFmtId="0" fontId="1" fillId="0" borderId="37" xfId="0" applyFont="1" applyBorder="1" applyAlignment="1">
      <alignment vertical="center"/>
    </xf>
    <xf numFmtId="0" fontId="0" fillId="0" borderId="37" xfId="0" applyBorder="1" applyAlignment="1">
      <alignment horizontal="center" vertical="center"/>
    </xf>
    <xf numFmtId="0" fontId="0" fillId="0" borderId="37" xfId="0" applyFont="1" applyBorder="1" applyAlignment="1">
      <alignment horizontal="center" vertical="center"/>
    </xf>
    <xf numFmtId="166" fontId="0" fillId="0" borderId="37" xfId="0" applyNumberFormat="1" applyBorder="1" applyAlignment="1">
      <alignment horizontal="center" vertical="center"/>
    </xf>
    <xf numFmtId="0" fontId="0" fillId="0" borderId="13" xfId="0" applyBorder="1" applyAlignment="1" quotePrefix="1">
      <alignment/>
    </xf>
    <xf numFmtId="0" fontId="0" fillId="2" borderId="13" xfId="0" applyFill="1" applyBorder="1" applyAlignment="1">
      <alignment vertical="center"/>
    </xf>
    <xf numFmtId="0" fontId="0" fillId="0" borderId="26" xfId="0" applyFont="1" applyFill="1" applyBorder="1" applyAlignment="1" quotePrefix="1">
      <alignment horizontal="left" vertical="center"/>
    </xf>
    <xf numFmtId="0" fontId="0" fillId="0" borderId="13" xfId="0" applyBorder="1" applyAlignment="1" quotePrefix="1">
      <alignment vertical="center"/>
    </xf>
    <xf numFmtId="166" fontId="0" fillId="0" borderId="13" xfId="0" applyNumberFormat="1" applyFont="1" applyFill="1" applyBorder="1" applyAlignment="1" quotePrefix="1">
      <alignment horizontal="left" vertical="center"/>
    </xf>
    <xf numFmtId="11" fontId="0" fillId="2" borderId="26" xfId="0" applyNumberFormat="1" applyFont="1" applyFill="1" applyBorder="1" applyAlignment="1">
      <alignment vertical="center"/>
    </xf>
    <xf numFmtId="11" fontId="0" fillId="2" borderId="13" xfId="0" applyNumberFormat="1" applyFont="1" applyFill="1" applyBorder="1" applyAlignment="1">
      <alignment vertical="center"/>
    </xf>
    <xf numFmtId="11" fontId="0" fillId="2" borderId="27" xfId="0" applyNumberFormat="1" applyFont="1" applyFill="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1" fillId="0" borderId="29" xfId="0" applyFont="1" applyBorder="1" applyAlignment="1">
      <alignment horizontal="center" vertical="center"/>
    </xf>
    <xf numFmtId="0" fontId="1" fillId="0" borderId="48" xfId="0" applyFont="1" applyBorder="1" applyAlignment="1">
      <alignment horizontal="center" vertical="center"/>
    </xf>
    <xf numFmtId="0" fontId="0" fillId="0" borderId="48" xfId="0" applyFill="1" applyBorder="1" applyAlignment="1">
      <alignment horizontal="center" vertical="center"/>
    </xf>
    <xf numFmtId="2" fontId="1" fillId="0" borderId="32" xfId="0" applyNumberFormat="1" applyFont="1" applyBorder="1" applyAlignment="1">
      <alignment horizontal="center" vertical="center"/>
    </xf>
    <xf numFmtId="2" fontId="1" fillId="0" borderId="32" xfId="0" applyNumberFormat="1" applyFont="1" applyFill="1" applyBorder="1" applyAlignment="1">
      <alignment horizontal="center" vertical="center"/>
    </xf>
    <xf numFmtId="166" fontId="1" fillId="0" borderId="32" xfId="0" applyNumberFormat="1" applyFont="1" applyFill="1" applyBorder="1" applyAlignment="1">
      <alignment horizontal="center" vertical="center"/>
    </xf>
    <xf numFmtId="1" fontId="0" fillId="0" borderId="11" xfId="0" applyNumberFormat="1" applyFont="1" applyBorder="1" applyAlignment="1">
      <alignment horizontal="center" vertical="center"/>
    </xf>
    <xf numFmtId="0" fontId="0" fillId="0" borderId="61" xfId="0" applyBorder="1" applyAlignment="1">
      <alignment horizontal="center" vertical="center"/>
    </xf>
    <xf numFmtId="49" fontId="0" fillId="0" borderId="19" xfId="0" applyNumberFormat="1" applyBorder="1" applyAlignment="1">
      <alignment horizontal="center"/>
    </xf>
    <xf numFmtId="0" fontId="0" fillId="0" borderId="59" xfId="0" applyBorder="1" applyAlignment="1">
      <alignment vertical="center"/>
    </xf>
    <xf numFmtId="0" fontId="0" fillId="0" borderId="60" xfId="0" applyBorder="1" applyAlignment="1">
      <alignment vertical="center"/>
    </xf>
    <xf numFmtId="2" fontId="1" fillId="0" borderId="28" xfId="0" applyNumberFormat="1" applyFont="1" applyFill="1" applyBorder="1" applyAlignment="1">
      <alignment horizontal="center" vertical="center"/>
    </xf>
    <xf numFmtId="0" fontId="0" fillId="2" borderId="51" xfId="0" applyFill="1" applyBorder="1" applyAlignment="1">
      <alignment horizontal="center" vertical="center"/>
    </xf>
    <xf numFmtId="2" fontId="0" fillId="2" borderId="14" xfId="0" applyNumberFormat="1" applyFill="1"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lignment horizontal="center" vertical="center"/>
    </xf>
    <xf numFmtId="11" fontId="0" fillId="0" borderId="0" xfId="0" applyNumberFormat="1" applyBorder="1" applyAlignment="1">
      <alignment vertical="center"/>
    </xf>
    <xf numFmtId="166" fontId="0" fillId="0" borderId="11" xfId="0" applyNumberFormat="1" applyFont="1" applyBorder="1" applyAlignment="1">
      <alignment horizontal="center" vertical="center"/>
    </xf>
    <xf numFmtId="166" fontId="1" fillId="0" borderId="8" xfId="0" applyNumberFormat="1" applyFont="1" applyFill="1" applyBorder="1" applyAlignment="1">
      <alignment horizontal="center"/>
    </xf>
    <xf numFmtId="166" fontId="0" fillId="0" borderId="41" xfId="0" applyNumberFormat="1" applyBorder="1" applyAlignment="1">
      <alignment horizontal="center" vertical="center"/>
    </xf>
    <xf numFmtId="0" fontId="0" fillId="2" borderId="1" xfId="0" applyFill="1" applyBorder="1" applyAlignment="1">
      <alignment/>
    </xf>
    <xf numFmtId="0" fontId="0" fillId="2" borderId="4" xfId="0" applyFill="1" applyBorder="1" applyAlignment="1">
      <alignment/>
    </xf>
    <xf numFmtId="0" fontId="0" fillId="2" borderId="3" xfId="0" applyFill="1" applyBorder="1" applyAlignment="1">
      <alignment/>
    </xf>
    <xf numFmtId="0" fontId="0" fillId="0" borderId="0" xfId="0" applyBorder="1" applyAlignment="1">
      <alignment horizontal="left"/>
    </xf>
    <xf numFmtId="0" fontId="0" fillId="0" borderId="0" xfId="0" applyFont="1" applyBorder="1" applyAlignment="1">
      <alignment horizontal="left"/>
    </xf>
    <xf numFmtId="0" fontId="0" fillId="0" borderId="4" xfId="0" applyFont="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horizontal="left" vertical="center"/>
    </xf>
    <xf numFmtId="0" fontId="0" fillId="2" borderId="7" xfId="0" applyFont="1" applyFill="1" applyBorder="1" applyAlignment="1">
      <alignment horizontal="left"/>
    </xf>
    <xf numFmtId="2" fontId="0" fillId="2" borderId="7"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0" fontId="0" fillId="2" borderId="44" xfId="0" applyFill="1" applyBorder="1" applyAlignment="1">
      <alignment/>
    </xf>
    <xf numFmtId="0" fontId="0" fillId="2" borderId="59" xfId="0" applyFill="1" applyBorder="1" applyAlignment="1">
      <alignment/>
    </xf>
    <xf numFmtId="0" fontId="0" fillId="2" borderId="33" xfId="0" applyFill="1" applyBorder="1" applyAlignment="1">
      <alignment/>
    </xf>
    <xf numFmtId="0" fontId="0" fillId="2" borderId="34" xfId="0" applyFill="1" applyBorder="1" applyAlignment="1">
      <alignment/>
    </xf>
    <xf numFmtId="0" fontId="0" fillId="2" borderId="46" xfId="0" applyFill="1" applyBorder="1" applyAlignment="1">
      <alignment/>
    </xf>
    <xf numFmtId="0" fontId="0" fillId="2" borderId="60" xfId="0" applyFill="1" applyBorder="1" applyAlignment="1">
      <alignment/>
    </xf>
    <xf numFmtId="0" fontId="0" fillId="0" borderId="62" xfId="0" applyBorder="1" applyAlignment="1">
      <alignment vertical="center"/>
    </xf>
    <xf numFmtId="0" fontId="0" fillId="0" borderId="9" xfId="0" applyBorder="1" applyAlignment="1">
      <alignment vertical="center"/>
    </xf>
    <xf numFmtId="2" fontId="1" fillId="0" borderId="18" xfId="0" applyNumberFormat="1" applyFont="1" applyBorder="1" applyAlignment="1">
      <alignment horizontal="center" vertical="center"/>
    </xf>
    <xf numFmtId="0" fontId="0" fillId="0" borderId="13" xfId="0" applyFont="1" applyFill="1" applyBorder="1" applyAlignment="1">
      <alignment/>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2" fontId="1" fillId="0" borderId="67" xfId="0" applyNumberFormat="1" applyFont="1" applyBorder="1" applyAlignment="1">
      <alignment horizontal="center" vertical="center"/>
    </xf>
    <xf numFmtId="2" fontId="1" fillId="0" borderId="68" xfId="0" applyNumberFormat="1" applyFont="1" applyBorder="1" applyAlignment="1">
      <alignment horizontal="center" vertical="center"/>
    </xf>
    <xf numFmtId="0" fontId="0" fillId="0" borderId="69" xfId="0" applyBorder="1" applyAlignment="1">
      <alignment vertical="center"/>
    </xf>
    <xf numFmtId="0" fontId="0" fillId="0" borderId="42" xfId="0" applyBorder="1" applyAlignment="1">
      <alignment vertical="center"/>
    </xf>
    <xf numFmtId="0" fontId="0" fillId="0" borderId="70" xfId="0" applyBorder="1" applyAlignment="1">
      <alignment vertical="center"/>
    </xf>
    <xf numFmtId="0" fontId="1" fillId="0" borderId="41"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2" fontId="1" fillId="0" borderId="65" xfId="0" applyNumberFormat="1" applyFont="1" applyBorder="1" applyAlignment="1">
      <alignment horizontal="center" vertical="center"/>
    </xf>
    <xf numFmtId="2" fontId="1" fillId="0" borderId="71" xfId="0" applyNumberFormat="1" applyFont="1" applyBorder="1" applyAlignment="1">
      <alignment horizontal="center" vertical="center"/>
    </xf>
    <xf numFmtId="2" fontId="0" fillId="0" borderId="20" xfId="0" applyNumberFormat="1" applyFont="1" applyFill="1" applyBorder="1" applyAlignment="1">
      <alignment horizontal="center" vertical="center"/>
    </xf>
    <xf numFmtId="0" fontId="0" fillId="0" borderId="70" xfId="0" applyFont="1" applyBorder="1" applyAlignment="1">
      <alignment horizontal="center" vertical="center"/>
    </xf>
    <xf numFmtId="164" fontId="0" fillId="0" borderId="70" xfId="0" applyNumberFormat="1" applyFont="1" applyBorder="1" applyAlignment="1">
      <alignment horizontal="center" vertical="center"/>
    </xf>
    <xf numFmtId="2" fontId="1" fillId="0" borderId="26" xfId="0" applyNumberFormat="1" applyFont="1" applyBorder="1" applyAlignment="1">
      <alignment horizontal="center"/>
    </xf>
    <xf numFmtId="2" fontId="1" fillId="0" borderId="13" xfId="0" applyNumberFormat="1" applyFont="1" applyBorder="1" applyAlignment="1">
      <alignment horizontal="center"/>
    </xf>
    <xf numFmtId="2" fontId="1" fillId="0" borderId="27" xfId="0" applyNumberFormat="1" applyFont="1" applyBorder="1" applyAlignment="1">
      <alignment horizontal="center"/>
    </xf>
    <xf numFmtId="2" fontId="1" fillId="3" borderId="20" xfId="0" applyNumberFormat="1" applyFont="1" applyFill="1" applyBorder="1" applyAlignment="1">
      <alignment horizontal="center" vertical="center"/>
    </xf>
    <xf numFmtId="0" fontId="0" fillId="2" borderId="13" xfId="0" applyFont="1" applyFill="1" applyBorder="1" applyAlignment="1">
      <alignment vertical="center"/>
    </xf>
    <xf numFmtId="2" fontId="0" fillId="3" borderId="11" xfId="0" applyNumberFormat="1" applyFont="1" applyFill="1" applyBorder="1" applyAlignment="1">
      <alignment horizontal="center" vertical="center"/>
    </xf>
    <xf numFmtId="2" fontId="0" fillId="3" borderId="20" xfId="0" applyNumberFormat="1" applyFont="1" applyFill="1" applyBorder="1" applyAlignment="1">
      <alignment horizontal="center" vertical="center"/>
    </xf>
    <xf numFmtId="0" fontId="0" fillId="2" borderId="26" xfId="0" applyFill="1" applyBorder="1" applyAlignment="1">
      <alignment horizontal="left"/>
    </xf>
    <xf numFmtId="0" fontId="0" fillId="2" borderId="13" xfId="0" applyFill="1" applyBorder="1" applyAlignment="1">
      <alignment horizontal="left"/>
    </xf>
    <xf numFmtId="0" fontId="0" fillId="2" borderId="27" xfId="0" applyFill="1" applyBorder="1" applyAlignment="1">
      <alignment horizontal="left"/>
    </xf>
    <xf numFmtId="0" fontId="0" fillId="2" borderId="44" xfId="0" applyFill="1" applyBorder="1" applyAlignment="1">
      <alignment horizontal="left"/>
    </xf>
    <xf numFmtId="0" fontId="0" fillId="2" borderId="33" xfId="0" applyFill="1" applyBorder="1" applyAlignment="1">
      <alignment horizontal="left"/>
    </xf>
    <xf numFmtId="0" fontId="0" fillId="0" borderId="72" xfId="0" applyBorder="1" applyAlignment="1">
      <alignment vertical="center"/>
    </xf>
    <xf numFmtId="2" fontId="0" fillId="0" borderId="28" xfId="0" applyNumberFormat="1" applyFont="1" applyFill="1" applyBorder="1" applyAlignment="1">
      <alignment horizontal="center" vertical="center"/>
    </xf>
    <xf numFmtId="0" fontId="0" fillId="0" borderId="73" xfId="0" applyBorder="1" applyAlignment="1">
      <alignment vertical="center"/>
    </xf>
    <xf numFmtId="0" fontId="0" fillId="2" borderId="73" xfId="0" applyFont="1" applyFill="1" applyBorder="1" applyAlignment="1">
      <alignment horizontal="left"/>
    </xf>
    <xf numFmtId="0" fontId="0" fillId="2" borderId="73" xfId="0" applyFont="1" applyFill="1" applyBorder="1" applyAlignment="1">
      <alignment horizontal="center" vertical="center"/>
    </xf>
    <xf numFmtId="2" fontId="0" fillId="2" borderId="26" xfId="0" applyNumberFormat="1" applyFont="1" applyFill="1" applyBorder="1" applyAlignment="1">
      <alignment horizontal="center" vertical="center"/>
    </xf>
    <xf numFmtId="0" fontId="0" fillId="2" borderId="73" xfId="0" applyFont="1" applyFill="1" applyBorder="1" applyAlignment="1">
      <alignment/>
    </xf>
    <xf numFmtId="165" fontId="1" fillId="0" borderId="20" xfId="0" applyNumberFormat="1" applyFont="1" applyFill="1" applyBorder="1" applyAlignment="1">
      <alignment horizontal="center" vertical="center"/>
    </xf>
    <xf numFmtId="165" fontId="1" fillId="0" borderId="17" xfId="0" applyNumberFormat="1" applyFont="1" applyFill="1" applyBorder="1" applyAlignment="1">
      <alignment horizontal="center" vertical="center"/>
    </xf>
    <xf numFmtId="0" fontId="0" fillId="0" borderId="11" xfId="0" applyBorder="1" applyAlignment="1">
      <alignment horizontal="center"/>
    </xf>
    <xf numFmtId="0" fontId="1" fillId="0" borderId="0" xfId="0" applyFont="1" applyAlignment="1">
      <alignment/>
    </xf>
    <xf numFmtId="0" fontId="0" fillId="0" borderId="11" xfId="0" applyBorder="1" applyAlignment="1">
      <alignment/>
    </xf>
    <xf numFmtId="0" fontId="1" fillId="0" borderId="29" xfId="0" applyFont="1" applyBorder="1" applyAlignment="1">
      <alignment/>
    </xf>
    <xf numFmtId="0" fontId="1" fillId="0" borderId="29" xfId="0" applyFont="1" applyBorder="1" applyAlignment="1">
      <alignment horizontal="center"/>
    </xf>
    <xf numFmtId="0" fontId="1" fillId="0" borderId="23" xfId="0" applyFont="1" applyBorder="1" applyAlignment="1">
      <alignment/>
    </xf>
    <xf numFmtId="0" fontId="0" fillId="0" borderId="28" xfId="0" applyBorder="1" applyAlignment="1">
      <alignment/>
    </xf>
    <xf numFmtId="2" fontId="0" fillId="0" borderId="32" xfId="0" applyNumberFormat="1" applyBorder="1" applyAlignment="1">
      <alignment/>
    </xf>
    <xf numFmtId="2" fontId="0" fillId="0" borderId="51" xfId="0" applyNumberFormat="1" applyBorder="1" applyAlignment="1">
      <alignment/>
    </xf>
    <xf numFmtId="2" fontId="0" fillId="0" borderId="29" xfId="0" applyNumberFormat="1" applyBorder="1" applyAlignment="1">
      <alignment/>
    </xf>
    <xf numFmtId="2" fontId="0" fillId="0" borderId="50" xfId="0" applyNumberFormat="1" applyBorder="1" applyAlignment="1">
      <alignment/>
    </xf>
    <xf numFmtId="2" fontId="1" fillId="0" borderId="21" xfId="0" applyNumberFormat="1" applyFont="1" applyBorder="1" applyAlignment="1">
      <alignment/>
    </xf>
    <xf numFmtId="2" fontId="1" fillId="0" borderId="74" xfId="0" applyNumberFormat="1" applyFont="1" applyBorder="1" applyAlignment="1">
      <alignment/>
    </xf>
    <xf numFmtId="2" fontId="0" fillId="0" borderId="14" xfId="0" applyNumberFormat="1" applyBorder="1" applyAlignment="1">
      <alignment/>
    </xf>
    <xf numFmtId="2" fontId="1" fillId="0" borderId="50" xfId="0" applyNumberFormat="1" applyFont="1" applyBorder="1" applyAlignment="1">
      <alignment/>
    </xf>
    <xf numFmtId="166" fontId="1" fillId="0" borderId="12" xfId="0" applyNumberFormat="1" applyFont="1" applyFill="1" applyBorder="1" applyAlignment="1">
      <alignment horizontal="center" vertical="center"/>
    </xf>
    <xf numFmtId="0" fontId="0" fillId="5" borderId="0" xfId="0" applyFill="1" applyAlignment="1">
      <alignment/>
    </xf>
    <xf numFmtId="0" fontId="1" fillId="6" borderId="37" xfId="0" applyFont="1" applyFill="1" applyBorder="1" applyAlignment="1">
      <alignment/>
    </xf>
    <xf numFmtId="0" fontId="0" fillId="6" borderId="37" xfId="0" applyFill="1" applyBorder="1" applyAlignment="1">
      <alignment/>
    </xf>
    <xf numFmtId="2" fontId="0" fillId="0" borderId="7" xfId="0" applyNumberFormat="1" applyFont="1" applyFill="1" applyBorder="1" applyAlignment="1" quotePrefix="1">
      <alignment horizontal="left" vertical="center" wrapText="1"/>
    </xf>
    <xf numFmtId="0" fontId="1" fillId="0" borderId="1" xfId="0" applyFont="1" applyBorder="1" applyAlignment="1">
      <alignment vertical="center"/>
    </xf>
    <xf numFmtId="0" fontId="1" fillId="0" borderId="24" xfId="0" applyFont="1" applyBorder="1" applyAlignment="1">
      <alignment horizontal="center" vertical="center"/>
    </xf>
    <xf numFmtId="2" fontId="1" fillId="0" borderId="24" xfId="0" applyNumberFormat="1" applyFont="1" applyBorder="1" applyAlignment="1">
      <alignment horizontal="center" vertical="center"/>
    </xf>
    <xf numFmtId="0" fontId="1" fillId="0" borderId="31" xfId="0" applyFont="1" applyBorder="1" applyAlignment="1">
      <alignment horizontal="center" vertical="center"/>
    </xf>
    <xf numFmtId="0" fontId="0" fillId="2" borderId="7" xfId="0" applyFont="1" applyFill="1" applyBorder="1" applyAlignment="1">
      <alignment vertical="center"/>
    </xf>
    <xf numFmtId="0" fontId="0" fillId="0" borderId="7" xfId="0" applyFont="1" applyBorder="1" applyAlignment="1">
      <alignment vertical="center"/>
    </xf>
    <xf numFmtId="0" fontId="1" fillId="0" borderId="24" xfId="0"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31" xfId="0" applyFont="1" applyBorder="1" applyAlignment="1">
      <alignment horizontal="center" vertical="center" wrapText="1"/>
    </xf>
    <xf numFmtId="2" fontId="1" fillId="0" borderId="53" xfId="0" applyNumberFormat="1" applyFont="1" applyFill="1" applyBorder="1" applyAlignment="1">
      <alignment horizontal="center" vertical="center" wrapText="1"/>
    </xf>
    <xf numFmtId="0" fontId="0" fillId="2" borderId="24" xfId="0" applyFill="1" applyBorder="1" applyAlignment="1">
      <alignment horizontal="center" vertical="center" wrapText="1"/>
    </xf>
    <xf numFmtId="2" fontId="1" fillId="0" borderId="24" xfId="0" applyNumberFormat="1" applyFont="1" applyFill="1" applyBorder="1" applyAlignment="1">
      <alignment horizontal="center" vertical="center" wrapText="1"/>
    </xf>
    <xf numFmtId="2" fontId="1" fillId="0" borderId="31" xfId="0"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7" xfId="0" applyBorder="1" applyAlignment="1">
      <alignment vertical="center" wrapText="1"/>
    </xf>
    <xf numFmtId="0" fontId="0" fillId="2" borderId="7" xfId="0" applyFont="1" applyFill="1" applyBorder="1" applyAlignment="1">
      <alignment vertical="center" wrapText="1"/>
    </xf>
    <xf numFmtId="0" fontId="0" fillId="0" borderId="7" xfId="0" applyFont="1" applyBorder="1" applyAlignment="1">
      <alignment vertical="center" wrapText="1"/>
    </xf>
    <xf numFmtId="2" fontId="1" fillId="0" borderId="24" xfId="0" applyNumberFormat="1" applyFont="1" applyBorder="1" applyAlignment="1">
      <alignment horizontal="center" vertical="center" wrapText="1"/>
    </xf>
    <xf numFmtId="0" fontId="0" fillId="0" borderId="27" xfId="0" applyBorder="1" applyAlignment="1">
      <alignment vertical="center" wrapText="1"/>
    </xf>
    <xf numFmtId="0" fontId="0" fillId="0" borderId="0" xfId="0" applyFont="1" applyFill="1" applyBorder="1" applyAlignment="1">
      <alignment/>
    </xf>
    <xf numFmtId="0" fontId="0" fillId="2" borderId="0" xfId="0" applyFill="1" applyAlignment="1">
      <alignment horizontal="left"/>
    </xf>
    <xf numFmtId="2" fontId="0" fillId="2" borderId="7" xfId="0" applyNumberFormat="1" applyFont="1" applyFill="1" applyBorder="1" applyAlignment="1" quotePrefix="1">
      <alignment horizontal="left" vertical="center"/>
    </xf>
    <xf numFmtId="0" fontId="0" fillId="0" borderId="6" xfId="0" applyFont="1" applyBorder="1" applyAlignment="1">
      <alignment vertical="center" wrapText="1"/>
    </xf>
    <xf numFmtId="0" fontId="0" fillId="2" borderId="15" xfId="0" applyFill="1" applyBorder="1" applyAlignment="1">
      <alignment vertical="center"/>
    </xf>
    <xf numFmtId="0" fontId="1" fillId="0" borderId="74"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2" fontId="1" fillId="0" borderId="75" xfId="0" applyNumberFormat="1" applyFont="1" applyFill="1" applyBorder="1" applyAlignment="1">
      <alignment horizontal="center" vertical="center" wrapText="1"/>
    </xf>
    <xf numFmtId="0" fontId="0" fillId="2" borderId="21" xfId="0" applyFill="1" applyBorder="1" applyAlignment="1">
      <alignment horizontal="center" vertical="center" wrapText="1"/>
    </xf>
    <xf numFmtId="2" fontId="1" fillId="0" borderId="21" xfId="0" applyNumberFormat="1" applyFont="1" applyFill="1" applyBorder="1" applyAlignment="1">
      <alignment horizontal="center" vertical="center" wrapText="1"/>
    </xf>
    <xf numFmtId="2" fontId="1" fillId="0" borderId="76" xfId="0" applyNumberFormat="1"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6" xfId="0" applyBorder="1" applyAlignment="1">
      <alignment vertical="center" wrapText="1"/>
    </xf>
    <xf numFmtId="2" fontId="0" fillId="0" borderId="6" xfId="0" applyNumberFormat="1" applyFont="1" applyFill="1" applyBorder="1" applyAlignment="1" quotePrefix="1">
      <alignment horizontal="left" vertical="center" wrapText="1"/>
    </xf>
    <xf numFmtId="0" fontId="0" fillId="2" borderId="6" xfId="0" applyFont="1" applyFill="1" applyBorder="1" applyAlignment="1">
      <alignment vertical="center" wrapText="1"/>
    </xf>
    <xf numFmtId="0" fontId="1" fillId="6" borderId="37"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xf>
    <xf numFmtId="0" fontId="0" fillId="0" borderId="17" xfId="0" applyFill="1" applyBorder="1" applyAlignment="1">
      <alignment horizontal="center" vertical="center"/>
    </xf>
    <xf numFmtId="164" fontId="0" fillId="0" borderId="20" xfId="0" applyNumberFormat="1" applyFill="1" applyBorder="1" applyAlignment="1">
      <alignment horizontal="center" vertical="center"/>
    </xf>
    <xf numFmtId="2" fontId="0" fillId="0" borderId="20" xfId="0" applyNumberFormat="1" applyFill="1" applyBorder="1" applyAlignment="1">
      <alignment horizontal="center" vertical="center"/>
    </xf>
    <xf numFmtId="171" fontId="0" fillId="0" borderId="20" xfId="0" applyNumberFormat="1" applyFill="1" applyBorder="1" applyAlignment="1">
      <alignment horizontal="center" vertical="center"/>
    </xf>
    <xf numFmtId="2" fontId="0" fillId="0" borderId="17" xfId="0" applyNumberFormat="1" applyFill="1" applyBorder="1" applyAlignment="1">
      <alignment horizontal="center" vertical="center"/>
    </xf>
    <xf numFmtId="164" fontId="0"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2" borderId="19" xfId="0" applyFill="1" applyBorder="1" applyAlignment="1">
      <alignment horizontal="center" vertical="center"/>
    </xf>
    <xf numFmtId="0" fontId="0" fillId="2" borderId="16" xfId="0" applyFill="1" applyBorder="1" applyAlignment="1">
      <alignment horizontal="center" vertical="center"/>
    </xf>
    <xf numFmtId="166" fontId="0" fillId="0" borderId="11" xfId="0" applyNumberFormat="1" applyFont="1" applyBorder="1" applyAlignment="1">
      <alignment horizontal="center" vertical="center"/>
    </xf>
    <xf numFmtId="166" fontId="0" fillId="2" borderId="29" xfId="0" applyNumberFormat="1" applyFill="1" applyBorder="1" applyAlignment="1">
      <alignment horizontal="center" vertical="center"/>
    </xf>
    <xf numFmtId="166" fontId="0" fillId="3" borderId="11" xfId="0" applyNumberFormat="1" applyFont="1" applyFill="1" applyBorder="1" applyAlignment="1">
      <alignment horizontal="center" vertical="center"/>
    </xf>
    <xf numFmtId="166" fontId="0" fillId="3" borderId="20" xfId="0" applyNumberFormat="1" applyFont="1" applyFill="1" applyBorder="1" applyAlignment="1">
      <alignment horizontal="center" vertical="center"/>
    </xf>
    <xf numFmtId="0" fontId="0" fillId="0" borderId="14" xfId="0" applyNumberFormat="1" applyBorder="1" applyAlignment="1">
      <alignment horizontal="center"/>
    </xf>
    <xf numFmtId="0" fontId="0" fillId="0" borderId="14" xfId="0" applyNumberFormat="1" applyFill="1" applyBorder="1" applyAlignment="1">
      <alignment horizontal="center"/>
    </xf>
    <xf numFmtId="0" fontId="0" fillId="0" borderId="12" xfId="0" applyFont="1" applyFill="1" applyBorder="1" applyAlignment="1">
      <alignment horizontal="center" vertical="center"/>
    </xf>
    <xf numFmtId="166" fontId="1" fillId="0" borderId="24" xfId="0" applyNumberFormat="1" applyFont="1" applyFill="1" applyBorder="1" applyAlignment="1">
      <alignment horizontal="center" vertical="center"/>
    </xf>
    <xf numFmtId="167" fontId="1" fillId="0" borderId="23" xfId="0" applyNumberFormat="1" applyFont="1" applyFill="1" applyBorder="1" applyAlignment="1">
      <alignment horizontal="center" vertical="center"/>
    </xf>
    <xf numFmtId="166" fontId="1" fillId="0" borderId="24" xfId="0" applyNumberFormat="1" applyFont="1" applyFill="1" applyBorder="1" applyAlignment="1">
      <alignment horizontal="center" vertical="center" wrapText="1"/>
    </xf>
    <xf numFmtId="166" fontId="1" fillId="0" borderId="21" xfId="0" applyNumberFormat="1" applyFont="1" applyFill="1" applyBorder="1" applyAlignment="1">
      <alignment horizontal="center" vertical="center" wrapText="1"/>
    </xf>
    <xf numFmtId="165" fontId="1" fillId="0" borderId="48" xfId="0" applyNumberFormat="1" applyFont="1" applyBorder="1" applyAlignment="1">
      <alignment horizontal="center" vertical="center"/>
    </xf>
    <xf numFmtId="0" fontId="0" fillId="0" borderId="60" xfId="0" applyBorder="1" applyAlignment="1">
      <alignment horizontal="center" vertical="center"/>
    </xf>
    <xf numFmtId="165" fontId="1" fillId="0" borderId="23" xfId="0" applyNumberFormat="1" applyFont="1" applyFill="1" applyBorder="1" applyAlignment="1">
      <alignment horizontal="center" vertical="center"/>
    </xf>
    <xf numFmtId="2" fontId="0" fillId="0" borderId="27" xfId="0" applyNumberFormat="1" applyFont="1" applyFill="1" applyBorder="1" applyAlignment="1" quotePrefix="1">
      <alignment horizontal="left" vertical="center" wrapText="1"/>
    </xf>
    <xf numFmtId="0" fontId="0" fillId="6" borderId="0" xfId="0" applyFill="1" applyAlignment="1">
      <alignment/>
    </xf>
    <xf numFmtId="164" fontId="0" fillId="6" borderId="20" xfId="0" applyNumberFormat="1" applyFill="1" applyBorder="1" applyAlignment="1">
      <alignment horizontal="center" vertical="center"/>
    </xf>
    <xf numFmtId="0" fontId="0" fillId="6" borderId="20" xfId="0" applyFill="1" applyBorder="1" applyAlignment="1">
      <alignment horizontal="center" vertical="center"/>
    </xf>
    <xf numFmtId="0" fontId="0" fillId="6" borderId="11" xfId="0" applyFill="1" applyBorder="1" applyAlignment="1">
      <alignment horizontal="center" vertical="center"/>
    </xf>
    <xf numFmtId="2" fontId="1" fillId="6" borderId="11" xfId="0" applyNumberFormat="1" applyFont="1" applyFill="1" applyBorder="1" applyAlignment="1">
      <alignment horizontal="center" vertical="center"/>
    </xf>
    <xf numFmtId="2" fontId="1" fillId="6" borderId="11" xfId="0" applyNumberFormat="1" applyFont="1" applyFill="1" applyBorder="1" applyAlignment="1">
      <alignment horizontal="center" vertical="center"/>
    </xf>
    <xf numFmtId="2" fontId="1" fillId="6" borderId="12" xfId="0" applyNumberFormat="1" applyFont="1" applyFill="1" applyBorder="1" applyAlignment="1">
      <alignment horizontal="center" vertical="center"/>
    </xf>
    <xf numFmtId="0" fontId="0" fillId="6" borderId="11" xfId="0" applyFont="1" applyFill="1" applyBorder="1" applyAlignment="1">
      <alignment horizontal="center" vertical="center"/>
    </xf>
    <xf numFmtId="2" fontId="1" fillId="6" borderId="12" xfId="0" applyNumberFormat="1" applyFont="1" applyFill="1" applyBorder="1" applyAlignment="1">
      <alignment horizontal="center" vertical="center"/>
    </xf>
    <xf numFmtId="0" fontId="0" fillId="0" borderId="0" xfId="0" applyFont="1" applyFill="1" applyBorder="1" applyAlignment="1">
      <alignment wrapText="1"/>
    </xf>
    <xf numFmtId="2" fontId="1" fillId="0" borderId="25" xfId="0" applyNumberFormat="1" applyFont="1" applyBorder="1" applyAlignment="1">
      <alignment horizontal="center"/>
    </xf>
    <xf numFmtId="2" fontId="1" fillId="0" borderId="3" xfId="0" applyNumberFormat="1" applyFont="1" applyBorder="1" applyAlignment="1">
      <alignment horizontal="center"/>
    </xf>
    <xf numFmtId="2" fontId="6" fillId="0" borderId="0" xfId="0" applyNumberFormat="1" applyFont="1" applyBorder="1" applyAlignment="1">
      <alignment horizontal="center"/>
    </xf>
    <xf numFmtId="164" fontId="0" fillId="0" borderId="15" xfId="0" applyNumberFormat="1" applyFont="1" applyBorder="1" applyAlignment="1">
      <alignment horizontal="center" vertical="center"/>
    </xf>
    <xf numFmtId="0" fontId="0" fillId="0" borderId="32" xfId="0" applyFill="1" applyBorder="1" applyAlignment="1">
      <alignment horizontal="center"/>
    </xf>
    <xf numFmtId="0" fontId="1" fillId="0" borderId="11" xfId="0" applyFont="1" applyFill="1" applyBorder="1" applyAlignment="1">
      <alignment horizontal="center" vertical="center"/>
    </xf>
    <xf numFmtId="0" fontId="0" fillId="0" borderId="41" xfId="0" applyFill="1" applyBorder="1" applyAlignment="1">
      <alignment horizont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45" xfId="0" applyBorder="1" applyAlignment="1">
      <alignment horizontal="center"/>
    </xf>
    <xf numFmtId="0" fontId="0" fillId="0" borderId="59" xfId="0" applyBorder="1" applyAlignment="1">
      <alignment horizontal="center"/>
    </xf>
    <xf numFmtId="0" fontId="1" fillId="0" borderId="0" xfId="0" applyFont="1" applyFill="1" applyBorder="1" applyAlignment="1">
      <alignment/>
    </xf>
    <xf numFmtId="0" fontId="0" fillId="0" borderId="70" xfId="0" applyFill="1" applyBorder="1" applyAlignment="1">
      <alignment horizontal="center"/>
    </xf>
    <xf numFmtId="0" fontId="0" fillId="0" borderId="42" xfId="0" applyFill="1" applyBorder="1" applyAlignment="1">
      <alignment horizontal="center"/>
    </xf>
    <xf numFmtId="0" fontId="1" fillId="0" borderId="33" xfId="0" applyFont="1" applyFill="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14" xfId="0" applyFont="1" applyFill="1" applyBorder="1" applyAlignment="1">
      <alignment horizontal="center"/>
    </xf>
    <xf numFmtId="0" fontId="1" fillId="0" borderId="62" xfId="0" applyFont="1" applyFill="1" applyBorder="1" applyAlignment="1">
      <alignment/>
    </xf>
    <xf numFmtId="0" fontId="1" fillId="0" borderId="77" xfId="0" applyFont="1" applyFill="1" applyBorder="1" applyAlignment="1">
      <alignment horizontal="center"/>
    </xf>
    <xf numFmtId="0" fontId="1" fillId="0" borderId="38" xfId="0" applyFont="1" applyFill="1" applyBorder="1" applyAlignment="1">
      <alignment horizontal="center"/>
    </xf>
    <xf numFmtId="0" fontId="1" fillId="0" borderId="69" xfId="0" applyFont="1" applyFill="1" applyBorder="1" applyAlignment="1">
      <alignment horizontal="center"/>
    </xf>
    <xf numFmtId="2" fontId="1" fillId="0" borderId="56" xfId="0" applyNumberFormat="1" applyFont="1" applyFill="1" applyBorder="1" applyAlignment="1">
      <alignment horizontal="center"/>
    </xf>
    <xf numFmtId="0" fontId="1" fillId="0" borderId="62" xfId="0" applyFont="1" applyFill="1" applyBorder="1" applyAlignment="1">
      <alignment horizontal="center"/>
    </xf>
    <xf numFmtId="0" fontId="0" fillId="0" borderId="77" xfId="0" applyFill="1" applyBorder="1" applyAlignment="1">
      <alignment horizontal="center"/>
    </xf>
    <xf numFmtId="0" fontId="1" fillId="0" borderId="78" xfId="0" applyFont="1" applyFill="1" applyBorder="1" applyAlignment="1">
      <alignment horizontal="center"/>
    </xf>
    <xf numFmtId="0" fontId="1" fillId="0" borderId="79" xfId="0" applyFont="1" applyFill="1" applyBorder="1" applyAlignment="1">
      <alignment horizontal="center"/>
    </xf>
    <xf numFmtId="0" fontId="1" fillId="0" borderId="74" xfId="0" applyFont="1" applyFill="1" applyBorder="1" applyAlignment="1">
      <alignment horizontal="center"/>
    </xf>
    <xf numFmtId="0" fontId="0" fillId="0" borderId="14" xfId="0" applyFill="1" applyBorder="1" applyAlignment="1">
      <alignment horizontal="center"/>
    </xf>
    <xf numFmtId="0" fontId="1" fillId="0" borderId="57" xfId="0" applyFont="1" applyFill="1" applyBorder="1" applyAlignment="1">
      <alignment/>
    </xf>
    <xf numFmtId="0" fontId="1" fillId="0" borderId="58" xfId="0" applyFont="1" applyFill="1" applyBorder="1" applyAlignment="1">
      <alignment/>
    </xf>
    <xf numFmtId="0" fontId="1" fillId="0" borderId="22" xfId="0" applyFont="1" applyFill="1" applyBorder="1" applyAlignment="1">
      <alignment/>
    </xf>
    <xf numFmtId="0" fontId="1" fillId="0" borderId="9" xfId="0" applyFont="1" applyFill="1" applyBorder="1" applyAlignment="1">
      <alignment/>
    </xf>
    <xf numFmtId="166" fontId="0" fillId="0" borderId="11" xfId="0" applyNumberFormat="1" applyFill="1" applyBorder="1" applyAlignment="1">
      <alignment horizontal="center" vertical="center"/>
    </xf>
    <xf numFmtId="0" fontId="1" fillId="0" borderId="24" xfId="0" applyFont="1" applyFill="1" applyBorder="1" applyAlignment="1">
      <alignment horizontal="center"/>
    </xf>
    <xf numFmtId="0" fontId="0" fillId="0" borderId="4" xfId="0" applyFont="1" applyFill="1" applyBorder="1" applyAlignment="1">
      <alignment horizontal="center"/>
    </xf>
    <xf numFmtId="0" fontId="0" fillId="0" borderId="4" xfId="0" applyFill="1" applyBorder="1" applyAlignment="1">
      <alignment horizontal="center"/>
    </xf>
    <xf numFmtId="164" fontId="0" fillId="0" borderId="7" xfId="0" applyNumberFormat="1" applyFill="1" applyBorder="1" applyAlignment="1">
      <alignment horizontal="center"/>
    </xf>
    <xf numFmtId="2" fontId="0" fillId="0" borderId="7" xfId="0" applyNumberFormat="1" applyFill="1" applyBorder="1" applyAlignment="1">
      <alignment horizontal="center"/>
    </xf>
    <xf numFmtId="2" fontId="1" fillId="0" borderId="20" xfId="0" applyNumberFormat="1" applyFont="1" applyFill="1" applyBorder="1" applyAlignment="1">
      <alignment horizontal="center"/>
    </xf>
    <xf numFmtId="2" fontId="1" fillId="0" borderId="23" xfId="0" applyNumberFormat="1" applyFont="1" applyFill="1" applyBorder="1" applyAlignment="1">
      <alignment horizontal="center"/>
    </xf>
    <xf numFmtId="2" fontId="0" fillId="0" borderId="12"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20" xfId="0" applyFont="1" applyFill="1" applyBorder="1" applyAlignment="1">
      <alignment horizontal="center" vertical="center"/>
    </xf>
    <xf numFmtId="2" fontId="1" fillId="0" borderId="26"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7" xfId="0" applyNumberFormat="1"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horizontal="center"/>
    </xf>
    <xf numFmtId="14" fontId="0" fillId="0" borderId="0" xfId="0" applyNumberFormat="1" applyAlignment="1">
      <alignment/>
    </xf>
    <xf numFmtId="0" fontId="7" fillId="0" borderId="44" xfId="0" applyFont="1" applyBorder="1" applyAlignment="1">
      <alignment vertical="center"/>
    </xf>
    <xf numFmtId="0" fontId="8" fillId="0" borderId="0" xfId="0" applyFont="1" applyAlignment="1">
      <alignment/>
    </xf>
    <xf numFmtId="0" fontId="9" fillId="0" borderId="0" xfId="0" applyFont="1" applyAlignment="1">
      <alignment/>
    </xf>
    <xf numFmtId="2" fontId="8" fillId="0" borderId="20" xfId="0" applyNumberFormat="1" applyFont="1" applyFill="1" applyBorder="1" applyAlignment="1">
      <alignment horizontal="center" vertical="center"/>
    </xf>
    <xf numFmtId="2"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2" fontId="8" fillId="0" borderId="7" xfId="0" applyNumberFormat="1" applyFont="1" applyFill="1" applyBorder="1" applyAlignment="1">
      <alignment horizontal="center"/>
    </xf>
    <xf numFmtId="15" fontId="0" fillId="0" borderId="0" xfId="0" applyNumberFormat="1" applyAlignment="1">
      <alignment/>
    </xf>
    <xf numFmtId="2" fontId="0" fillId="2" borderId="22" xfId="0" applyNumberFormat="1" applyFill="1" applyBorder="1" applyAlignment="1">
      <alignment horizontal="center" vertical="center"/>
    </xf>
    <xf numFmtId="0" fontId="0" fillId="0" borderId="36" xfId="0" applyBorder="1" applyAlignment="1">
      <alignment vertical="center"/>
    </xf>
    <xf numFmtId="0" fontId="0" fillId="0" borderId="49" xfId="0" applyBorder="1" applyAlignment="1">
      <alignment vertical="center"/>
    </xf>
    <xf numFmtId="0" fontId="1" fillId="0" borderId="37" xfId="0" applyFont="1" applyBorder="1" applyAlignment="1">
      <alignment horizontal="left"/>
    </xf>
    <xf numFmtId="0" fontId="1" fillId="0" borderId="2" xfId="0" applyFont="1" applyBorder="1" applyAlignment="1">
      <alignment horizontal="left"/>
    </xf>
    <xf numFmtId="0" fontId="1" fillId="0" borderId="35" xfId="0" applyFont="1" applyBorder="1" applyAlignment="1">
      <alignment/>
    </xf>
    <xf numFmtId="0" fontId="1" fillId="0" borderId="30" xfId="0" applyFont="1" applyBorder="1" applyAlignment="1">
      <alignment horizontal="center"/>
    </xf>
    <xf numFmtId="0" fontId="1" fillId="0" borderId="62" xfId="0" applyFont="1" applyBorder="1" applyAlignment="1">
      <alignment horizontal="left"/>
    </xf>
    <xf numFmtId="0" fontId="1" fillId="0" borderId="77" xfId="0" applyFont="1" applyBorder="1" applyAlignment="1">
      <alignment horizontal="center"/>
    </xf>
    <xf numFmtId="0" fontId="1" fillId="0" borderId="36" xfId="0" applyFont="1" applyBorder="1" applyAlignment="1">
      <alignment horizontal="left"/>
    </xf>
    <xf numFmtId="0" fontId="1" fillId="0" borderId="38" xfId="0" applyFont="1" applyBorder="1" applyAlignment="1">
      <alignment horizontal="center"/>
    </xf>
    <xf numFmtId="0" fontId="1" fillId="0" borderId="2" xfId="0" applyFont="1" applyFill="1" applyBorder="1" applyAlignment="1">
      <alignment horizontal="center"/>
    </xf>
    <xf numFmtId="0" fontId="0" fillId="0" borderId="35" xfId="0" applyFill="1" applyBorder="1" applyAlignment="1">
      <alignment horizontal="center"/>
    </xf>
    <xf numFmtId="2" fontId="1" fillId="0" borderId="75" xfId="0" applyNumberFormat="1" applyFont="1" applyFill="1" applyBorder="1" applyAlignment="1">
      <alignment horizontal="center" vertical="center"/>
    </xf>
    <xf numFmtId="0" fontId="1" fillId="0" borderId="56" xfId="0" applyFont="1" applyFill="1" applyBorder="1" applyAlignment="1">
      <alignment horizontal="center"/>
    </xf>
    <xf numFmtId="0" fontId="0" fillId="0" borderId="0" xfId="0" applyFont="1" applyFill="1" applyBorder="1" applyAlignment="1">
      <alignment horizontal="left" wrapText="1"/>
    </xf>
    <xf numFmtId="0" fontId="1" fillId="0" borderId="0"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ill="1" applyBorder="1" applyAlignment="1">
      <alignment horizontal="center"/>
    </xf>
    <xf numFmtId="0" fontId="1" fillId="0" borderId="12" xfId="0" applyFont="1" applyFill="1" applyBorder="1" applyAlignment="1">
      <alignment horizontal="center"/>
    </xf>
    <xf numFmtId="0" fontId="1" fillId="0" borderId="11" xfId="0" applyFont="1" applyFill="1" applyBorder="1" applyAlignment="1">
      <alignment horizontal="center"/>
    </xf>
    <xf numFmtId="2" fontId="1" fillId="0" borderId="16" xfId="0" applyNumberFormat="1" applyFont="1" applyFill="1" applyBorder="1" applyAlignment="1">
      <alignment horizontal="center"/>
    </xf>
    <xf numFmtId="2" fontId="1" fillId="0" borderId="9"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54" xfId="0" applyNumberFormat="1" applyFont="1" applyFill="1" applyBorder="1" applyAlignment="1">
      <alignment horizontal="center"/>
    </xf>
    <xf numFmtId="2" fontId="1" fillId="0" borderId="22" xfId="0" applyNumberFormat="1" applyFont="1" applyFill="1" applyBorder="1" applyAlignment="1">
      <alignment horizontal="center"/>
    </xf>
    <xf numFmtId="0" fontId="1" fillId="0" borderId="36" xfId="0" applyFont="1" applyFill="1" applyBorder="1" applyAlignment="1">
      <alignment/>
    </xf>
    <xf numFmtId="0" fontId="1" fillId="0" borderId="37" xfId="0" applyFont="1" applyFill="1" applyBorder="1" applyAlignment="1">
      <alignment/>
    </xf>
    <xf numFmtId="2" fontId="1" fillId="0" borderId="76" xfId="0" applyNumberFormat="1" applyFont="1" applyFill="1" applyBorder="1" applyAlignment="1">
      <alignment horizontal="center"/>
    </xf>
    <xf numFmtId="2" fontId="1" fillId="0" borderId="49" xfId="0" applyNumberFormat="1" applyFont="1" applyFill="1" applyBorder="1" applyAlignment="1">
      <alignment horizontal="center"/>
    </xf>
    <xf numFmtId="2" fontId="1" fillId="0" borderId="37" xfId="0" applyNumberFormat="1" applyFont="1" applyFill="1" applyBorder="1" applyAlignment="1">
      <alignment horizontal="center"/>
    </xf>
    <xf numFmtId="0" fontId="1" fillId="0" borderId="1"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0" fillId="0" borderId="11" xfId="0" applyFont="1" applyFill="1" applyBorder="1" applyAlignment="1">
      <alignment horizontal="center"/>
    </xf>
    <xf numFmtId="0" fontId="0" fillId="0" borderId="11" xfId="0" applyFill="1" applyBorder="1" applyAlignment="1">
      <alignment horizontal="center"/>
    </xf>
    <xf numFmtId="2" fontId="0" fillId="0" borderId="11" xfId="0" applyNumberFormat="1" applyFill="1" applyBorder="1" applyAlignment="1">
      <alignment horizontal="center"/>
    </xf>
    <xf numFmtId="0" fontId="0" fillId="0" borderId="24" xfId="0" applyBorder="1" applyAlignment="1">
      <alignment/>
    </xf>
    <xf numFmtId="0" fontId="0" fillId="0" borderId="24" xfId="0" applyBorder="1" applyAlignment="1">
      <alignment horizontal="center"/>
    </xf>
    <xf numFmtId="0" fontId="0" fillId="0" borderId="24" xfId="0" applyFont="1" applyFill="1" applyBorder="1" applyAlignment="1">
      <alignment horizontal="center"/>
    </xf>
    <xf numFmtId="0" fontId="0" fillId="0" borderId="24" xfId="0" applyFill="1" applyBorder="1" applyAlignment="1">
      <alignment horizontal="center"/>
    </xf>
    <xf numFmtId="0" fontId="1" fillId="0" borderId="53" xfId="0" applyFont="1" applyBorder="1" applyAlignment="1">
      <alignment/>
    </xf>
    <xf numFmtId="2" fontId="1" fillId="0" borderId="25" xfId="0" applyNumberFormat="1" applyFont="1" applyFill="1" applyBorder="1" applyAlignment="1">
      <alignment horizontal="center"/>
    </xf>
    <xf numFmtId="0" fontId="1" fillId="0" borderId="55" xfId="0" applyFont="1" applyFill="1" applyBorder="1" applyAlignment="1">
      <alignment horizontal="center"/>
    </xf>
    <xf numFmtId="0" fontId="1" fillId="0" borderId="20" xfId="0" applyFont="1" applyFill="1" applyBorder="1" applyAlignment="1">
      <alignment horizontal="center"/>
    </xf>
    <xf numFmtId="2" fontId="1" fillId="0" borderId="57" xfId="0" applyNumberFormat="1" applyFont="1" applyFill="1" applyBorder="1" applyAlignment="1">
      <alignment horizontal="center"/>
    </xf>
    <xf numFmtId="2" fontId="1" fillId="0" borderId="80"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8" xfId="0" applyNumberFormat="1" applyFont="1" applyFill="1" applyBorder="1" applyAlignment="1">
      <alignment horizontal="center"/>
    </xf>
    <xf numFmtId="0" fontId="0" fillId="0" borderId="58" xfId="0" applyFill="1" applyBorder="1" applyAlignment="1">
      <alignment vertical="center"/>
    </xf>
    <xf numFmtId="0" fontId="0" fillId="0" borderId="22" xfId="0" applyFill="1" applyBorder="1" applyAlignment="1">
      <alignment vertical="center"/>
    </xf>
    <xf numFmtId="0" fontId="0" fillId="0" borderId="22" xfId="0" applyFont="1" applyFill="1" applyBorder="1" applyAlignment="1">
      <alignment horizontal="center" vertical="center"/>
    </xf>
    <xf numFmtId="0" fontId="0" fillId="0" borderId="57" xfId="0" applyFill="1" applyBorder="1" applyAlignment="1">
      <alignment vertical="center"/>
    </xf>
    <xf numFmtId="49" fontId="0" fillId="0" borderId="58" xfId="0" applyNumberFormat="1" applyFill="1" applyBorder="1" applyAlignment="1">
      <alignment horizontal="center"/>
    </xf>
    <xf numFmtId="2" fontId="0" fillId="0" borderId="55" xfId="0" applyNumberFormat="1" applyFill="1" applyBorder="1" applyAlignment="1">
      <alignment horizontal="center" vertical="center"/>
    </xf>
    <xf numFmtId="0" fontId="0" fillId="0" borderId="11" xfId="0" applyFont="1" applyFill="1" applyBorder="1" applyAlignment="1">
      <alignment/>
    </xf>
    <xf numFmtId="0" fontId="1" fillId="0" borderId="11" xfId="0" applyFont="1" applyFill="1" applyBorder="1" applyAlignment="1">
      <alignment horizontal="center"/>
    </xf>
    <xf numFmtId="2" fontId="0" fillId="0" borderId="11" xfId="0" applyNumberFormat="1" applyFont="1" applyFill="1" applyBorder="1" applyAlignment="1">
      <alignment horizontal="center"/>
    </xf>
    <xf numFmtId="49" fontId="0" fillId="0" borderId="14" xfId="0" applyNumberFormat="1" applyFill="1" applyBorder="1" applyAlignment="1">
      <alignment horizontal="center"/>
    </xf>
    <xf numFmtId="164" fontId="0" fillId="0" borderId="12" xfId="0" applyNumberFormat="1" applyFont="1" applyFill="1" applyBorder="1" applyAlignment="1">
      <alignment horizontal="center" vertical="center"/>
    </xf>
    <xf numFmtId="0" fontId="1" fillId="0" borderId="18" xfId="0" applyFont="1" applyFill="1" applyBorder="1" applyAlignment="1">
      <alignment horizontal="center"/>
    </xf>
    <xf numFmtId="2" fontId="1" fillId="0" borderId="58" xfId="0" applyNumberFormat="1" applyFont="1" applyFill="1" applyBorder="1" applyAlignment="1">
      <alignment horizontal="center"/>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xf>
    <xf numFmtId="0" fontId="1" fillId="0" borderId="0" xfId="0" applyFont="1" applyFill="1" applyAlignment="1">
      <alignment horizontal="center"/>
    </xf>
    <xf numFmtId="0" fontId="1" fillId="0" borderId="0" xfId="0" applyFont="1" applyFill="1" applyBorder="1" applyAlignment="1">
      <alignment/>
    </xf>
    <xf numFmtId="11" fontId="0" fillId="0" borderId="0" xfId="0" applyNumberFormat="1" applyFill="1" applyAlignment="1">
      <alignment/>
    </xf>
    <xf numFmtId="0" fontId="1" fillId="0" borderId="0" xfId="0" applyFont="1" applyFill="1" applyAlignment="1">
      <alignment/>
    </xf>
    <xf numFmtId="0" fontId="0" fillId="0" borderId="28" xfId="0" applyFill="1" applyBorder="1" applyAlignment="1">
      <alignment horizontal="left"/>
    </xf>
    <xf numFmtId="0" fontId="0" fillId="0" borderId="32" xfId="0" applyFill="1" applyBorder="1" applyAlignment="1">
      <alignment/>
    </xf>
    <xf numFmtId="2" fontId="0" fillId="0" borderId="32" xfId="0" applyNumberFormat="1" applyFill="1" applyBorder="1" applyAlignment="1">
      <alignment horizontal="center"/>
    </xf>
    <xf numFmtId="2" fontId="0" fillId="0" borderId="51" xfId="0" applyNumberFormat="1" applyFill="1" applyBorder="1" applyAlignment="1">
      <alignment horizontal="center"/>
    </xf>
    <xf numFmtId="0" fontId="0" fillId="0" borderId="20" xfId="0" applyFill="1" applyBorder="1" applyAlignment="1">
      <alignment horizontal="left"/>
    </xf>
    <xf numFmtId="0" fontId="0" fillId="0" borderId="11" xfId="0" applyFill="1" applyBorder="1" applyAlignment="1">
      <alignment/>
    </xf>
    <xf numFmtId="0" fontId="1" fillId="0" borderId="23" xfId="0" applyFont="1" applyFill="1" applyBorder="1" applyAlignment="1">
      <alignment/>
    </xf>
    <xf numFmtId="0" fontId="1" fillId="0" borderId="29" xfId="0" applyFont="1" applyFill="1" applyBorder="1" applyAlignment="1">
      <alignment/>
    </xf>
    <xf numFmtId="0" fontId="1" fillId="0" borderId="29" xfId="0" applyFont="1" applyFill="1" applyBorder="1" applyAlignment="1">
      <alignment horizontal="center"/>
    </xf>
    <xf numFmtId="2" fontId="1" fillId="0" borderId="29" xfId="0" applyNumberFormat="1" applyFont="1" applyFill="1" applyBorder="1" applyAlignment="1">
      <alignment horizontal="center"/>
    </xf>
    <xf numFmtId="2" fontId="1" fillId="0" borderId="50" xfId="0" applyNumberFormat="1" applyFont="1" applyFill="1" applyBorder="1" applyAlignment="1">
      <alignment horizontal="center"/>
    </xf>
    <xf numFmtId="0" fontId="0" fillId="0" borderId="32" xfId="0" applyFont="1" applyFill="1" applyBorder="1" applyAlignment="1">
      <alignment horizontal="center"/>
    </xf>
    <xf numFmtId="164" fontId="0" fillId="0" borderId="11" xfId="0" applyNumberFormat="1" applyFill="1" applyBorder="1" applyAlignment="1">
      <alignment horizontal="center"/>
    </xf>
    <xf numFmtId="164" fontId="0" fillId="0" borderId="14" xfId="0" applyNumberFormat="1" applyFill="1" applyBorder="1" applyAlignment="1">
      <alignment horizontal="center"/>
    </xf>
    <xf numFmtId="0" fontId="0" fillId="0" borderId="29" xfId="0" applyFill="1" applyBorder="1" applyAlignment="1">
      <alignment/>
    </xf>
    <xf numFmtId="0" fontId="1" fillId="0" borderId="54" xfId="0" applyFont="1" applyFill="1" applyBorder="1" applyAlignment="1" quotePrefix="1">
      <alignment horizontal="center"/>
    </xf>
    <xf numFmtId="0" fontId="1" fillId="0" borderId="18" xfId="0" applyFont="1" applyFill="1" applyBorder="1" applyAlignment="1" quotePrefix="1">
      <alignment horizontal="center"/>
    </xf>
    <xf numFmtId="0" fontId="1" fillId="0" borderId="22" xfId="0" applyFont="1" applyFill="1" applyBorder="1" applyAlignment="1" quotePrefix="1">
      <alignment horizontal="center"/>
    </xf>
    <xf numFmtId="2" fontId="1" fillId="0" borderId="18" xfId="0" applyNumberFormat="1" applyFont="1" applyFill="1" applyBorder="1" applyAlignment="1">
      <alignment horizontal="center"/>
    </xf>
    <xf numFmtId="0" fontId="1" fillId="0" borderId="16" xfId="0" applyFont="1" applyFill="1" applyBorder="1" applyAlignment="1" quotePrefix="1">
      <alignment horizontal="center"/>
    </xf>
    <xf numFmtId="0" fontId="1" fillId="0" borderId="8" xfId="0" applyFont="1" applyFill="1" applyBorder="1" applyAlignment="1" quotePrefix="1">
      <alignment horizontal="center"/>
    </xf>
    <xf numFmtId="0" fontId="1" fillId="0" borderId="9" xfId="0" applyFont="1" applyFill="1" applyBorder="1" applyAlignment="1" quotePrefix="1">
      <alignment horizontal="center"/>
    </xf>
    <xf numFmtId="0" fontId="1" fillId="0" borderId="8" xfId="0" applyFont="1" applyFill="1" applyBorder="1" applyAlignment="1">
      <alignment horizontal="center"/>
    </xf>
    <xf numFmtId="0" fontId="1" fillId="0" borderId="69" xfId="0" applyFont="1" applyFill="1" applyBorder="1" applyAlignment="1">
      <alignment/>
    </xf>
    <xf numFmtId="0" fontId="1" fillId="0" borderId="42" xfId="0" applyFont="1" applyFill="1" applyBorder="1" applyAlignment="1">
      <alignment/>
    </xf>
    <xf numFmtId="0" fontId="1" fillId="0" borderId="43" xfId="0" applyFont="1" applyFill="1" applyBorder="1" applyAlignment="1">
      <alignment/>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70" xfId="0" applyNumberFormat="1" applyFont="1" applyFill="1" applyBorder="1" applyAlignment="1">
      <alignment horizontal="center"/>
    </xf>
    <xf numFmtId="2" fontId="1" fillId="0" borderId="8" xfId="0" applyNumberFormat="1" applyFont="1" applyFill="1" applyBorder="1" applyAlignment="1">
      <alignment horizontal="center"/>
    </xf>
    <xf numFmtId="0" fontId="1" fillId="0" borderId="70" xfId="0" applyFont="1" applyFill="1" applyBorder="1" applyAlignment="1">
      <alignment/>
    </xf>
    <xf numFmtId="0" fontId="0" fillId="0" borderId="29" xfId="0" applyFill="1" applyBorder="1" applyAlignment="1">
      <alignment horizontal="center" vertical="center"/>
    </xf>
    <xf numFmtId="2" fontId="1" fillId="0" borderId="33" xfId="0" applyNumberFormat="1" applyFont="1" applyFill="1" applyBorder="1" applyAlignment="1">
      <alignment horizontal="center" vertical="center"/>
    </xf>
    <xf numFmtId="0" fontId="1" fillId="0" borderId="1" xfId="0" applyFont="1" applyFill="1" applyBorder="1" applyAlignment="1">
      <alignment horizontal="right"/>
    </xf>
    <xf numFmtId="0" fontId="1" fillId="0" borderId="4" xfId="0" applyFont="1" applyFill="1" applyBorder="1" applyAlignment="1">
      <alignment horizontal="right"/>
    </xf>
    <xf numFmtId="0" fontId="1" fillId="0" borderId="25" xfId="0" applyFont="1" applyFill="1" applyBorder="1" applyAlignment="1">
      <alignment horizontal="center"/>
    </xf>
    <xf numFmtId="2" fontId="1" fillId="0" borderId="35" xfId="0" applyNumberFormat="1" applyFont="1" applyFill="1" applyBorder="1" applyAlignment="1">
      <alignment horizontal="center"/>
    </xf>
    <xf numFmtId="0" fontId="1" fillId="0" borderId="53" xfId="0" applyFont="1" applyFill="1" applyBorder="1" applyAlignment="1">
      <alignment/>
    </xf>
    <xf numFmtId="0" fontId="0" fillId="0" borderId="24" xfId="0" applyFill="1" applyBorder="1" applyAlignment="1">
      <alignment/>
    </xf>
    <xf numFmtId="2" fontId="1" fillId="0" borderId="11"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54" xfId="0" applyNumberFormat="1" applyFont="1" applyFill="1" applyBorder="1" applyAlignment="1" quotePrefix="1">
      <alignment horizontal="center"/>
    </xf>
    <xf numFmtId="2" fontId="1" fillId="0" borderId="18" xfId="0" applyNumberFormat="1" applyFont="1" applyFill="1" applyBorder="1" applyAlignment="1" quotePrefix="1">
      <alignment horizontal="center"/>
    </xf>
    <xf numFmtId="2" fontId="1" fillId="0" borderId="16" xfId="0" applyNumberFormat="1" applyFont="1" applyFill="1" applyBorder="1" applyAlignment="1" quotePrefix="1">
      <alignment horizontal="center"/>
    </xf>
    <xf numFmtId="2" fontId="1" fillId="0" borderId="8" xfId="0" applyNumberFormat="1" applyFont="1" applyFill="1" applyBorder="1" applyAlignment="1" quotePrefix="1">
      <alignment horizontal="center"/>
    </xf>
    <xf numFmtId="2" fontId="1" fillId="0" borderId="42" xfId="0" applyNumberFormat="1" applyFont="1" applyFill="1" applyBorder="1" applyAlignment="1">
      <alignment horizontal="center"/>
    </xf>
    <xf numFmtId="0" fontId="0" fillId="0" borderId="20" xfId="0" applyFont="1" applyFill="1" applyBorder="1" applyAlignment="1">
      <alignment horizontal="center" vertical="center"/>
    </xf>
    <xf numFmtId="0" fontId="0" fillId="0" borderId="0" xfId="0" applyFont="1" applyFill="1" applyAlignment="1">
      <alignment/>
    </xf>
    <xf numFmtId="2" fontId="8" fillId="0" borderId="58" xfId="0" applyNumberFormat="1" applyFont="1" applyFill="1" applyBorder="1" applyAlignment="1">
      <alignment horizontal="center"/>
    </xf>
    <xf numFmtId="2" fontId="8" fillId="0" borderId="0" xfId="0" applyNumberFormat="1" applyFont="1" applyFill="1" applyBorder="1" applyAlignment="1">
      <alignment horizontal="center"/>
    </xf>
    <xf numFmtId="2" fontId="10" fillId="0" borderId="37" xfId="0" applyNumberFormat="1" applyFont="1" applyFill="1" applyBorder="1" applyAlignment="1">
      <alignment horizontal="center"/>
    </xf>
    <xf numFmtId="2" fontId="8" fillId="0" borderId="37" xfId="0" applyNumberFormat="1" applyFont="1" applyFill="1" applyBorder="1" applyAlignment="1">
      <alignment horizontal="center"/>
    </xf>
    <xf numFmtId="0" fontId="1" fillId="0" borderId="19"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0" fontId="0" fillId="0" borderId="15" xfId="0" applyFill="1" applyBorder="1" applyAlignment="1">
      <alignment horizontal="center"/>
    </xf>
    <xf numFmtId="2" fontId="0" fillId="0" borderId="20" xfId="0" applyNumberFormat="1" applyFill="1" applyBorder="1" applyAlignment="1">
      <alignment horizontal="center"/>
    </xf>
    <xf numFmtId="0" fontId="1" fillId="0" borderId="0" xfId="0" applyFont="1" applyBorder="1" applyAlignment="1">
      <alignment/>
    </xf>
    <xf numFmtId="2" fontId="0" fillId="0" borderId="11" xfId="0" applyNumberFormat="1" applyFont="1" applyFill="1" applyBorder="1" applyAlignment="1">
      <alignment horizontal="center"/>
    </xf>
    <xf numFmtId="0" fontId="8" fillId="0" borderId="20" xfId="0" applyFont="1" applyFill="1" applyBorder="1" applyAlignment="1">
      <alignment horizontal="center" vertical="center"/>
    </xf>
    <xf numFmtId="165" fontId="1" fillId="0" borderId="22" xfId="0" applyNumberFormat="1" applyFont="1" applyBorder="1" applyAlignment="1">
      <alignment horizontal="center" vertical="center"/>
    </xf>
    <xf numFmtId="0" fontId="1" fillId="0" borderId="44" xfId="0" applyFont="1" applyBorder="1" applyAlignment="1">
      <alignment/>
    </xf>
    <xf numFmtId="2" fontId="0" fillId="0" borderId="24" xfId="0" applyNumberFormat="1" applyFont="1" applyFill="1" applyBorder="1" applyAlignment="1">
      <alignment horizontal="center"/>
    </xf>
    <xf numFmtId="164" fontId="0" fillId="0" borderId="0" xfId="0" applyNumberFormat="1" applyFill="1" applyBorder="1" applyAlignment="1">
      <alignment horizontal="center"/>
    </xf>
    <xf numFmtId="165" fontId="1" fillId="0" borderId="0" xfId="0" applyNumberFormat="1" applyFont="1" applyFill="1" applyBorder="1" applyAlignment="1">
      <alignment horizontal="center"/>
    </xf>
    <xf numFmtId="0" fontId="0" fillId="0" borderId="31" xfId="0" applyFont="1" applyFill="1" applyBorder="1" applyAlignment="1">
      <alignment horizontal="center"/>
    </xf>
    <xf numFmtId="165" fontId="1" fillId="0" borderId="7" xfId="0" applyNumberFormat="1" applyFont="1" applyFill="1" applyBorder="1" applyAlignment="1">
      <alignment horizontal="center"/>
    </xf>
    <xf numFmtId="0" fontId="1" fillId="0" borderId="7" xfId="0" applyFont="1" applyFill="1" applyBorder="1" applyAlignment="1">
      <alignment horizontal="center"/>
    </xf>
    <xf numFmtId="2" fontId="0" fillId="0" borderId="4" xfId="0" applyNumberFormat="1" applyFill="1" applyBorder="1" applyAlignment="1">
      <alignment horizontal="center"/>
    </xf>
    <xf numFmtId="2" fontId="0" fillId="0" borderId="0" xfId="0" applyNumberFormat="1" applyFill="1" applyAlignment="1">
      <alignment horizontal="center"/>
    </xf>
    <xf numFmtId="2" fontId="1" fillId="0" borderId="0" xfId="0" applyNumberFormat="1" applyFont="1" applyFill="1" applyAlignment="1">
      <alignment horizontal="center"/>
    </xf>
    <xf numFmtId="2" fontId="0" fillId="0" borderId="24" xfId="0" applyNumberFormat="1" applyFill="1" applyBorder="1" applyAlignment="1">
      <alignment horizontal="center"/>
    </xf>
    <xf numFmtId="2" fontId="0" fillId="0" borderId="50" xfId="0" applyNumberFormat="1" applyFont="1" applyBorder="1" applyAlignment="1">
      <alignment horizontal="center"/>
    </xf>
    <xf numFmtId="0" fontId="0" fillId="0" borderId="28" xfId="0" applyBorder="1" applyAlignment="1">
      <alignment/>
    </xf>
    <xf numFmtId="0" fontId="0" fillId="0" borderId="32" xfId="0" applyBorder="1" applyAlignment="1">
      <alignment/>
    </xf>
    <xf numFmtId="0" fontId="1" fillId="0" borderId="1" xfId="0" applyFont="1" applyBorder="1" applyAlignment="1">
      <alignment vertical="center" wrapText="1"/>
    </xf>
    <xf numFmtId="0" fontId="0" fillId="0" borderId="4" xfId="0" applyBorder="1" applyAlignment="1">
      <alignment vertical="center" wrapText="1"/>
    </xf>
    <xf numFmtId="0" fontId="0" fillId="0" borderId="81" xfId="0" applyBorder="1" applyAlignment="1">
      <alignment vertical="center" wrapText="1"/>
    </xf>
    <xf numFmtId="0" fontId="1" fillId="0" borderId="44" xfId="0" applyFont="1" applyFill="1" applyBorder="1" applyAlignment="1">
      <alignment horizontal="center"/>
    </xf>
    <xf numFmtId="0" fontId="0" fillId="0" borderId="45" xfId="0" applyFill="1" applyBorder="1" applyAlignment="1">
      <alignment horizontal="center"/>
    </xf>
    <xf numFmtId="0" fontId="0" fillId="0" borderId="59" xfId="0" applyFill="1" applyBorder="1" applyAlignment="1">
      <alignment horizontal="center"/>
    </xf>
    <xf numFmtId="0" fontId="0" fillId="0" borderId="8" xfId="0" applyFill="1" applyBorder="1" applyAlignment="1">
      <alignment horizontal="center"/>
    </xf>
    <xf numFmtId="0" fontId="0" fillId="0" borderId="0" xfId="0" applyAlignment="1">
      <alignment vertical="top" wrapText="1"/>
    </xf>
    <xf numFmtId="0" fontId="0" fillId="0" borderId="0" xfId="0" applyAlignment="1">
      <alignment wrapText="1"/>
    </xf>
    <xf numFmtId="164" fontId="0" fillId="0" borderId="11" xfId="0" applyNumberFormat="1" applyBorder="1" applyAlignment="1">
      <alignment horizontal="center"/>
    </xf>
    <xf numFmtId="0" fontId="0" fillId="0" borderId="11" xfId="0" applyBorder="1" applyAlignment="1">
      <alignment horizontal="center"/>
    </xf>
    <xf numFmtId="0" fontId="0" fillId="0" borderId="11" xfId="0" applyBorder="1" applyAlignment="1">
      <alignment horizontal="center" wrapText="1"/>
    </xf>
    <xf numFmtId="0" fontId="0" fillId="0" borderId="42" xfId="0" applyBorder="1" applyAlignment="1">
      <alignment horizontal="center" wrapText="1"/>
    </xf>
    <xf numFmtId="0" fontId="0" fillId="0" borderId="11" xfId="0" applyBorder="1" applyAlignment="1">
      <alignment wrapText="1"/>
    </xf>
    <xf numFmtId="0" fontId="0" fillId="0" borderId="11" xfId="0" applyBorder="1" applyAlignment="1" quotePrefix="1">
      <alignment horizontal="center" wrapText="1"/>
    </xf>
    <xf numFmtId="0" fontId="0" fillId="0" borderId="19"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0" fillId="0" borderId="20" xfId="0" applyBorder="1" applyAlignment="1">
      <alignment/>
    </xf>
    <xf numFmtId="0" fontId="0" fillId="0" borderId="11" xfId="0" applyBorder="1" applyAlignment="1">
      <alignment/>
    </xf>
    <xf numFmtId="0" fontId="1" fillId="0" borderId="23" xfId="0" applyFont="1" applyBorder="1" applyAlignment="1">
      <alignment/>
    </xf>
    <xf numFmtId="0" fontId="1" fillId="0" borderId="29" xfId="0" applyFont="1" applyBorder="1" applyAlignment="1">
      <alignment/>
    </xf>
    <xf numFmtId="0" fontId="0" fillId="0" borderId="37" xfId="0" applyBorder="1" applyAlignment="1">
      <alignment horizontal="center" wrapText="1"/>
    </xf>
    <xf numFmtId="0" fontId="1" fillId="0" borderId="1" xfId="0" applyFont="1"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0" borderId="44" xfId="0" applyFill="1" applyBorder="1" applyAlignment="1">
      <alignment horizontal="center"/>
    </xf>
    <xf numFmtId="0" fontId="0" fillId="0" borderId="70" xfId="0" applyFill="1" applyBorder="1" applyAlignment="1">
      <alignment horizontal="center"/>
    </xf>
    <xf numFmtId="0" fontId="0" fillId="0" borderId="41" xfId="0" applyFill="1" applyBorder="1" applyAlignment="1">
      <alignment horizontal="center"/>
    </xf>
    <xf numFmtId="0" fontId="0" fillId="0" borderId="40" xfId="0" applyFill="1" applyBorder="1" applyAlignment="1">
      <alignment horizontal="center"/>
    </xf>
    <xf numFmtId="0" fontId="0" fillId="0" borderId="42" xfId="0" applyFill="1" applyBorder="1" applyAlignment="1">
      <alignment horizontal="center"/>
    </xf>
    <xf numFmtId="0" fontId="0" fillId="0" borderId="45" xfId="0" applyBorder="1" applyAlignment="1">
      <alignment horizontal="center"/>
    </xf>
    <xf numFmtId="0" fontId="0" fillId="0" borderId="59" xfId="0" applyBorder="1" applyAlignment="1">
      <alignment horizontal="center"/>
    </xf>
    <xf numFmtId="0" fontId="0" fillId="0" borderId="19" xfId="0" applyFill="1" applyBorder="1" applyAlignment="1">
      <alignment horizontal="center"/>
    </xf>
    <xf numFmtId="0" fontId="0" fillId="0" borderId="12" xfId="0" applyFill="1" applyBorder="1" applyAlignment="1">
      <alignment horizontal="center"/>
    </xf>
    <xf numFmtId="0" fontId="1" fillId="0" borderId="45" xfId="0" applyFont="1" applyFill="1" applyBorder="1" applyAlignment="1">
      <alignment horizontal="center"/>
    </xf>
    <xf numFmtId="0" fontId="1" fillId="0" borderId="59" xfId="0" applyFont="1" applyFill="1" applyBorder="1" applyAlignment="1">
      <alignment horizontal="center"/>
    </xf>
    <xf numFmtId="0" fontId="1" fillId="0" borderId="46"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42</xdr:row>
      <xdr:rowOff>219075</xdr:rowOff>
    </xdr:from>
    <xdr:to>
      <xdr:col>11</xdr:col>
      <xdr:colOff>561975</xdr:colOff>
      <xdr:row>104</xdr:row>
      <xdr:rowOff>9525</xdr:rowOff>
    </xdr:to>
    <xdr:sp>
      <xdr:nvSpPr>
        <xdr:cNvPr id="1" name="AutoShape 45"/>
        <xdr:cNvSpPr>
          <a:spLocks/>
        </xdr:cNvSpPr>
      </xdr:nvSpPr>
      <xdr:spPr>
        <a:xfrm>
          <a:off x="5886450" y="5238750"/>
          <a:ext cx="2400300" cy="7172325"/>
        </a:xfrm>
        <a:custGeom>
          <a:pathLst>
            <a:path h="675" w="252">
              <a:moveTo>
                <a:pt x="111" y="598"/>
              </a:moveTo>
              <a:cubicBezTo>
                <a:pt x="181" y="636"/>
                <a:pt x="252" y="675"/>
                <a:pt x="233" y="575"/>
              </a:cubicBezTo>
              <a:cubicBezTo>
                <a:pt x="214" y="475"/>
                <a:pt x="39" y="96"/>
                <a:pt x="0" y="0"/>
              </a:cubicBezTo>
            </a:path>
          </a:pathLst>
        </a:custGeom>
        <a:noFill/>
        <a:ln w="38100" cmpd="sng">
          <a:solidFill>
            <a:srgbClr val="000000"/>
          </a:solidFill>
          <a:prstDash val="lgDashDot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42</xdr:row>
      <xdr:rowOff>180975</xdr:rowOff>
    </xdr:from>
    <xdr:to>
      <xdr:col>9</xdr:col>
      <xdr:colOff>514350</xdr:colOff>
      <xdr:row>76</xdr:row>
      <xdr:rowOff>28575</xdr:rowOff>
    </xdr:to>
    <xdr:sp>
      <xdr:nvSpPr>
        <xdr:cNvPr id="2" name="AutoShape 46"/>
        <xdr:cNvSpPr>
          <a:spLocks/>
        </xdr:cNvSpPr>
      </xdr:nvSpPr>
      <xdr:spPr>
        <a:xfrm>
          <a:off x="6429375" y="5200650"/>
          <a:ext cx="238125" cy="1905000"/>
        </a:xfrm>
        <a:custGeom>
          <a:pathLst>
            <a:path h="200" w="25">
              <a:moveTo>
                <a:pt x="25" y="200"/>
              </a:moveTo>
              <a:cubicBezTo>
                <a:pt x="14" y="178"/>
                <a:pt x="4" y="156"/>
                <a:pt x="2" y="123"/>
              </a:cubicBezTo>
              <a:cubicBezTo>
                <a:pt x="0" y="90"/>
                <a:pt x="10" y="20"/>
                <a:pt x="12" y="0"/>
              </a:cubicBezTo>
            </a:path>
          </a:pathLst>
        </a:custGeom>
        <a:noFill/>
        <a:ln w="38100" cmpd="sng">
          <a:solidFill>
            <a:srgbClr val="000000"/>
          </a:solidFill>
          <a:prstDash val="lgDashDot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42</xdr:row>
      <xdr:rowOff>190500</xdr:rowOff>
    </xdr:from>
    <xdr:to>
      <xdr:col>8</xdr:col>
      <xdr:colOff>352425</xdr:colOff>
      <xdr:row>101</xdr:row>
      <xdr:rowOff>95250</xdr:rowOff>
    </xdr:to>
    <xdr:sp>
      <xdr:nvSpPr>
        <xdr:cNvPr id="3" name="AutoShape 49"/>
        <xdr:cNvSpPr>
          <a:spLocks/>
        </xdr:cNvSpPr>
      </xdr:nvSpPr>
      <xdr:spPr>
        <a:xfrm>
          <a:off x="4991100" y="5210175"/>
          <a:ext cx="800100" cy="6696075"/>
        </a:xfrm>
        <a:custGeom>
          <a:pathLst>
            <a:path h="617" w="84">
              <a:moveTo>
                <a:pt x="59" y="592"/>
              </a:moveTo>
              <a:cubicBezTo>
                <a:pt x="29" y="604"/>
                <a:pt x="0" y="617"/>
                <a:pt x="4" y="518"/>
              </a:cubicBezTo>
              <a:cubicBezTo>
                <a:pt x="8" y="419"/>
                <a:pt x="71" y="86"/>
                <a:pt x="84" y="0"/>
              </a:cubicBezTo>
            </a:path>
          </a:pathLst>
        </a:custGeom>
        <a:noFill/>
        <a:ln w="38100" cmpd="sng">
          <a:solidFill>
            <a:srgbClr val="000000"/>
          </a:solidFill>
          <a:prstDash val="lg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42</xdr:row>
      <xdr:rowOff>180975</xdr:rowOff>
    </xdr:from>
    <xdr:to>
      <xdr:col>10</xdr:col>
      <xdr:colOff>152400</xdr:colOff>
      <xdr:row>77</xdr:row>
      <xdr:rowOff>66675</xdr:rowOff>
    </xdr:to>
    <xdr:sp>
      <xdr:nvSpPr>
        <xdr:cNvPr id="4" name="AutoShape 50"/>
        <xdr:cNvSpPr>
          <a:spLocks/>
        </xdr:cNvSpPr>
      </xdr:nvSpPr>
      <xdr:spPr>
        <a:xfrm>
          <a:off x="5410200" y="5200650"/>
          <a:ext cx="1752600" cy="2200275"/>
        </a:xfrm>
        <a:custGeom>
          <a:pathLst>
            <a:path h="215" w="184">
              <a:moveTo>
                <a:pt x="4" y="215"/>
              </a:moveTo>
              <a:cubicBezTo>
                <a:pt x="2" y="210"/>
                <a:pt x="0" y="205"/>
                <a:pt x="30" y="169"/>
              </a:cubicBezTo>
              <a:cubicBezTo>
                <a:pt x="60" y="133"/>
                <a:pt x="122" y="66"/>
                <a:pt x="184" y="0"/>
              </a:cubicBezTo>
            </a:path>
          </a:pathLst>
        </a:custGeom>
        <a:noFill/>
        <a:ln w="38100" cmpd="sng">
          <a:solidFill>
            <a:srgbClr val="000000"/>
          </a:solidFill>
          <a:prstDash val="lg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28</xdr:row>
      <xdr:rowOff>190500</xdr:rowOff>
    </xdr:from>
    <xdr:to>
      <xdr:col>8</xdr:col>
      <xdr:colOff>133350</xdr:colOff>
      <xdr:row>100</xdr:row>
      <xdr:rowOff>9525</xdr:rowOff>
    </xdr:to>
    <xdr:sp>
      <xdr:nvSpPr>
        <xdr:cNvPr id="5" name="AutoShape 51"/>
        <xdr:cNvSpPr>
          <a:spLocks/>
        </xdr:cNvSpPr>
      </xdr:nvSpPr>
      <xdr:spPr>
        <a:xfrm>
          <a:off x="3848100" y="2828925"/>
          <a:ext cx="1724025" cy="8734425"/>
        </a:xfrm>
        <a:custGeom>
          <a:pathLst>
            <a:path h="839" w="181">
              <a:moveTo>
                <a:pt x="181" y="829"/>
              </a:moveTo>
              <a:cubicBezTo>
                <a:pt x="107" y="834"/>
                <a:pt x="34" y="839"/>
                <a:pt x="17" y="744"/>
              </a:cubicBezTo>
              <a:cubicBezTo>
                <a:pt x="0" y="649"/>
                <a:pt x="50" y="381"/>
                <a:pt x="77" y="257"/>
              </a:cubicBezTo>
              <a:cubicBezTo>
                <a:pt x="104" y="133"/>
                <a:pt x="140" y="66"/>
                <a:pt x="177" y="0"/>
              </a:cubicBezTo>
            </a:path>
          </a:pathLst>
        </a:custGeom>
        <a:noFill/>
        <a:ln w="381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28</xdr:row>
      <xdr:rowOff>190500</xdr:rowOff>
    </xdr:from>
    <xdr:to>
      <xdr:col>9</xdr:col>
      <xdr:colOff>304800</xdr:colOff>
      <xdr:row>38</xdr:row>
      <xdr:rowOff>76200</xdr:rowOff>
    </xdr:to>
    <xdr:sp>
      <xdr:nvSpPr>
        <xdr:cNvPr id="6" name="AutoShape 52"/>
        <xdr:cNvSpPr>
          <a:spLocks/>
        </xdr:cNvSpPr>
      </xdr:nvSpPr>
      <xdr:spPr>
        <a:xfrm>
          <a:off x="4810125" y="2828925"/>
          <a:ext cx="1647825" cy="1619250"/>
        </a:xfrm>
        <a:custGeom>
          <a:pathLst>
            <a:path h="166" w="167">
              <a:moveTo>
                <a:pt x="0" y="166"/>
              </a:moveTo>
              <a:cubicBezTo>
                <a:pt x="2" y="156"/>
                <a:pt x="4" y="147"/>
                <a:pt x="32" y="119"/>
              </a:cubicBezTo>
              <a:cubicBezTo>
                <a:pt x="60" y="91"/>
                <a:pt x="113" y="45"/>
                <a:pt x="167" y="0"/>
              </a:cubicBezTo>
            </a:path>
          </a:pathLst>
        </a:custGeom>
        <a:noFill/>
        <a:ln w="381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94</xdr:row>
      <xdr:rowOff>85725</xdr:rowOff>
    </xdr:from>
    <xdr:to>
      <xdr:col>11</xdr:col>
      <xdr:colOff>123825</xdr:colOff>
      <xdr:row>101</xdr:row>
      <xdr:rowOff>133350</xdr:rowOff>
    </xdr:to>
    <xdr:sp>
      <xdr:nvSpPr>
        <xdr:cNvPr id="7" name="AutoShape 53"/>
        <xdr:cNvSpPr>
          <a:spLocks/>
        </xdr:cNvSpPr>
      </xdr:nvSpPr>
      <xdr:spPr>
        <a:xfrm>
          <a:off x="6124575" y="10458450"/>
          <a:ext cx="1724025" cy="1485900"/>
        </a:xfrm>
        <a:custGeom>
          <a:pathLst>
            <a:path h="151" w="181">
              <a:moveTo>
                <a:pt x="75" y="151"/>
              </a:moveTo>
              <a:cubicBezTo>
                <a:pt x="128" y="134"/>
                <a:pt x="181" y="118"/>
                <a:pt x="168" y="93"/>
              </a:cubicBezTo>
              <a:cubicBezTo>
                <a:pt x="155" y="68"/>
                <a:pt x="77" y="34"/>
                <a:pt x="0" y="0"/>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28</xdr:row>
      <xdr:rowOff>200025</xdr:rowOff>
    </xdr:from>
    <xdr:to>
      <xdr:col>12</xdr:col>
      <xdr:colOff>161925</xdr:colOff>
      <xdr:row>99</xdr:row>
      <xdr:rowOff>133350</xdr:rowOff>
    </xdr:to>
    <xdr:sp>
      <xdr:nvSpPr>
        <xdr:cNvPr id="8" name="AutoShape 54"/>
        <xdr:cNvSpPr>
          <a:spLocks/>
        </xdr:cNvSpPr>
      </xdr:nvSpPr>
      <xdr:spPr>
        <a:xfrm>
          <a:off x="5715000" y="2838450"/>
          <a:ext cx="2886075" cy="8591550"/>
        </a:xfrm>
        <a:custGeom>
          <a:pathLst>
            <a:path h="818" w="303">
              <a:moveTo>
                <a:pt x="116" y="818"/>
              </a:moveTo>
              <a:cubicBezTo>
                <a:pt x="192" y="816"/>
                <a:pt x="269" y="815"/>
                <a:pt x="286" y="715"/>
              </a:cubicBezTo>
              <a:cubicBezTo>
                <a:pt x="303" y="615"/>
                <a:pt x="263" y="326"/>
                <a:pt x="221" y="216"/>
              </a:cubicBezTo>
              <a:cubicBezTo>
                <a:pt x="179" y="106"/>
                <a:pt x="70" y="93"/>
                <a:pt x="35" y="57"/>
              </a:cubicBezTo>
              <a:cubicBezTo>
                <a:pt x="0" y="21"/>
                <a:pt x="4" y="10"/>
                <a:pt x="9" y="0"/>
              </a:cubicBezTo>
            </a:path>
          </a:pathLst>
        </a:custGeom>
        <a:noFill/>
        <a:ln w="3810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28</xdr:row>
      <xdr:rowOff>180975</xdr:rowOff>
    </xdr:from>
    <xdr:to>
      <xdr:col>11</xdr:col>
      <xdr:colOff>123825</xdr:colOff>
      <xdr:row>42</xdr:row>
      <xdr:rowOff>114300</xdr:rowOff>
    </xdr:to>
    <xdr:sp>
      <xdr:nvSpPr>
        <xdr:cNvPr id="9" name="AutoShape 55"/>
        <xdr:cNvSpPr>
          <a:spLocks/>
        </xdr:cNvSpPr>
      </xdr:nvSpPr>
      <xdr:spPr>
        <a:xfrm>
          <a:off x="7305675" y="2819400"/>
          <a:ext cx="542925" cy="2314575"/>
        </a:xfrm>
        <a:custGeom>
          <a:pathLst>
            <a:path h="243" w="57">
              <a:moveTo>
                <a:pt x="57" y="243"/>
              </a:moveTo>
              <a:cubicBezTo>
                <a:pt x="38" y="209"/>
                <a:pt x="19" y="176"/>
                <a:pt x="10" y="136"/>
              </a:cubicBezTo>
              <a:cubicBezTo>
                <a:pt x="1" y="96"/>
                <a:pt x="0" y="48"/>
                <a:pt x="0" y="0"/>
              </a:cubicBezTo>
            </a:path>
          </a:pathLst>
        </a:custGeom>
        <a:noFill/>
        <a:ln w="3810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101</xdr:row>
      <xdr:rowOff>238125</xdr:rowOff>
    </xdr:from>
    <xdr:to>
      <xdr:col>9</xdr:col>
      <xdr:colOff>419100</xdr:colOff>
      <xdr:row>103</xdr:row>
      <xdr:rowOff>104775</xdr:rowOff>
    </xdr:to>
    <xdr:sp>
      <xdr:nvSpPr>
        <xdr:cNvPr id="10" name="AutoShape 56"/>
        <xdr:cNvSpPr>
          <a:spLocks/>
        </xdr:cNvSpPr>
      </xdr:nvSpPr>
      <xdr:spPr>
        <a:xfrm>
          <a:off x="5076825" y="12049125"/>
          <a:ext cx="1495425" cy="295275"/>
        </a:xfrm>
        <a:custGeom>
          <a:pathLst>
            <a:path h="31" w="157">
              <a:moveTo>
                <a:pt x="157" y="3"/>
              </a:moveTo>
              <a:cubicBezTo>
                <a:pt x="150" y="11"/>
                <a:pt x="144" y="20"/>
                <a:pt x="122" y="24"/>
              </a:cubicBezTo>
              <a:cubicBezTo>
                <a:pt x="100" y="28"/>
                <a:pt x="44" y="31"/>
                <a:pt x="24" y="27"/>
              </a:cubicBezTo>
              <a:cubicBezTo>
                <a:pt x="4" y="23"/>
                <a:pt x="2" y="11"/>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101</xdr:row>
      <xdr:rowOff>257175</xdr:rowOff>
    </xdr:from>
    <xdr:to>
      <xdr:col>7</xdr:col>
      <xdr:colOff>304800</xdr:colOff>
      <xdr:row>103</xdr:row>
      <xdr:rowOff>123825</xdr:rowOff>
    </xdr:to>
    <xdr:sp>
      <xdr:nvSpPr>
        <xdr:cNvPr id="11" name="AutoShape 57"/>
        <xdr:cNvSpPr>
          <a:spLocks/>
        </xdr:cNvSpPr>
      </xdr:nvSpPr>
      <xdr:spPr>
        <a:xfrm>
          <a:off x="3467100" y="12068175"/>
          <a:ext cx="1495425" cy="295275"/>
        </a:xfrm>
        <a:custGeom>
          <a:pathLst>
            <a:path h="31" w="157">
              <a:moveTo>
                <a:pt x="157" y="3"/>
              </a:moveTo>
              <a:cubicBezTo>
                <a:pt x="150" y="11"/>
                <a:pt x="144" y="20"/>
                <a:pt x="122" y="24"/>
              </a:cubicBezTo>
              <a:cubicBezTo>
                <a:pt x="100" y="28"/>
                <a:pt x="44" y="31"/>
                <a:pt x="24" y="27"/>
              </a:cubicBezTo>
              <a:cubicBezTo>
                <a:pt x="4" y="23"/>
                <a:pt x="2" y="11"/>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83</xdr:row>
      <xdr:rowOff>152400</xdr:rowOff>
    </xdr:from>
    <xdr:to>
      <xdr:col>9</xdr:col>
      <xdr:colOff>114300</xdr:colOff>
      <xdr:row>91</xdr:row>
      <xdr:rowOff>180975</xdr:rowOff>
    </xdr:to>
    <xdr:sp>
      <xdr:nvSpPr>
        <xdr:cNvPr id="12" name="AutoShape 62"/>
        <xdr:cNvSpPr>
          <a:spLocks/>
        </xdr:cNvSpPr>
      </xdr:nvSpPr>
      <xdr:spPr>
        <a:xfrm>
          <a:off x="5924550" y="8458200"/>
          <a:ext cx="342900" cy="1447800"/>
        </a:xfrm>
        <a:custGeom>
          <a:pathLst>
            <a:path h="123" w="36">
              <a:moveTo>
                <a:pt x="0" y="0"/>
              </a:moveTo>
              <a:cubicBezTo>
                <a:pt x="17" y="11"/>
                <a:pt x="34" y="23"/>
                <a:pt x="35" y="43"/>
              </a:cubicBezTo>
              <a:cubicBezTo>
                <a:pt x="36" y="63"/>
                <a:pt x="12" y="110"/>
                <a:pt x="8" y="123"/>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76</xdr:row>
      <xdr:rowOff>76200</xdr:rowOff>
    </xdr:from>
    <xdr:to>
      <xdr:col>9</xdr:col>
      <xdr:colOff>171450</xdr:colOff>
      <xdr:row>83</xdr:row>
      <xdr:rowOff>114300</xdr:rowOff>
    </xdr:to>
    <xdr:sp>
      <xdr:nvSpPr>
        <xdr:cNvPr id="13" name="AutoShape 63"/>
        <xdr:cNvSpPr>
          <a:spLocks/>
        </xdr:cNvSpPr>
      </xdr:nvSpPr>
      <xdr:spPr>
        <a:xfrm>
          <a:off x="5981700" y="7153275"/>
          <a:ext cx="342900" cy="1266825"/>
        </a:xfrm>
        <a:custGeom>
          <a:pathLst>
            <a:path h="123" w="36">
              <a:moveTo>
                <a:pt x="0" y="0"/>
              </a:moveTo>
              <a:cubicBezTo>
                <a:pt x="17" y="11"/>
                <a:pt x="34" y="23"/>
                <a:pt x="35" y="43"/>
              </a:cubicBezTo>
              <a:cubicBezTo>
                <a:pt x="36" y="63"/>
                <a:pt x="12" y="110"/>
                <a:pt x="8" y="123"/>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91</xdr:row>
      <xdr:rowOff>180975</xdr:rowOff>
    </xdr:from>
    <xdr:to>
      <xdr:col>9</xdr:col>
      <xdr:colOff>171450</xdr:colOff>
      <xdr:row>94</xdr:row>
      <xdr:rowOff>76200</xdr:rowOff>
    </xdr:to>
    <xdr:sp>
      <xdr:nvSpPr>
        <xdr:cNvPr id="14" name="AutoShape 64"/>
        <xdr:cNvSpPr>
          <a:spLocks/>
        </xdr:cNvSpPr>
      </xdr:nvSpPr>
      <xdr:spPr>
        <a:xfrm>
          <a:off x="5981700" y="9906000"/>
          <a:ext cx="342900" cy="542925"/>
        </a:xfrm>
        <a:custGeom>
          <a:pathLst>
            <a:path h="123" w="36">
              <a:moveTo>
                <a:pt x="0" y="0"/>
              </a:moveTo>
              <a:cubicBezTo>
                <a:pt x="17" y="11"/>
                <a:pt x="34" y="23"/>
                <a:pt x="35" y="43"/>
              </a:cubicBezTo>
              <a:cubicBezTo>
                <a:pt x="36" y="63"/>
                <a:pt x="12" y="110"/>
                <a:pt x="8" y="123"/>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zoomScale="75" zoomScaleNormal="75" workbookViewId="0" topLeftCell="A1">
      <pane ySplit="2" topLeftCell="BM3" activePane="bottomLeft" state="frozen"/>
      <selection pane="topLeft" activeCell="A1" sqref="A1"/>
      <selection pane="bottomLeft" activeCell="V92" sqref="V92"/>
    </sheetView>
  </sheetViews>
  <sheetFormatPr defaultColWidth="9.140625" defaultRowHeight="12.75"/>
  <cols>
    <col min="1" max="3" width="3.421875" style="0" customWidth="1"/>
    <col min="4" max="4" width="24.421875" style="0" customWidth="1"/>
    <col min="5" max="5" width="11.7109375" style="63" customWidth="1"/>
    <col min="6" max="7" width="11.7109375" style="144" customWidth="1"/>
    <col min="8" max="8" width="11.7109375" style="63" customWidth="1"/>
    <col min="9" max="9" width="10.7109375" style="63" customWidth="1"/>
    <col min="10" max="10" width="12.8515625" style="63" customWidth="1"/>
    <col min="11" max="13" width="10.7109375" style="63" customWidth="1"/>
    <col min="14" max="16" width="10.7109375" style="63" hidden="1" customWidth="1"/>
    <col min="17" max="17" width="10.7109375" style="63" customWidth="1"/>
    <col min="18" max="16384" width="8.8515625" style="0" customWidth="1"/>
  </cols>
  <sheetData>
    <row r="1" spans="1:17" s="2" customFormat="1" ht="13.5" thickBot="1">
      <c r="A1" s="109"/>
      <c r="B1" s="110"/>
      <c r="C1" s="110"/>
      <c r="D1" s="111"/>
      <c r="E1" s="4"/>
      <c r="F1" s="5" t="s">
        <v>0</v>
      </c>
      <c r="G1" s="5" t="s">
        <v>1</v>
      </c>
      <c r="H1" s="6"/>
      <c r="I1" s="7" t="s">
        <v>2</v>
      </c>
      <c r="J1" s="7"/>
      <c r="K1" s="6"/>
      <c r="L1" s="5" t="s">
        <v>3</v>
      </c>
      <c r="M1" s="6"/>
      <c r="N1" s="83"/>
      <c r="O1" s="83"/>
      <c r="P1" s="83"/>
      <c r="Q1" s="8"/>
    </row>
    <row r="2" spans="1:17" s="12" customFormat="1" ht="39" customHeight="1" thickBot="1">
      <c r="A2" s="112" t="s">
        <v>4</v>
      </c>
      <c r="B2" s="113"/>
      <c r="C2" s="113"/>
      <c r="D2" s="114"/>
      <c r="E2" s="10" t="s">
        <v>5</v>
      </c>
      <c r="F2" s="10" t="s">
        <v>330</v>
      </c>
      <c r="G2" s="10" t="s">
        <v>7</v>
      </c>
      <c r="H2" s="10" t="s">
        <v>8</v>
      </c>
      <c r="I2" s="11" t="s">
        <v>9</v>
      </c>
      <c r="J2" s="11" t="s">
        <v>10</v>
      </c>
      <c r="K2" s="11" t="s">
        <v>11</v>
      </c>
      <c r="L2" s="11" t="s">
        <v>12</v>
      </c>
      <c r="M2" s="11" t="s">
        <v>13</v>
      </c>
      <c r="N2" s="10"/>
      <c r="O2" s="10"/>
      <c r="P2" s="10"/>
      <c r="Q2" s="10" t="s">
        <v>14</v>
      </c>
    </row>
    <row r="3" spans="1:17" s="341" customFormat="1" ht="13.5" thickBot="1">
      <c r="A3" s="103" t="s">
        <v>16</v>
      </c>
      <c r="B3" s="103"/>
      <c r="C3" s="103"/>
      <c r="D3" s="103"/>
      <c r="E3" s="13"/>
      <c r="F3" s="145"/>
      <c r="G3" s="145"/>
      <c r="H3" s="13"/>
      <c r="I3" s="13"/>
      <c r="J3" s="13"/>
      <c r="K3" s="13"/>
      <c r="L3" s="13"/>
      <c r="M3" s="13"/>
      <c r="N3" s="13"/>
      <c r="O3" s="13"/>
      <c r="P3" s="13"/>
      <c r="Q3" s="13"/>
    </row>
    <row r="4" spans="1:17" s="2" customFormat="1" ht="13.5" thickBot="1">
      <c r="A4" s="609" t="s">
        <v>837</v>
      </c>
      <c r="B4" s="128"/>
      <c r="C4" s="128"/>
      <c r="D4" s="115"/>
      <c r="E4"/>
      <c r="F4" s="146"/>
      <c r="G4" s="146" t="s">
        <v>167</v>
      </c>
      <c r="H4"/>
      <c r="I4" s="75"/>
      <c r="J4" s="18"/>
      <c r="K4" s="18"/>
      <c r="L4" s="18"/>
      <c r="M4" s="351"/>
      <c r="N4" s="18"/>
      <c r="O4" s="18"/>
      <c r="P4" s="18"/>
      <c r="Q4" s="18"/>
    </row>
    <row r="5" spans="1:17" s="2" customFormat="1" ht="13.5" hidden="1" thickBot="1">
      <c r="A5" s="138" t="s">
        <v>18</v>
      </c>
      <c r="B5" s="139"/>
      <c r="C5" s="139"/>
      <c r="D5" s="140"/>
      <c r="E5" s="22" t="s">
        <v>19</v>
      </c>
      <c r="F5" s="147"/>
      <c r="G5" s="147">
        <v>0.025</v>
      </c>
      <c r="H5" s="22"/>
      <c r="I5" s="52">
        <f>G5</f>
        <v>0.025</v>
      </c>
      <c r="J5" s="23"/>
      <c r="K5" s="78"/>
      <c r="L5" s="77">
        <f>I5</f>
        <v>0.025</v>
      </c>
      <c r="M5" s="352"/>
      <c r="N5" s="23"/>
      <c r="O5" s="23"/>
      <c r="P5" s="23"/>
      <c r="Q5" s="23"/>
    </row>
    <row r="6" spans="1:17" s="341" customFormat="1" ht="13.5" hidden="1" thickBot="1">
      <c r="A6" s="103" t="s">
        <v>20</v>
      </c>
      <c r="B6" s="103"/>
      <c r="C6" s="103"/>
      <c r="D6" s="103"/>
      <c r="E6" s="13"/>
      <c r="F6" s="145"/>
      <c r="G6" s="145"/>
      <c r="H6" s="13"/>
      <c r="I6" s="13"/>
      <c r="J6" s="13"/>
      <c r="K6" s="13"/>
      <c r="L6" s="13"/>
      <c r="M6" s="353"/>
      <c r="N6" s="13"/>
      <c r="O6" s="13"/>
      <c r="P6" s="13"/>
      <c r="Q6" s="13"/>
    </row>
    <row r="7" spans="1:17" s="2" customFormat="1" ht="13.5" hidden="1" thickBot="1">
      <c r="A7" s="127" t="s">
        <v>21</v>
      </c>
      <c r="B7" s="128"/>
      <c r="C7" s="128"/>
      <c r="D7" s="115"/>
      <c r="E7" s="15" t="s">
        <v>19</v>
      </c>
      <c r="F7" s="148"/>
      <c r="G7" s="148">
        <v>2034.7</v>
      </c>
      <c r="H7" s="17"/>
      <c r="I7" s="527">
        <f>G7</f>
        <v>2034.7</v>
      </c>
      <c r="J7" s="18"/>
      <c r="K7" s="18"/>
      <c r="L7" s="76">
        <f>I7</f>
        <v>2034.7</v>
      </c>
      <c r="M7" s="351"/>
      <c r="N7" s="18"/>
      <c r="O7" s="18"/>
      <c r="P7" s="18"/>
      <c r="Q7" s="18"/>
    </row>
    <row r="8" spans="1:17" s="2" customFormat="1" ht="13.5" hidden="1" thickBot="1">
      <c r="A8" s="116"/>
      <c r="B8" s="106" t="s">
        <v>22</v>
      </c>
      <c r="C8" s="106"/>
      <c r="D8" s="104"/>
      <c r="E8" s="20" t="s">
        <v>23</v>
      </c>
      <c r="F8" s="147"/>
      <c r="G8" s="147" t="s">
        <v>24</v>
      </c>
      <c r="H8" s="22"/>
      <c r="I8" s="52" t="str">
        <f>G8</f>
        <v>linear</v>
      </c>
      <c r="J8" s="23"/>
      <c r="K8" s="23"/>
      <c r="L8" s="23"/>
      <c r="M8" s="352"/>
      <c r="N8" s="23"/>
      <c r="O8" s="23"/>
      <c r="P8" s="23"/>
      <c r="Q8" s="23"/>
    </row>
    <row r="9" spans="1:17" s="2" customFormat="1" ht="13.5" hidden="1" thickBot="1">
      <c r="A9" s="116"/>
      <c r="B9" s="106" t="s">
        <v>26</v>
      </c>
      <c r="C9" s="106"/>
      <c r="D9" s="104"/>
      <c r="E9" s="20" t="s">
        <v>27</v>
      </c>
      <c r="F9" s="149"/>
      <c r="G9" s="149" t="s">
        <v>28</v>
      </c>
      <c r="H9" s="22"/>
      <c r="I9" s="52" t="str">
        <f>G9</f>
        <v> --</v>
      </c>
      <c r="J9" s="23"/>
      <c r="K9" s="23"/>
      <c r="L9" s="23"/>
      <c r="M9" s="352"/>
      <c r="N9" s="23"/>
      <c r="O9" s="23"/>
      <c r="P9" s="23"/>
      <c r="Q9" s="23"/>
    </row>
    <row r="10" spans="1:17" s="2" customFormat="1" ht="13.5" hidden="1" thickBot="1">
      <c r="A10" s="116" t="s">
        <v>30</v>
      </c>
      <c r="B10" s="106"/>
      <c r="C10" s="106"/>
      <c r="D10" s="104"/>
      <c r="E10" s="20" t="s">
        <v>27</v>
      </c>
      <c r="F10" s="149"/>
      <c r="G10" s="149">
        <v>65</v>
      </c>
      <c r="H10" s="538" t="str">
        <f>IF(J10=-K10,CONCATENATE("±",TEXT(ABS(J10),"0.0##")),CONCATENATE(TEXT(J10,"+0.0##;-0.0##"),"/",TEXT(K10,"+0.0##;-0.0##")))</f>
        <v>±0.5</v>
      </c>
      <c r="I10" s="524">
        <f>G10</f>
        <v>65</v>
      </c>
      <c r="J10" s="151">
        <v>0.5</v>
      </c>
      <c r="K10" s="151">
        <v>-0.5</v>
      </c>
      <c r="L10" s="20">
        <f>I10+((J10+K10)/3)</f>
        <v>65</v>
      </c>
      <c r="M10" s="401">
        <f>(J10^2+K10^2-(K10*J10))/18</f>
        <v>0.041666666666666664</v>
      </c>
      <c r="N10" s="20">
        <f>10*LOG(1/(1/((10^(L10/10))*(L5*1000000))))</f>
        <v>108.97940008672039</v>
      </c>
      <c r="O10" s="20">
        <f>10^(-N10/10)</f>
        <v>1.2649110640673425E-11</v>
      </c>
      <c r="P10" s="20">
        <f>O10*SQRT(M10)</f>
        <v>2.5819888974715926E-12</v>
      </c>
      <c r="Q10" s="155" t="s">
        <v>36</v>
      </c>
    </row>
    <row r="11" spans="1:17" s="2" customFormat="1" ht="13.5" hidden="1" thickBot="1">
      <c r="A11" s="116" t="s">
        <v>33</v>
      </c>
      <c r="B11" s="106"/>
      <c r="C11" s="106"/>
      <c r="D11" s="104"/>
      <c r="E11" s="20" t="s">
        <v>27</v>
      </c>
      <c r="F11" s="149"/>
      <c r="G11" s="149">
        <v>45</v>
      </c>
      <c r="H11" s="538" t="str">
        <f>IF(J11=-K11,CONCATENATE("±",TEXT(ABS(J11),"0.0##")),CONCATENATE(TEXT(J11,"+0.0##;-0.0##"),"/",TEXT(K11,"+0.0##;-0.0##")))</f>
        <v>±0.5</v>
      </c>
      <c r="I11" s="524">
        <f>G11</f>
        <v>45</v>
      </c>
      <c r="J11" s="151">
        <v>0.5</v>
      </c>
      <c r="K11" s="151">
        <v>-0.5</v>
      </c>
      <c r="L11" s="20">
        <f>I11+((J11+K11)/3)</f>
        <v>45</v>
      </c>
      <c r="M11" s="401">
        <f>(J11^2+K11^2-(K11*J11))/18</f>
        <v>0.041666666666666664</v>
      </c>
      <c r="N11" s="20">
        <f>10*LOG(1/(1/((10^(L11/10))*(L5*1000000))))</f>
        <v>88.97940008672037</v>
      </c>
      <c r="O11" s="20">
        <f>10^(-N11/10)</f>
        <v>1.2649110640673497E-09</v>
      </c>
      <c r="P11" s="20">
        <f>O11*SQRT(M11)</f>
        <v>2.5819888974716073E-10</v>
      </c>
      <c r="Q11" s="155" t="s">
        <v>36</v>
      </c>
    </row>
    <row r="12" spans="1:17" s="157" customFormat="1" ht="13.5" hidden="1" thickBot="1">
      <c r="A12" s="152" t="s">
        <v>34</v>
      </c>
      <c r="B12" s="153"/>
      <c r="C12" s="153"/>
      <c r="D12" s="154"/>
      <c r="E12" s="155" t="s">
        <v>35</v>
      </c>
      <c r="F12" s="149"/>
      <c r="G12" s="149">
        <v>76.7</v>
      </c>
      <c r="H12" s="538" t="str">
        <f>IF(J12=-K12,CONCATENATE("±",TEXT(ABS(J12),"0.0##")),CONCATENATE(TEXT(J12,"+0.0##;-0.0##"),"/",TEXT(K12,"+0.0##;-0.0##")))</f>
        <v>±0.5</v>
      </c>
      <c r="I12" s="529">
        <v>77.7</v>
      </c>
      <c r="J12" s="151">
        <v>0.5</v>
      </c>
      <c r="K12" s="151">
        <v>-0.5</v>
      </c>
      <c r="L12" s="155">
        <f>I12+((J12+K12)/3)</f>
        <v>77.7</v>
      </c>
      <c r="M12" s="401">
        <f>(J12^2+K12^2-(K12*J12))/18</f>
        <v>0.041666666666666664</v>
      </c>
      <c r="N12" s="155"/>
      <c r="O12" s="155"/>
      <c r="P12" s="155"/>
      <c r="Q12" s="155" t="s">
        <v>36</v>
      </c>
    </row>
    <row r="13" spans="1:17" s="2" customFormat="1" ht="13.5" hidden="1" thickBot="1">
      <c r="A13" s="143" t="s">
        <v>38</v>
      </c>
      <c r="B13" s="106"/>
      <c r="C13" s="106"/>
      <c r="D13" s="104"/>
      <c r="E13" s="20" t="s">
        <v>27</v>
      </c>
      <c r="F13" s="149"/>
      <c r="G13" s="149">
        <v>0</v>
      </c>
      <c r="H13" s="22"/>
      <c r="I13" s="52">
        <v>0</v>
      </c>
      <c r="J13" s="26">
        <v>0</v>
      </c>
      <c r="K13" s="26">
        <v>0</v>
      </c>
      <c r="L13" s="20">
        <f>I13+((J13+K13)/3)</f>
        <v>0</v>
      </c>
      <c r="M13" s="401">
        <f>(J13^2+K13^2-(K13*J13))/18</f>
        <v>0</v>
      </c>
      <c r="N13" s="20"/>
      <c r="O13" s="20"/>
      <c r="P13" s="20"/>
      <c r="Q13" s="155" t="s">
        <v>36</v>
      </c>
    </row>
    <row r="14" spans="1:17" s="2" customFormat="1" ht="13.5" hidden="1" thickBot="1">
      <c r="A14" s="138" t="s">
        <v>41</v>
      </c>
      <c r="B14" s="139"/>
      <c r="C14" s="139"/>
      <c r="D14" s="140"/>
      <c r="E14" s="15" t="s">
        <v>27</v>
      </c>
      <c r="F14" s="158"/>
      <c r="G14" s="158">
        <v>0.5</v>
      </c>
      <c r="H14" s="538" t="str">
        <f>IF(J14=-K14,CONCATENATE("±",TEXT(ABS(J14),"0.0##")),CONCATENATE(TEXT(J14,"+0.0##;-0.0##"),"/",TEXT(K14,"+0.0##;-0.0##")))</f>
        <v>±0.5</v>
      </c>
      <c r="I14" s="52">
        <v>0.5</v>
      </c>
      <c r="J14" s="551">
        <v>-0.5</v>
      </c>
      <c r="K14" s="551">
        <v>0.5</v>
      </c>
      <c r="L14" s="20">
        <f>I14+((J14+K14)/2)</f>
        <v>0.5</v>
      </c>
      <c r="M14" s="53">
        <f>((J14-K14)^2)/12</f>
        <v>0.08333333333333333</v>
      </c>
      <c r="N14" s="20"/>
      <c r="O14" s="20"/>
      <c r="P14" s="20"/>
      <c r="Q14" s="20" t="s">
        <v>39</v>
      </c>
    </row>
    <row r="15" spans="1:17" s="341" customFormat="1" ht="13.5" hidden="1" thickBot="1">
      <c r="A15" s="103" t="s">
        <v>42</v>
      </c>
      <c r="B15" s="103"/>
      <c r="C15" s="103"/>
      <c r="D15" s="103"/>
      <c r="E15" s="13"/>
      <c r="F15" s="145"/>
      <c r="G15" s="145"/>
      <c r="H15" s="13"/>
      <c r="I15" s="13"/>
      <c r="J15" s="28"/>
      <c r="K15" s="28"/>
      <c r="L15" s="13"/>
      <c r="M15" s="353"/>
      <c r="N15" s="13"/>
      <c r="O15" s="13"/>
      <c r="P15" s="13"/>
      <c r="Q15" s="13"/>
    </row>
    <row r="16" spans="1:17" s="2" customFormat="1" ht="13.5" hidden="1" thickBot="1">
      <c r="A16" s="127"/>
      <c r="B16" s="128" t="s">
        <v>43</v>
      </c>
      <c r="C16" s="128"/>
      <c r="D16" s="115"/>
      <c r="E16" s="15" t="s">
        <v>44</v>
      </c>
      <c r="F16" s="158"/>
      <c r="G16" s="158">
        <v>41126.8</v>
      </c>
      <c r="H16" s="17"/>
      <c r="I16" s="523">
        <v>41126.8</v>
      </c>
      <c r="J16" s="27">
        <v>40037.8</v>
      </c>
      <c r="K16" s="27">
        <v>41392</v>
      </c>
      <c r="L16" s="18"/>
      <c r="M16" s="351"/>
      <c r="N16" s="18"/>
      <c r="O16" s="18"/>
      <c r="P16" s="18"/>
      <c r="Q16" s="18"/>
    </row>
    <row r="17" spans="1:17" s="2" customFormat="1" ht="13.5" hidden="1" thickBot="1">
      <c r="A17" s="116" t="s">
        <v>45</v>
      </c>
      <c r="B17" s="106"/>
      <c r="C17" s="106"/>
      <c r="D17" s="104"/>
      <c r="E17" s="20" t="s">
        <v>27</v>
      </c>
      <c r="F17" s="159"/>
      <c r="G17" s="159">
        <f>(20*LOG(G7*1000000)+20*LOG(4*PI()*G16*1000)-20*LOG(300000000))</f>
        <v>190.89427827126747</v>
      </c>
      <c r="H17" s="30"/>
      <c r="I17" s="160">
        <f>(20*LOG($I$7*1000000)+20*LOG(4*PI()*I16*1000)-20*LOG(300000000))</f>
        <v>190.89427827126747</v>
      </c>
      <c r="J17" s="552">
        <f>(20*LOG($I$7*1000000)+20*LOG(4*PI()*J16*1000)-20*LOG(300000000))-I17</f>
        <v>-0.23309426716758708</v>
      </c>
      <c r="K17" s="556">
        <f>(20*LOG($I$7*1000000)+20*LOG(4*PI()*K16*1000)-20*LOG(300000000))-I17</f>
        <v>0.055829843931235246</v>
      </c>
      <c r="L17" s="40">
        <f>I17+((J17+K17)/3)</f>
        <v>190.8351901301887</v>
      </c>
      <c r="M17" s="401">
        <f>(J17^2+K17^2-(K17*J17))/18</f>
        <v>0.003914640300945144</v>
      </c>
      <c r="N17" s="20">
        <f>10*LOG(1/(1/((10^(L17/10))*(L10*1000000))))</f>
        <v>268.96432369661727</v>
      </c>
      <c r="O17" s="20">
        <f>10^(-N17/10)</f>
        <v>1.2693097918262089E-27</v>
      </c>
      <c r="P17" s="20">
        <f>O17*SQRT(M17)</f>
        <v>7.941701541720892E-29</v>
      </c>
      <c r="Q17" s="155" t="s">
        <v>36</v>
      </c>
    </row>
    <row r="18" spans="1:17" s="2" customFormat="1" ht="13.5" hidden="1" thickBot="1">
      <c r="A18" s="138" t="s">
        <v>47</v>
      </c>
      <c r="B18" s="139"/>
      <c r="C18" s="139"/>
      <c r="D18" s="140"/>
      <c r="E18" s="20" t="s">
        <v>27</v>
      </c>
      <c r="F18" s="149"/>
      <c r="G18" s="149">
        <v>0.36</v>
      </c>
      <c r="H18" s="22" t="s">
        <v>244</v>
      </c>
      <c r="I18" s="525">
        <v>0.36</v>
      </c>
      <c r="J18" s="551">
        <f>-(0.36-0.14)</f>
        <v>-0.21999999999999997</v>
      </c>
      <c r="K18" s="551">
        <f>1.83-0.36</f>
        <v>1.4700000000000002</v>
      </c>
      <c r="L18" s="20">
        <f>I18+((J18+K18)/2)</f>
        <v>0.9850000000000001</v>
      </c>
      <c r="M18" s="53">
        <f>((J18-K18)^2)/36</f>
        <v>0.07933611111111112</v>
      </c>
      <c r="N18" s="20"/>
      <c r="O18" s="20"/>
      <c r="P18" s="20"/>
      <c r="Q18" s="20" t="s">
        <v>32</v>
      </c>
    </row>
    <row r="19" spans="1:17" s="341" customFormat="1" ht="13.5" thickBot="1">
      <c r="A19" s="103" t="s">
        <v>49</v>
      </c>
      <c r="B19" s="103"/>
      <c r="C19" s="103"/>
      <c r="D19" s="103"/>
      <c r="E19" s="13"/>
      <c r="F19" s="145"/>
      <c r="G19" s="145"/>
      <c r="H19" s="13"/>
      <c r="I19" s="13"/>
      <c r="J19" s="13"/>
      <c r="K19" s="13"/>
      <c r="L19" s="13"/>
      <c r="M19" s="353"/>
      <c r="N19" s="13"/>
      <c r="O19" s="13"/>
      <c r="P19" s="13"/>
      <c r="Q19" s="13"/>
    </row>
    <row r="20" spans="1:17" s="2" customFormat="1" ht="12.75">
      <c r="A20" s="116"/>
      <c r="B20" s="106" t="s">
        <v>22</v>
      </c>
      <c r="C20" s="106"/>
      <c r="D20" s="104"/>
      <c r="E20" s="36" t="s">
        <v>23</v>
      </c>
      <c r="F20" s="155"/>
      <c r="G20" s="155" t="s">
        <v>24</v>
      </c>
      <c r="H20" s="22"/>
      <c r="I20" s="52" t="str">
        <f>G20</f>
        <v>linear</v>
      </c>
      <c r="J20" s="23"/>
      <c r="K20" s="23"/>
      <c r="L20" s="23"/>
      <c r="M20" s="352"/>
      <c r="N20" s="23"/>
      <c r="O20" s="23"/>
      <c r="P20" s="23"/>
      <c r="Q20" s="23"/>
    </row>
    <row r="21" spans="1:17" s="2" customFormat="1" ht="12.75">
      <c r="A21" s="116"/>
      <c r="B21" s="106" t="s">
        <v>26</v>
      </c>
      <c r="C21" s="106"/>
      <c r="D21" s="104"/>
      <c r="E21" s="36" t="s">
        <v>27</v>
      </c>
      <c r="F21" s="155"/>
      <c r="G21" s="155" t="s">
        <v>28</v>
      </c>
      <c r="H21" s="22"/>
      <c r="I21" s="52" t="str">
        <f>G21</f>
        <v> --</v>
      </c>
      <c r="J21" s="23"/>
      <c r="K21" s="23"/>
      <c r="L21" s="23"/>
      <c r="M21" s="352"/>
      <c r="N21" s="23"/>
      <c r="O21" s="23"/>
      <c r="P21" s="23"/>
      <c r="Q21" s="23"/>
    </row>
    <row r="22" spans="1:17" s="2" customFormat="1" ht="12.75">
      <c r="A22" s="116" t="s">
        <v>50</v>
      </c>
      <c r="B22" s="106"/>
      <c r="C22" s="106"/>
      <c r="D22" s="104"/>
      <c r="E22" s="36" t="s">
        <v>27</v>
      </c>
      <c r="F22" s="155"/>
      <c r="G22" s="155">
        <v>0.2</v>
      </c>
      <c r="H22" s="538" t="str">
        <f>IF(J22=-K22,CONCATENATE("±",TEXT(ABS(J22),"0.0##")),CONCATENATE(TEXT(J22,"+0.0##;-0.0##"),"/",TEXT(K22,"+0.0##;-0.0##")))</f>
        <v>±0.2</v>
      </c>
      <c r="I22" s="52">
        <v>0.2</v>
      </c>
      <c r="J22" s="26">
        <v>-0.2</v>
      </c>
      <c r="K22" s="26">
        <v>0.2</v>
      </c>
      <c r="L22" s="20">
        <f>I22+((J22+K22)/2)</f>
        <v>0.2</v>
      </c>
      <c r="M22" s="53">
        <f>((J22-K22)^2)/12</f>
        <v>0.013333333333333336</v>
      </c>
      <c r="N22" s="20"/>
      <c r="O22" s="20"/>
      <c r="P22" s="20"/>
      <c r="Q22" s="20" t="s">
        <v>39</v>
      </c>
    </row>
    <row r="23" spans="1:17" s="2" customFormat="1" ht="12.75">
      <c r="A23" s="116" t="s">
        <v>52</v>
      </c>
      <c r="B23" s="106"/>
      <c r="C23" s="106"/>
      <c r="D23" s="104"/>
      <c r="E23" s="36" t="s">
        <v>35</v>
      </c>
      <c r="F23" s="234"/>
      <c r="G23" s="233" t="s">
        <v>171</v>
      </c>
      <c r="H23" s="30"/>
      <c r="I23" s="269" t="s">
        <v>171</v>
      </c>
      <c r="J23" s="38"/>
      <c r="K23" s="38"/>
      <c r="L23" s="38"/>
      <c r="M23" s="352"/>
      <c r="N23" s="38"/>
      <c r="O23" s="38"/>
      <c r="P23" s="38"/>
      <c r="Q23" s="38"/>
    </row>
    <row r="24" spans="1:17" s="2" customFormat="1" ht="12.75">
      <c r="A24" s="116" t="s">
        <v>54</v>
      </c>
      <c r="B24" s="106"/>
      <c r="C24" s="106"/>
      <c r="D24" s="104"/>
      <c r="E24" s="235" t="s">
        <v>35</v>
      </c>
      <c r="F24" s="236"/>
      <c r="G24" s="236">
        <f>G12-G13-G14-G17-G18-G22</f>
        <v>-115.25427827126747</v>
      </c>
      <c r="H24" s="55"/>
      <c r="I24" s="237">
        <f>I12-I13-I14-I17-I18-I22</f>
        <v>-114.25427827126747</v>
      </c>
      <c r="J24" s="238"/>
      <c r="K24" s="33"/>
      <c r="L24" s="34">
        <f>L12-L13-L14-L17-L18-L22</f>
        <v>-114.82019013018869</v>
      </c>
      <c r="M24" s="356">
        <f>M12+M13+M14+M17+M18+M22</f>
        <v>0.22158408474538963</v>
      </c>
      <c r="N24" s="34"/>
      <c r="O24" s="34"/>
      <c r="P24" s="34"/>
      <c r="Q24" s="35" t="s">
        <v>32</v>
      </c>
    </row>
    <row r="25" spans="1:17" s="2" customFormat="1" ht="12.75">
      <c r="A25" s="116"/>
      <c r="B25" s="106" t="s">
        <v>55</v>
      </c>
      <c r="C25" s="106"/>
      <c r="D25" s="104"/>
      <c r="E25" s="36" t="s">
        <v>56</v>
      </c>
      <c r="F25" s="155"/>
      <c r="G25" s="151">
        <v>13.5</v>
      </c>
      <c r="H25" s="538" t="str">
        <f>IF(J25=-K25,CONCATENATE("±",TEXT(ABS(J25),"0.0##")),CONCATENATE(TEXT(J25,"+0.0##;-0.0##"),"/",TEXT(K25,"+0.0##;-0.0##")))</f>
        <v>±0.1</v>
      </c>
      <c r="I25" s="52">
        <f>G25+J25</f>
        <v>13.6</v>
      </c>
      <c r="J25" s="26">
        <v>0.1</v>
      </c>
      <c r="K25" s="26">
        <v>-0.1</v>
      </c>
      <c r="L25" s="20">
        <f>I25+((J25+K25)/3)</f>
        <v>13.6</v>
      </c>
      <c r="M25" s="53">
        <f>(J25^2+K25^2-(K25*J25))/18</f>
        <v>0.001666666666666667</v>
      </c>
      <c r="N25" s="20"/>
      <c r="O25" s="20"/>
      <c r="P25" s="20"/>
      <c r="Q25" s="20" t="s">
        <v>36</v>
      </c>
    </row>
    <row r="26" spans="1:17" s="2" customFormat="1" ht="12.75">
      <c r="A26" s="116"/>
      <c r="B26" s="106" t="s">
        <v>58</v>
      </c>
      <c r="C26" s="106"/>
      <c r="D26" s="104"/>
      <c r="E26" s="36" t="s">
        <v>27</v>
      </c>
      <c r="F26" s="155"/>
      <c r="G26" s="151">
        <v>0.35</v>
      </c>
      <c r="H26" s="538" t="str">
        <f>IF(J26=-K26,CONCATENATE("±",TEXT(ABS(J26),"0.0##")),CONCATENATE(TEXT(J26,"+0.0##;-0.0##"),"/",TEXT(K26,"+0.0##;-0.0##")))</f>
        <v>±0.05</v>
      </c>
      <c r="I26" s="52">
        <f>G26+J26</f>
        <v>0.3</v>
      </c>
      <c r="J26" s="26">
        <v>-0.05</v>
      </c>
      <c r="K26" s="26">
        <v>0.05</v>
      </c>
      <c r="L26" s="40">
        <f>I26+((J26+K26)/3)</f>
        <v>0.3</v>
      </c>
      <c r="M26" s="53">
        <f>(J26^2+K26^2-(K26*J26))/18</f>
        <v>0.00041666666666666675</v>
      </c>
      <c r="N26" s="41"/>
      <c r="O26" s="41"/>
      <c r="P26" s="41"/>
      <c r="Q26" s="20" t="s">
        <v>36</v>
      </c>
    </row>
    <row r="27" spans="1:17" s="2" customFormat="1" ht="12.75">
      <c r="A27" s="116"/>
      <c r="B27" s="106"/>
      <c r="C27" s="106" t="s">
        <v>60</v>
      </c>
      <c r="D27" s="104"/>
      <c r="E27" s="20" t="s">
        <v>61</v>
      </c>
      <c r="F27" s="159"/>
      <c r="G27" s="159">
        <f>G24+G25-G26</f>
        <v>-102.10427827126746</v>
      </c>
      <c r="H27" s="25"/>
      <c r="I27" s="37"/>
      <c r="J27" s="38"/>
      <c r="K27" s="38"/>
      <c r="L27" s="38"/>
      <c r="M27" s="352"/>
      <c r="N27" s="38"/>
      <c r="O27" s="38"/>
      <c r="P27" s="38"/>
      <c r="Q27" s="38"/>
    </row>
    <row r="28" spans="1:17" s="2" customFormat="1" ht="12.75">
      <c r="A28" s="116"/>
      <c r="B28" s="106"/>
      <c r="C28" s="106" t="s">
        <v>63</v>
      </c>
      <c r="D28" s="104"/>
      <c r="E28" s="36" t="s">
        <v>64</v>
      </c>
      <c r="F28" s="155"/>
      <c r="G28" s="151">
        <v>150</v>
      </c>
      <c r="H28" s="77"/>
      <c r="I28" s="52">
        <v>150</v>
      </c>
      <c r="J28" s="26">
        <v>-5</v>
      </c>
      <c r="K28" s="26">
        <v>5</v>
      </c>
      <c r="L28" s="23"/>
      <c r="M28" s="352"/>
      <c r="N28" s="23"/>
      <c r="O28" s="23"/>
      <c r="P28" s="23"/>
      <c r="Q28" s="23"/>
    </row>
    <row r="29" spans="1:17" s="2" customFormat="1" ht="20.25">
      <c r="A29" s="116"/>
      <c r="B29" s="106"/>
      <c r="C29" s="106"/>
      <c r="D29" s="104" t="s">
        <v>67</v>
      </c>
      <c r="E29" s="36" t="s">
        <v>27</v>
      </c>
      <c r="F29" s="155"/>
      <c r="G29" s="151">
        <v>4.61</v>
      </c>
      <c r="H29" s="538" t="str">
        <f>IF(J29=-K29,CONCATENATE("±",TEXT(ABS(J29),"0.0##")),CONCATENATE(TEXT(J29,"+0.0##;-0.0##"),"/",TEXT(K29,"+0.0##;-0.0##")))</f>
        <v>±1.03</v>
      </c>
      <c r="I29" s="612">
        <f>G29+J29</f>
        <v>3.58</v>
      </c>
      <c r="J29" s="614">
        <v>-1.03</v>
      </c>
      <c r="K29" s="614">
        <f>-J29</f>
        <v>1.03</v>
      </c>
      <c r="L29" s="23"/>
      <c r="M29" s="352"/>
      <c r="N29" s="23"/>
      <c r="O29" s="23"/>
      <c r="P29" s="23"/>
      <c r="Q29" s="23"/>
    </row>
    <row r="30" spans="1:17" s="2" customFormat="1" ht="12.75">
      <c r="A30" s="116"/>
      <c r="B30" s="106"/>
      <c r="C30" s="106"/>
      <c r="D30" s="104" t="s">
        <v>70</v>
      </c>
      <c r="E30" s="36" t="s">
        <v>27</v>
      </c>
      <c r="F30" s="155"/>
      <c r="G30" s="155">
        <v>0.2</v>
      </c>
      <c r="H30" s="25" t="s">
        <v>68</v>
      </c>
      <c r="I30" s="525">
        <v>0.2</v>
      </c>
      <c r="J30" s="26">
        <v>0</v>
      </c>
      <c r="K30" s="26">
        <v>0</v>
      </c>
      <c r="L30" s="23"/>
      <c r="M30" s="352"/>
      <c r="N30" s="23"/>
      <c r="O30" s="23"/>
      <c r="P30" s="23"/>
      <c r="Q30" s="23"/>
    </row>
    <row r="31" spans="1:17" s="2" customFormat="1" ht="12.75">
      <c r="A31" s="116"/>
      <c r="B31" s="106"/>
      <c r="C31" s="106" t="s">
        <v>71</v>
      </c>
      <c r="D31" s="104"/>
      <c r="E31" s="36" t="s">
        <v>64</v>
      </c>
      <c r="F31" s="44"/>
      <c r="G31" s="44">
        <f>290*(10^((G29+G30)*0.1)-1)</f>
        <v>587.8048941493788</v>
      </c>
      <c r="H31" s="22"/>
      <c r="I31" s="43">
        <f>290*(10^((I29+I30)/10)-1)</f>
        <v>402.4652720448216</v>
      </c>
      <c r="J31" s="44">
        <f>(290*(10^((I29+J29+I30+J30)*0.1)-1))-I31</f>
        <v>-146.20703609277933</v>
      </c>
      <c r="K31" s="44">
        <f>(290*(10^((I29+K29+I30+K30)*0.1)-1))-I31</f>
        <v>185.33962210455724</v>
      </c>
      <c r="L31" s="23"/>
      <c r="M31" s="352"/>
      <c r="N31" s="23"/>
      <c r="O31" s="23"/>
      <c r="P31" s="23"/>
      <c r="Q31" s="23"/>
    </row>
    <row r="32" spans="1:17" s="2" customFormat="1" ht="12.75">
      <c r="A32" s="116"/>
      <c r="B32" s="106" t="s">
        <v>73</v>
      </c>
      <c r="C32" s="106"/>
      <c r="D32" s="104"/>
      <c r="E32" s="36" t="s">
        <v>74</v>
      </c>
      <c r="F32" s="44"/>
      <c r="G32" s="44">
        <f>10*LOG(G28+G31)</f>
        <v>28.67941531746056</v>
      </c>
      <c r="H32" s="22"/>
      <c r="I32" s="43">
        <f>10*LOG(I28+I31)</f>
        <v>27.42304983473304</v>
      </c>
      <c r="J32" s="44">
        <f>(10*LOG(I28+J28+I31+J31))-I32</f>
        <v>-1.388810239374667</v>
      </c>
      <c r="K32" s="44">
        <f>(10*LOG(I28+K28+I31+K31))-I32</f>
        <v>1.2856977305791055</v>
      </c>
      <c r="L32" s="40">
        <f>I32+((J32+K32)/2)</f>
        <v>27.371493580335258</v>
      </c>
      <c r="M32" s="53">
        <f>((J32-K32)^2)/36</f>
        <v>0.1986942467040625</v>
      </c>
      <c r="N32" s="41"/>
      <c r="O32" s="41"/>
      <c r="P32" s="41"/>
      <c r="Q32" s="20" t="s">
        <v>32</v>
      </c>
    </row>
    <row r="33" spans="1:17" s="2" customFormat="1" ht="12.75">
      <c r="A33" s="116" t="s">
        <v>76</v>
      </c>
      <c r="B33" s="106"/>
      <c r="C33" s="106"/>
      <c r="D33" s="104"/>
      <c r="E33" s="36" t="s">
        <v>77</v>
      </c>
      <c r="F33" s="161"/>
      <c r="G33" s="161">
        <f>G25-G26-G32</f>
        <v>-15.52941531746056</v>
      </c>
      <c r="H33" s="22"/>
      <c r="I33" s="43">
        <f>I25-I26-I32</f>
        <v>-14.12304983473304</v>
      </c>
      <c r="J33" s="23"/>
      <c r="K33" s="23"/>
      <c r="L33" s="44">
        <f>L25-L26-L32</f>
        <v>-14.07149358033526</v>
      </c>
      <c r="M33" s="355">
        <f>M25+M26+M32</f>
        <v>0.20077758003739582</v>
      </c>
      <c r="N33" s="44"/>
      <c r="O33" s="44"/>
      <c r="P33" s="44"/>
      <c r="Q33" s="26" t="s">
        <v>32</v>
      </c>
    </row>
    <row r="34" spans="1:17" s="2" customFormat="1" ht="12.75">
      <c r="A34" s="116" t="s">
        <v>78</v>
      </c>
      <c r="B34" s="106"/>
      <c r="C34" s="106"/>
      <c r="D34" s="104"/>
      <c r="E34" s="36" t="s">
        <v>79</v>
      </c>
      <c r="F34" s="164"/>
      <c r="G34" s="164">
        <v>-198.6</v>
      </c>
      <c r="H34" s="22"/>
      <c r="I34" s="52">
        <v>-198.6</v>
      </c>
      <c r="J34" s="23"/>
      <c r="K34" s="23"/>
      <c r="L34" s="20">
        <f>I34</f>
        <v>-198.6</v>
      </c>
      <c r="M34" s="53">
        <v>0</v>
      </c>
      <c r="N34" s="20"/>
      <c r="O34" s="20"/>
      <c r="P34" s="20"/>
      <c r="Q34" s="20" t="s">
        <v>80</v>
      </c>
    </row>
    <row r="35" spans="1:17" s="2" customFormat="1" ht="12.75">
      <c r="A35" s="116" t="s">
        <v>82</v>
      </c>
      <c r="B35" s="106"/>
      <c r="C35" s="106"/>
      <c r="D35" s="104"/>
      <c r="E35" s="36" t="s">
        <v>83</v>
      </c>
      <c r="F35" s="44"/>
      <c r="G35" s="44">
        <f>G24+G33-G34</f>
        <v>67.81630641127197</v>
      </c>
      <c r="H35" s="22"/>
      <c r="I35" s="43">
        <f>I24+I33-I34</f>
        <v>70.22267189399949</v>
      </c>
      <c r="J35" s="23"/>
      <c r="K35" s="23"/>
      <c r="L35" s="44">
        <f>L24+L33-L34</f>
        <v>69.70831628947604</v>
      </c>
      <c r="M35" s="355">
        <f>M24+M33+M34</f>
        <v>0.4223616647827855</v>
      </c>
      <c r="N35" s="47"/>
      <c r="O35" s="20">
        <f>10^(-L35/10)</f>
        <v>1.0694694200438452E-07</v>
      </c>
      <c r="P35" s="20">
        <f>O35*SQRT(M35)</f>
        <v>6.950413096465043E-08</v>
      </c>
      <c r="Q35" s="26" t="s">
        <v>32</v>
      </c>
    </row>
    <row r="36" spans="1:17" s="2" customFormat="1" ht="13.5" thickBot="1">
      <c r="A36" s="138" t="s">
        <v>84</v>
      </c>
      <c r="B36" s="139"/>
      <c r="C36" s="139"/>
      <c r="D36" s="140"/>
      <c r="E36" s="31" t="s">
        <v>83</v>
      </c>
      <c r="F36" s="165"/>
      <c r="G36" s="165">
        <f>10*LOG(1/(1/((10^(G10/10))*(G5*1000000))+1/((10^(G11/10))*(G5*1000000))+1/(10^(G35/10))))</f>
        <v>67.78287737982176</v>
      </c>
      <c r="H36" s="142"/>
      <c r="I36" s="166">
        <f>10*LOG(1/(1/((10^(I10/10))*(I5*1000000))+1/((10^(I11/10))*(I5*1000000))+1/(10^(I35/10))))</f>
        <v>70.16465840802891</v>
      </c>
      <c r="J36" s="18"/>
      <c r="K36" s="18"/>
      <c r="L36" s="165">
        <f>10*LOG(1/(1/((10^(L10/10))*(L5*1000000))+1/((10^(L11/10))*(L5*1000000))+1/(10^(L35/10))))</f>
        <v>69.65674403217466</v>
      </c>
      <c r="M36" s="402">
        <f>(P36/O36)^2</f>
        <v>0.4155496357818693</v>
      </c>
      <c r="N36" s="49"/>
      <c r="O36" s="87">
        <f>O10+O11+O35</f>
        <v>1.0822450217909254E-07</v>
      </c>
      <c r="P36" s="87">
        <f>P10+P11+P35</f>
        <v>6.976491184329505E-08</v>
      </c>
      <c r="Q36" s="26" t="s">
        <v>32</v>
      </c>
    </row>
    <row r="37" spans="1:17" s="341" customFormat="1" ht="13.5" thickBot="1">
      <c r="A37" s="103" t="s">
        <v>86</v>
      </c>
      <c r="B37" s="103"/>
      <c r="C37" s="103"/>
      <c r="D37" s="103"/>
      <c r="E37" s="13"/>
      <c r="F37" s="145"/>
      <c r="G37" s="145"/>
      <c r="H37" s="13"/>
      <c r="I37" s="13"/>
      <c r="J37" s="13"/>
      <c r="K37" s="13"/>
      <c r="L37" s="13"/>
      <c r="M37" s="353"/>
      <c r="N37" s="13"/>
      <c r="O37" s="13"/>
      <c r="P37" s="13"/>
      <c r="Q37" s="13"/>
    </row>
    <row r="38" spans="1:17" s="2" customFormat="1" ht="12.75">
      <c r="A38" s="127" t="s">
        <v>87</v>
      </c>
      <c r="B38" s="128"/>
      <c r="C38" s="128"/>
      <c r="D38" s="115"/>
      <c r="E38" s="15" t="s">
        <v>19</v>
      </c>
      <c r="F38" s="148"/>
      <c r="G38" s="148">
        <v>1692.7</v>
      </c>
      <c r="H38" s="17"/>
      <c r="I38" s="523">
        <f>G38</f>
        <v>1692.7</v>
      </c>
      <c r="J38" s="18"/>
      <c r="K38" s="18"/>
      <c r="L38" s="18"/>
      <c r="M38" s="351"/>
      <c r="N38" s="18"/>
      <c r="O38" s="18"/>
      <c r="P38" s="18"/>
      <c r="Q38" s="18"/>
    </row>
    <row r="39" spans="1:17" s="2" customFormat="1" ht="12.75">
      <c r="A39" s="116"/>
      <c r="B39" s="106"/>
      <c r="C39" s="106" t="s">
        <v>88</v>
      </c>
      <c r="D39" s="104"/>
      <c r="E39" s="20" t="s">
        <v>89</v>
      </c>
      <c r="F39" s="167"/>
      <c r="G39" s="539">
        <v>2.89</v>
      </c>
      <c r="H39" s="77"/>
      <c r="I39" s="524">
        <f>(10^(I40/10))/1000</f>
        <v>3.4347714372929854</v>
      </c>
      <c r="J39" s="23"/>
      <c r="K39" s="23"/>
      <c r="L39" s="23"/>
      <c r="M39" s="352"/>
      <c r="N39" s="23"/>
      <c r="O39" s="23"/>
      <c r="P39" s="23"/>
      <c r="Q39" s="23"/>
    </row>
    <row r="40" spans="1:17" s="2" customFormat="1" ht="12.75">
      <c r="A40" s="116"/>
      <c r="B40" s="106" t="s">
        <v>88</v>
      </c>
      <c r="C40" s="106"/>
      <c r="D40" s="104"/>
      <c r="E40" s="20" t="s">
        <v>61</v>
      </c>
      <c r="F40" s="168"/>
      <c r="G40" s="599">
        <f>10*LOG(G39)+30</f>
        <v>34.608978427565475</v>
      </c>
      <c r="H40" s="538" t="str">
        <f>IF(J40=-K40,CONCATENATE("±",TEXT(ABS(J40),"0.0##")),CONCATENATE(TEXT(J40,"+0.0##;-0.0##"),"/",TEXT(K40,"+0.0##;-0.0##")))</f>
        <v>±0.75</v>
      </c>
      <c r="I40" s="525">
        <f>G40+J40</f>
        <v>35.358978427565475</v>
      </c>
      <c r="J40" s="26">
        <v>0.75</v>
      </c>
      <c r="K40" s="26">
        <v>-0.75</v>
      </c>
      <c r="L40" s="40">
        <f>I40+((J40+K40)/3)</f>
        <v>35.358978427565475</v>
      </c>
      <c r="M40" s="53">
        <f>(J40^2+K40^2-(K40*J40))/18</f>
        <v>0.09375</v>
      </c>
      <c r="N40" s="41"/>
      <c r="O40" s="41"/>
      <c r="P40" s="41"/>
      <c r="Q40" s="20" t="s">
        <v>36</v>
      </c>
    </row>
    <row r="41" spans="1:17" s="2" customFormat="1" ht="12.75">
      <c r="A41" s="116"/>
      <c r="B41" s="106" t="s">
        <v>92</v>
      </c>
      <c r="C41" s="106"/>
      <c r="D41" s="104"/>
      <c r="E41" s="20" t="s">
        <v>27</v>
      </c>
      <c r="F41" s="169"/>
      <c r="G41" s="151">
        <v>2.5</v>
      </c>
      <c r="H41" s="538" t="str">
        <f>IF(J41=-K41,CONCATENATE("±",TEXT(ABS(J41),"0.0##")),CONCATENATE(TEXT(J41,"+0.0##;-0.0##"),"/",TEXT(K41,"+0.0##;-0.0##")))</f>
        <v>±0.625</v>
      </c>
      <c r="I41" s="52">
        <f>G41+J41</f>
        <v>1.875</v>
      </c>
      <c r="J41" s="26">
        <v>-0.625</v>
      </c>
      <c r="K41" s="26">
        <v>0.625</v>
      </c>
      <c r="L41" s="40">
        <f>I41+((J41+K41)/2)</f>
        <v>1.875</v>
      </c>
      <c r="M41" s="53">
        <f>((J41-K41)^2)/12</f>
        <v>0.13020833333333334</v>
      </c>
      <c r="N41" s="41"/>
      <c r="O41" s="41"/>
      <c r="P41" s="41"/>
      <c r="Q41" s="20" t="s">
        <v>39</v>
      </c>
    </row>
    <row r="42" spans="1:17" s="2" customFormat="1" ht="12.75">
      <c r="A42" s="116"/>
      <c r="B42" s="106" t="s">
        <v>94</v>
      </c>
      <c r="C42" s="106"/>
      <c r="D42" s="104"/>
      <c r="E42" s="20" t="s">
        <v>27</v>
      </c>
      <c r="F42" s="149"/>
      <c r="G42" s="151">
        <v>1.66</v>
      </c>
      <c r="H42" s="538" t="str">
        <f>IF(J42=-K42,CONCATENATE("±",TEXT(ABS(J42),"0.0##")),CONCATENATE(TEXT(J42,"+0.0##;-0.0##"),"/",TEXT(K42,"+0.0##;-0.0##")))</f>
        <v>±0.22</v>
      </c>
      <c r="I42" s="52">
        <f>G42+J42</f>
        <v>1.44</v>
      </c>
      <c r="J42" s="26">
        <v>-0.22</v>
      </c>
      <c r="K42" s="26">
        <v>0.22</v>
      </c>
      <c r="L42" s="40">
        <f>I42+((J42+K42)/2)</f>
        <v>1.44</v>
      </c>
      <c r="M42" s="53">
        <f>((J42-K42)^2)/12</f>
        <v>0.016133333333333333</v>
      </c>
      <c r="N42" s="41"/>
      <c r="O42" s="41"/>
      <c r="P42" s="41"/>
      <c r="Q42" s="20" t="s">
        <v>39</v>
      </c>
    </row>
    <row r="43" spans="1:17" s="2" customFormat="1" ht="20.25">
      <c r="A43" s="116"/>
      <c r="B43" s="106"/>
      <c r="C43" s="106" t="s">
        <v>96</v>
      </c>
      <c r="D43" s="104"/>
      <c r="E43" s="20" t="s">
        <v>61</v>
      </c>
      <c r="F43" s="159"/>
      <c r="G43" s="84">
        <f>G40-G41-G42</f>
        <v>30.448978427565475</v>
      </c>
      <c r="H43" s="675"/>
      <c r="I43" s="612">
        <f>I40-I41-I42</f>
        <v>32.04397842756548</v>
      </c>
      <c r="J43" s="613">
        <f>3*SQRT(M43)</f>
        <v>1.4699744895745641</v>
      </c>
      <c r="K43" s="613">
        <f>-3*SQRT(M43)</f>
        <v>-1.4699744895745641</v>
      </c>
      <c r="L43" s="99">
        <f>L40-L41-L42</f>
        <v>32.04397842756548</v>
      </c>
      <c r="M43" s="591">
        <f>M40+M41+M42</f>
        <v>0.24009166666666668</v>
      </c>
      <c r="N43" s="99"/>
      <c r="O43" s="99"/>
      <c r="P43" s="99"/>
      <c r="Q43" s="26" t="s">
        <v>32</v>
      </c>
    </row>
    <row r="44" spans="1:17" s="2" customFormat="1" ht="12.75">
      <c r="A44" s="116"/>
      <c r="B44" s="106" t="s">
        <v>58</v>
      </c>
      <c r="C44" s="106"/>
      <c r="D44" s="104"/>
      <c r="E44" s="20" t="s">
        <v>27</v>
      </c>
      <c r="F44" s="149"/>
      <c r="G44" s="539">
        <v>0.44</v>
      </c>
      <c r="H44" s="538" t="str">
        <f>IF(J44=-K44,CONCATENATE("±",TEXT(ABS(J44),"0.0##")),CONCATENATE(TEXT(J44,"+0.0##;-0.0##"),"/",TEXT(K44,"+0.0##;-0.0##")))</f>
        <v>±0.05</v>
      </c>
      <c r="I44" s="52">
        <f>G44+J44</f>
        <v>0.39</v>
      </c>
      <c r="J44" s="26">
        <v>-0.05</v>
      </c>
      <c r="K44" s="26">
        <v>0.05</v>
      </c>
      <c r="L44" s="40">
        <f>I44+((J44+K44)/2)</f>
        <v>0.39</v>
      </c>
      <c r="M44" s="53">
        <f>((J44-K44)^2)/12</f>
        <v>0.0008333333333333335</v>
      </c>
      <c r="N44" s="41"/>
      <c r="O44" s="41"/>
      <c r="P44" s="41"/>
      <c r="Q44" s="20" t="s">
        <v>39</v>
      </c>
    </row>
    <row r="45" spans="1:17" s="2" customFormat="1" ht="12.75">
      <c r="A45" s="116"/>
      <c r="B45" s="106" t="s">
        <v>55</v>
      </c>
      <c r="C45" s="106"/>
      <c r="D45" s="104"/>
      <c r="E45" s="20" t="s">
        <v>56</v>
      </c>
      <c r="F45" s="149"/>
      <c r="G45" s="539">
        <v>14.5</v>
      </c>
      <c r="H45" s="538" t="str">
        <f>IF(J45=-K45,CONCATENATE("±",TEXT(ABS(J45),"0.0##")),CONCATENATE(TEXT(J45,"+0.0##;-0.0##"),"/",TEXT(K45,"+0.0##;-0.0##")))</f>
        <v>±0.15</v>
      </c>
      <c r="I45" s="52">
        <f>G45+J45</f>
        <v>14.65</v>
      </c>
      <c r="J45" s="26">
        <v>0.15</v>
      </c>
      <c r="K45" s="26">
        <v>-0.15</v>
      </c>
      <c r="L45" s="40">
        <f>I45+((J45+K45)/3)</f>
        <v>14.65</v>
      </c>
      <c r="M45" s="53">
        <f>(J45^2+K45^2-(K45*J45))/18</f>
        <v>0.0037500000000000003</v>
      </c>
      <c r="N45" s="41"/>
      <c r="O45" s="41"/>
      <c r="P45" s="41"/>
      <c r="Q45" s="20" t="s">
        <v>36</v>
      </c>
    </row>
    <row r="46" spans="1:17" s="2" customFormat="1" ht="12.75">
      <c r="A46" s="116"/>
      <c r="B46" s="106"/>
      <c r="C46" s="106" t="s">
        <v>22</v>
      </c>
      <c r="D46" s="104"/>
      <c r="E46" s="36" t="s">
        <v>23</v>
      </c>
      <c r="F46" s="164"/>
      <c r="G46" s="164" t="s">
        <v>24</v>
      </c>
      <c r="H46" s="22"/>
      <c r="I46" s="52" t="str">
        <f>G46</f>
        <v>linear</v>
      </c>
      <c r="J46" s="23"/>
      <c r="K46" s="23"/>
      <c r="L46" s="23"/>
      <c r="M46" s="352"/>
      <c r="N46" s="23"/>
      <c r="O46" s="23"/>
      <c r="P46" s="23"/>
      <c r="Q46" s="23"/>
    </row>
    <row r="47" spans="1:17" s="2" customFormat="1" ht="12.75">
      <c r="A47" s="116"/>
      <c r="B47" s="106"/>
      <c r="C47" s="106" t="s">
        <v>26</v>
      </c>
      <c r="D47" s="104"/>
      <c r="E47" s="36" t="s">
        <v>27</v>
      </c>
      <c r="F47" s="155"/>
      <c r="G47" s="155" t="s">
        <v>28</v>
      </c>
      <c r="H47" s="22"/>
      <c r="I47" s="52" t="str">
        <f>G47</f>
        <v> --</v>
      </c>
      <c r="J47" s="23"/>
      <c r="K47" s="23"/>
      <c r="L47" s="23"/>
      <c r="M47" s="352"/>
      <c r="N47" s="23"/>
      <c r="O47" s="23"/>
      <c r="P47" s="23"/>
      <c r="Q47" s="23"/>
    </row>
    <row r="48" spans="1:17" s="2" customFormat="1" ht="12.75">
      <c r="A48" s="116" t="s">
        <v>34</v>
      </c>
      <c r="B48" s="106"/>
      <c r="C48" s="106"/>
      <c r="D48" s="104"/>
      <c r="E48" s="20" t="s">
        <v>35</v>
      </c>
      <c r="F48" s="159"/>
      <c r="G48" s="159">
        <f>G40-G41-G42-G44+G45</f>
        <v>44.508978427565474</v>
      </c>
      <c r="H48" s="22"/>
      <c r="I48" s="43">
        <f>I40-I41-I42-I44+I45</f>
        <v>46.303978427565475</v>
      </c>
      <c r="J48" s="23"/>
      <c r="K48" s="531"/>
      <c r="L48" s="44">
        <f>L40-L41-L42-L44+L45</f>
        <v>46.303978427565475</v>
      </c>
      <c r="M48" s="480">
        <f>M40+M41+M42+M44+M45</f>
        <v>0.244675</v>
      </c>
      <c r="N48" s="84"/>
      <c r="O48" s="84"/>
      <c r="P48" s="84"/>
      <c r="Q48" s="20" t="s">
        <v>32</v>
      </c>
    </row>
    <row r="49" spans="1:17" s="2" customFormat="1" ht="12.75">
      <c r="A49" s="143" t="s">
        <v>38</v>
      </c>
      <c r="B49" s="106"/>
      <c r="C49" s="106"/>
      <c r="D49" s="104"/>
      <c r="E49" s="20" t="s">
        <v>27</v>
      </c>
      <c r="F49" s="149"/>
      <c r="G49" s="149">
        <v>0</v>
      </c>
      <c r="H49" s="22"/>
      <c r="I49" s="52">
        <v>0</v>
      </c>
      <c r="J49" s="26">
        <v>0</v>
      </c>
      <c r="K49" s="26">
        <v>0</v>
      </c>
      <c r="L49" s="20">
        <f>I49+((J49+K49)/2)</f>
        <v>0</v>
      </c>
      <c r="M49" s="53">
        <f>((J49-K49)^2)/12</f>
        <v>0</v>
      </c>
      <c r="N49" s="20"/>
      <c r="O49" s="20"/>
      <c r="P49" s="20"/>
      <c r="Q49" s="20" t="s">
        <v>39</v>
      </c>
    </row>
    <row r="50" spans="1:17" s="2" customFormat="1" ht="12.75">
      <c r="A50" s="116" t="s">
        <v>99</v>
      </c>
      <c r="B50" s="106"/>
      <c r="C50" s="106"/>
      <c r="D50" s="104"/>
      <c r="E50" s="20"/>
      <c r="F50" s="149"/>
      <c r="G50" s="149">
        <v>1</v>
      </c>
      <c r="H50" s="22"/>
      <c r="I50" s="52">
        <v>1</v>
      </c>
      <c r="J50" s="23"/>
      <c r="K50" s="23"/>
      <c r="L50" s="23"/>
      <c r="M50" s="352"/>
      <c r="N50" s="23"/>
      <c r="O50" s="23"/>
      <c r="P50" s="23"/>
      <c r="Q50" s="23"/>
    </row>
    <row r="51" spans="1:17" s="2" customFormat="1" ht="13.5" thickBot="1">
      <c r="A51" s="138" t="s">
        <v>101</v>
      </c>
      <c r="B51" s="139"/>
      <c r="C51" s="139"/>
      <c r="D51" s="140"/>
      <c r="E51" s="15" t="s">
        <v>35</v>
      </c>
      <c r="F51" s="415"/>
      <c r="G51" s="213">
        <f>G48-G49-10*LOG(G50)</f>
        <v>44.508978427565474</v>
      </c>
      <c r="H51" s="17"/>
      <c r="I51" s="32">
        <f>I48-I49-10*LOG(I50)</f>
        <v>46.303978427565475</v>
      </c>
      <c r="J51" s="18"/>
      <c r="K51" s="532"/>
      <c r="L51" s="213">
        <f>L48-L49-10*LOG(I50)</f>
        <v>46.303978427565475</v>
      </c>
      <c r="M51" s="355">
        <f>M48+M49</f>
        <v>0.244675</v>
      </c>
      <c r="N51" s="44"/>
      <c r="O51" s="44"/>
      <c r="P51" s="44"/>
      <c r="Q51" s="20" t="s">
        <v>32</v>
      </c>
    </row>
    <row r="52" spans="1:17" s="341" customFormat="1" ht="13.5" hidden="1" thickBot="1">
      <c r="A52" s="103" t="s">
        <v>103</v>
      </c>
      <c r="B52" s="103"/>
      <c r="C52" s="103"/>
      <c r="D52" s="103"/>
      <c r="E52" s="13"/>
      <c r="F52" s="145"/>
      <c r="G52" s="145"/>
      <c r="H52" s="13"/>
      <c r="I52" s="13"/>
      <c r="J52" s="13"/>
      <c r="K52" s="13"/>
      <c r="L52" s="371"/>
      <c r="M52" s="353"/>
      <c r="N52" s="13"/>
      <c r="O52" s="13"/>
      <c r="P52" s="13"/>
      <c r="Q52" s="13"/>
    </row>
    <row r="53" spans="1:17" s="2" customFormat="1" ht="13.5" hidden="1" thickBot="1">
      <c r="A53" s="127"/>
      <c r="B53" s="128" t="s">
        <v>43</v>
      </c>
      <c r="C53" s="128"/>
      <c r="D53" s="115"/>
      <c r="E53" s="15" t="s">
        <v>44</v>
      </c>
      <c r="F53" s="158"/>
      <c r="G53" s="158">
        <v>41126.8</v>
      </c>
      <c r="H53" s="17"/>
      <c r="I53" s="523">
        <v>41126.8</v>
      </c>
      <c r="J53" s="27">
        <v>40037.8</v>
      </c>
      <c r="K53" s="27">
        <v>41392</v>
      </c>
      <c r="L53" s="18"/>
      <c r="M53" s="351"/>
      <c r="N53" s="18"/>
      <c r="O53" s="18"/>
      <c r="P53" s="18"/>
      <c r="Q53" s="18"/>
    </row>
    <row r="54" spans="1:17" s="2" customFormat="1" ht="13.5" hidden="1" thickBot="1">
      <c r="A54" s="116" t="s">
        <v>45</v>
      </c>
      <c r="B54" s="106"/>
      <c r="C54" s="106"/>
      <c r="D54" s="104"/>
      <c r="E54" s="20" t="s">
        <v>27</v>
      </c>
      <c r="F54" s="159"/>
      <c r="G54" s="159">
        <f>(20*LOG(G38*1000000)+20*LOG(4*PI()*G53*1000)-20*LOG(300000000))</f>
        <v>189.29587045366526</v>
      </c>
      <c r="H54" s="30"/>
      <c r="I54" s="160">
        <f>(20*LOG($I$38*1000000)+20*LOG(4*PI()*I53*1000)-20*LOG(300000000))</f>
        <v>189.29587045366526</v>
      </c>
      <c r="J54" s="552">
        <f>(20*LOG($I$38*1000000)+20*LOG(4*PI()*J53*1000)-20*LOG(300000000))-I54</f>
        <v>-0.23309426716758708</v>
      </c>
      <c r="K54" s="552">
        <f>(20*LOG($I$38*1000000)+20*LOG(4*PI()*K53*1000)-20*LOG(300000000))-I54</f>
        <v>0.055829843931235246</v>
      </c>
      <c r="L54" s="40">
        <f>I54+((J54+K54)/3)</f>
        <v>189.23678231258648</v>
      </c>
      <c r="M54" s="53">
        <f>(J54^2+K54^2-(K54*J54))/18</f>
        <v>0.003914640300945144</v>
      </c>
      <c r="N54" s="41"/>
      <c r="O54" s="41"/>
      <c r="P54" s="41"/>
      <c r="Q54" s="20" t="s">
        <v>36</v>
      </c>
    </row>
    <row r="55" spans="1:17" s="2" customFormat="1" ht="13.5" hidden="1" thickBot="1">
      <c r="A55" s="138" t="s">
        <v>47</v>
      </c>
      <c r="B55" s="139"/>
      <c r="C55" s="139"/>
      <c r="D55" s="140"/>
      <c r="E55" s="20" t="s">
        <v>27</v>
      </c>
      <c r="F55" s="149"/>
      <c r="G55" s="149">
        <v>0.35</v>
      </c>
      <c r="H55" s="22" t="s">
        <v>104</v>
      </c>
      <c r="I55" s="52">
        <v>0.35</v>
      </c>
      <c r="J55" s="551">
        <f>-(0.35-0.13)</f>
        <v>-0.21999999999999997</v>
      </c>
      <c r="K55" s="551">
        <f>-(0.35-1.67)</f>
        <v>1.3199999999999998</v>
      </c>
      <c r="L55" s="20">
        <f>I55+((J55+K55)/2)</f>
        <v>0.8999999999999999</v>
      </c>
      <c r="M55" s="53">
        <f>((J55-K55)^2)/36</f>
        <v>0.06587777777777776</v>
      </c>
      <c r="N55" s="20"/>
      <c r="O55" s="20"/>
      <c r="P55" s="20"/>
      <c r="Q55" s="20" t="s">
        <v>32</v>
      </c>
    </row>
    <row r="56" spans="1:17" s="341" customFormat="1" ht="13.5" hidden="1" thickBot="1">
      <c r="A56" s="103" t="s">
        <v>105</v>
      </c>
      <c r="B56" s="103"/>
      <c r="C56" s="103"/>
      <c r="D56" s="103"/>
      <c r="E56" s="13"/>
      <c r="F56" s="145"/>
      <c r="G56" s="145"/>
      <c r="H56" s="13"/>
      <c r="I56" s="13"/>
      <c r="J56" s="13"/>
      <c r="K56" s="13"/>
      <c r="L56" s="13"/>
      <c r="M56" s="353"/>
      <c r="N56" s="13"/>
      <c r="O56" s="13"/>
      <c r="P56" s="13"/>
      <c r="Q56" s="13"/>
    </row>
    <row r="57" spans="1:17" s="2" customFormat="1" ht="13.5" hidden="1" thickBot="1">
      <c r="A57" s="127" t="s">
        <v>106</v>
      </c>
      <c r="B57" s="128"/>
      <c r="C57" s="128"/>
      <c r="D57" s="115"/>
      <c r="E57" s="15" t="s">
        <v>35</v>
      </c>
      <c r="F57" s="170"/>
      <c r="G57" s="170">
        <f>G51-G54-G55</f>
        <v>-145.1368920260998</v>
      </c>
      <c r="H57" s="17"/>
      <c r="I57" s="32">
        <f>I51-I54-I55</f>
        <v>-143.34189202609977</v>
      </c>
      <c r="J57" s="18"/>
      <c r="K57" s="18"/>
      <c r="L57" s="34">
        <f>L51-L54-L55</f>
        <v>-143.832803885021</v>
      </c>
      <c r="M57" s="356">
        <f>M51+M54+M55</f>
        <v>0.3144674180787229</v>
      </c>
      <c r="N57" s="34"/>
      <c r="O57" s="34"/>
      <c r="P57" s="34"/>
      <c r="Q57" s="18"/>
    </row>
    <row r="58" spans="1:17" s="2" customFormat="1" ht="13.5" hidden="1" thickBot="1">
      <c r="A58" s="116" t="s">
        <v>107</v>
      </c>
      <c r="B58" s="106"/>
      <c r="C58" s="106"/>
      <c r="D58" s="104"/>
      <c r="E58" s="20" t="s">
        <v>108</v>
      </c>
      <c r="F58" s="149"/>
      <c r="G58" s="149">
        <v>-154</v>
      </c>
      <c r="H58" s="25"/>
      <c r="I58" s="37"/>
      <c r="J58" s="38"/>
      <c r="K58" s="38"/>
      <c r="L58" s="38"/>
      <c r="M58" s="352"/>
      <c r="N58" s="38"/>
      <c r="O58" s="38"/>
      <c r="P58" s="38"/>
      <c r="Q58" s="38"/>
    </row>
    <row r="59" spans="1:17" s="2" customFormat="1" ht="13.5" hidden="1" thickBot="1">
      <c r="A59" s="116" t="s">
        <v>109</v>
      </c>
      <c r="B59" s="106"/>
      <c r="C59" s="106"/>
      <c r="D59" s="104"/>
      <c r="E59" s="20" t="s">
        <v>108</v>
      </c>
      <c r="F59" s="171"/>
      <c r="G59" s="171">
        <f>(G51-30)-10*LOG(G5*1000000)+10*LOG(4000)-G55-(10*LOG(4*PI()*(G53*1000)^2))</f>
        <v>-157.0744187696144</v>
      </c>
      <c r="H59" s="25"/>
      <c r="I59" s="37"/>
      <c r="J59" s="38"/>
      <c r="K59" s="38"/>
      <c r="L59" s="38"/>
      <c r="M59" s="352"/>
      <c r="N59" s="38"/>
      <c r="O59" s="38"/>
      <c r="P59" s="38"/>
      <c r="Q59" s="38"/>
    </row>
    <row r="60" spans="1:17" s="2" customFormat="1" ht="13.5" hidden="1" thickBot="1">
      <c r="A60" s="116"/>
      <c r="B60" s="106" t="s">
        <v>110</v>
      </c>
      <c r="C60" s="106"/>
      <c r="D60" s="104"/>
      <c r="E60" s="20" t="s">
        <v>77</v>
      </c>
      <c r="F60" s="149"/>
      <c r="G60" s="149">
        <v>-0.3</v>
      </c>
      <c r="H60" s="538" t="str">
        <f>IF(J60=-K60,CONCATENATE("±",TEXT(ABS(J60),"0.0##")),CONCATENATE(TEXT(J60,"+0.0##;-0.0##"),"/",TEXT(K60,"+0.0##;-0.0##")))</f>
        <v>±0.5</v>
      </c>
      <c r="I60" s="52">
        <f>G60</f>
        <v>-0.3</v>
      </c>
      <c r="J60" s="26">
        <v>0.5</v>
      </c>
      <c r="K60" s="26">
        <v>-0.5</v>
      </c>
      <c r="L60" s="20">
        <f>I60+((J60+K60)/2)</f>
        <v>-0.3</v>
      </c>
      <c r="M60" s="53">
        <f>((J60-K60)^2)/36</f>
        <v>0.027777777777777776</v>
      </c>
      <c r="N60" s="20"/>
      <c r="O60" s="20"/>
      <c r="P60" s="20"/>
      <c r="Q60" s="20" t="s">
        <v>32</v>
      </c>
    </row>
    <row r="61" spans="1:17" s="2" customFormat="1" ht="13.5" hidden="1" thickBot="1">
      <c r="A61" s="116"/>
      <c r="B61" s="106" t="s">
        <v>111</v>
      </c>
      <c r="C61" s="106"/>
      <c r="D61" s="104"/>
      <c r="E61" s="20" t="s">
        <v>27</v>
      </c>
      <c r="F61" s="149"/>
      <c r="G61" s="149">
        <v>0</v>
      </c>
      <c r="H61" s="22"/>
      <c r="I61" s="52">
        <v>0</v>
      </c>
      <c r="J61" s="26">
        <v>0</v>
      </c>
      <c r="K61" s="26">
        <v>0</v>
      </c>
      <c r="L61" s="20">
        <f>I61+((J61+K61)/2)</f>
        <v>0</v>
      </c>
      <c r="M61" s="53">
        <f>((J61-K61)^2)/12</f>
        <v>0</v>
      </c>
      <c r="N61" s="20"/>
      <c r="O61" s="20"/>
      <c r="P61" s="20"/>
      <c r="Q61" s="20" t="s">
        <v>39</v>
      </c>
    </row>
    <row r="62" spans="1:17" s="2" customFormat="1" ht="13.5" hidden="1" thickBot="1">
      <c r="A62" s="116"/>
      <c r="B62" s="106"/>
      <c r="C62" s="106" t="s">
        <v>22</v>
      </c>
      <c r="D62" s="104"/>
      <c r="E62" s="36" t="s">
        <v>23</v>
      </c>
      <c r="F62" s="164"/>
      <c r="G62" s="164" t="s">
        <v>24</v>
      </c>
      <c r="H62" s="22"/>
      <c r="I62" s="52" t="str">
        <f>G62</f>
        <v>linear</v>
      </c>
      <c r="J62" s="23"/>
      <c r="K62" s="23"/>
      <c r="L62" s="23"/>
      <c r="M62" s="352"/>
      <c r="N62" s="23"/>
      <c r="O62" s="23"/>
      <c r="P62" s="23"/>
      <c r="Q62" s="23"/>
    </row>
    <row r="63" spans="1:17" s="2" customFormat="1" ht="13.5" hidden="1" thickBot="1">
      <c r="A63" s="116"/>
      <c r="B63" s="106"/>
      <c r="C63" s="106" t="s">
        <v>26</v>
      </c>
      <c r="D63" s="104"/>
      <c r="E63" s="36" t="s">
        <v>27</v>
      </c>
      <c r="F63" s="155"/>
      <c r="G63" s="155" t="s">
        <v>28</v>
      </c>
      <c r="H63" s="22"/>
      <c r="I63" s="52" t="str">
        <f>G63</f>
        <v> --</v>
      </c>
      <c r="J63" s="23"/>
      <c r="K63" s="23"/>
      <c r="L63" s="23"/>
      <c r="M63" s="352"/>
      <c r="N63" s="23"/>
      <c r="O63" s="23"/>
      <c r="P63" s="23"/>
      <c r="Q63" s="23"/>
    </row>
    <row r="64" spans="1:17" s="2" customFormat="1" ht="12" customHeight="1" hidden="1">
      <c r="A64" s="116"/>
      <c r="B64" s="106" t="s">
        <v>50</v>
      </c>
      <c r="C64" s="106"/>
      <c r="D64" s="104"/>
      <c r="E64" s="20" t="s">
        <v>27</v>
      </c>
      <c r="F64" s="149"/>
      <c r="G64" s="149">
        <v>0.2</v>
      </c>
      <c r="H64" s="538" t="str">
        <f>IF(J64=-K64,CONCATENATE("±",TEXT(ABS(J64),"0.0##")),CONCATENATE(TEXT(J64,"+0.0##;-0.0##"),"/",TEXT(K64,"+0.0##;-0.0##")))</f>
        <v>±0.2</v>
      </c>
      <c r="I64" s="52">
        <v>0.2</v>
      </c>
      <c r="J64" s="26">
        <v>-0.2</v>
      </c>
      <c r="K64" s="26">
        <v>0.2</v>
      </c>
      <c r="L64" s="20">
        <f>I64+((J64+K64)/2)</f>
        <v>0.2</v>
      </c>
      <c r="M64" s="53">
        <f>((J64-K64)^2)/12</f>
        <v>0.013333333333333336</v>
      </c>
      <c r="N64" s="20"/>
      <c r="O64" s="20"/>
      <c r="P64" s="20"/>
      <c r="Q64" s="20" t="s">
        <v>39</v>
      </c>
    </row>
    <row r="65" spans="1:17" s="2" customFormat="1" ht="13.5" hidden="1" thickBot="1">
      <c r="A65" s="116"/>
      <c r="B65" s="106" t="s">
        <v>78</v>
      </c>
      <c r="C65" s="106"/>
      <c r="D65" s="104"/>
      <c r="E65" s="20" t="s">
        <v>79</v>
      </c>
      <c r="F65" s="147"/>
      <c r="G65" s="147">
        <v>-198.6</v>
      </c>
      <c r="H65" s="22"/>
      <c r="I65" s="52">
        <v>-198.6</v>
      </c>
      <c r="J65" s="23"/>
      <c r="K65" s="23"/>
      <c r="L65" s="20">
        <f>I65</f>
        <v>-198.6</v>
      </c>
      <c r="M65" s="53">
        <v>0</v>
      </c>
      <c r="N65" s="20"/>
      <c r="O65" s="20"/>
      <c r="P65" s="20"/>
      <c r="Q65" s="20" t="s">
        <v>80</v>
      </c>
    </row>
    <row r="66" spans="1:17" s="2" customFormat="1" ht="13.5" hidden="1" thickBot="1">
      <c r="A66" s="116" t="s">
        <v>112</v>
      </c>
      <c r="B66" s="106"/>
      <c r="C66" s="106"/>
      <c r="D66" s="104"/>
      <c r="E66" s="36" t="s">
        <v>83</v>
      </c>
      <c r="F66" s="44"/>
      <c r="G66" s="44">
        <f>G57+G60-G61-G64-G65</f>
        <v>52.96310797390021</v>
      </c>
      <c r="H66" s="22"/>
      <c r="I66" s="43">
        <f>I57+I60-I61-I64-I65</f>
        <v>54.75810797390022</v>
      </c>
      <c r="J66" s="23"/>
      <c r="K66" s="23"/>
      <c r="L66" s="44">
        <f>L57+L60-L61-L64-L65</f>
        <v>54.26719611497899</v>
      </c>
      <c r="M66" s="355">
        <f>M57+M60+M61+M64+M65</f>
        <v>0.355578529189834</v>
      </c>
      <c r="N66" s="44"/>
      <c r="O66" s="44"/>
      <c r="P66" s="44"/>
      <c r="Q66" s="23"/>
    </row>
    <row r="67" spans="1:17" s="2" customFormat="1" ht="13.5" hidden="1" thickBot="1">
      <c r="A67" s="116"/>
      <c r="B67" s="106" t="s">
        <v>113</v>
      </c>
      <c r="C67" s="106"/>
      <c r="D67" s="104"/>
      <c r="E67" s="20" t="s">
        <v>27</v>
      </c>
      <c r="F67" s="149"/>
      <c r="G67" s="149">
        <v>0.05</v>
      </c>
      <c r="H67" s="2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row>
    <row r="68" spans="1:17" s="2" customFormat="1" ht="13.5" hidden="1" thickBot="1">
      <c r="A68" s="116"/>
      <c r="B68" s="106" t="s">
        <v>115</v>
      </c>
      <c r="C68" s="106"/>
      <c r="D68" s="104"/>
      <c r="E68" s="20" t="s">
        <v>27</v>
      </c>
      <c r="F68" s="149"/>
      <c r="G68" s="149">
        <v>0</v>
      </c>
      <c r="H68" s="22"/>
      <c r="I68" s="52">
        <v>0</v>
      </c>
      <c r="J68" s="26">
        <v>0</v>
      </c>
      <c r="K68" s="26">
        <v>0</v>
      </c>
      <c r="L68" s="20">
        <f>I68+((J68+K68)/2)</f>
        <v>0</v>
      </c>
      <c r="M68" s="53">
        <f>((J68-K68)^2)/12</f>
        <v>0</v>
      </c>
      <c r="N68" s="20"/>
      <c r="O68" s="20"/>
      <c r="P68" s="20"/>
      <c r="Q68" s="20" t="s">
        <v>39</v>
      </c>
    </row>
    <row r="69" spans="1:17" s="2" customFormat="1" ht="13.5" hidden="1" thickBot="1">
      <c r="A69" s="138" t="s">
        <v>117</v>
      </c>
      <c r="B69" s="139"/>
      <c r="C69" s="139"/>
      <c r="D69" s="140"/>
      <c r="E69" s="20" t="s">
        <v>83</v>
      </c>
      <c r="F69" s="159"/>
      <c r="G69" s="159">
        <f>G66-G67-G68</f>
        <v>52.91310797390021</v>
      </c>
      <c r="H69" s="22"/>
      <c r="I69" s="43">
        <f>I66-I67-I68</f>
        <v>54.71310797390022</v>
      </c>
      <c r="J69" s="23"/>
      <c r="K69" s="23"/>
      <c r="L69" s="44">
        <f>L66-L67-L68</f>
        <v>54.222196114978985</v>
      </c>
      <c r="M69" s="355">
        <f>M66+M67+M68</f>
        <v>0.3555813069676118</v>
      </c>
      <c r="N69" s="44"/>
      <c r="O69" s="20">
        <f>10^(-L69/10)</f>
        <v>3.78251264457394E-06</v>
      </c>
      <c r="P69" s="20">
        <f>O69*SQRT(M69)</f>
        <v>2.255536448203622E-06</v>
      </c>
      <c r="Q69" s="20" t="s">
        <v>32</v>
      </c>
    </row>
    <row r="70" spans="1:17" s="341" customFormat="1" ht="13.5" hidden="1" thickBot="1">
      <c r="A70" s="103" t="s">
        <v>118</v>
      </c>
      <c r="B70" s="103"/>
      <c r="C70" s="103"/>
      <c r="D70" s="103"/>
      <c r="E70" s="13"/>
      <c r="F70" s="145"/>
      <c r="G70" s="145"/>
      <c r="H70" s="13"/>
      <c r="I70" s="13"/>
      <c r="J70" s="13"/>
      <c r="K70" s="13"/>
      <c r="L70" s="13"/>
      <c r="M70" s="353"/>
      <c r="N70" s="13"/>
      <c r="O70" s="13"/>
      <c r="P70" s="13"/>
      <c r="Q70" s="13"/>
    </row>
    <row r="71" spans="1:17" s="2" customFormat="1" ht="13.5" hidden="1" thickBot="1">
      <c r="A71" s="127" t="s">
        <v>119</v>
      </c>
      <c r="B71" s="128"/>
      <c r="C71" s="128"/>
      <c r="D71" s="115"/>
      <c r="E71" s="129" t="s">
        <v>83</v>
      </c>
      <c r="F71" s="172"/>
      <c r="G71" s="173">
        <f>10*LOG(1/(1/(10^(G36/10))+1/(10^(G69/10))))</f>
        <v>52.77384817149582</v>
      </c>
      <c r="H71" s="132"/>
      <c r="I71" s="133">
        <f>10*LOG(1/(1/(10^(I36/10))+1/(10^(I69/10))))</f>
        <v>54.59106498683062</v>
      </c>
      <c r="J71" s="134"/>
      <c r="K71" s="134"/>
      <c r="L71" s="133">
        <f>10*LOG(1/(1/(10^(L36/10))+1/(10^(L69/10))))</f>
        <v>54.09968108587347</v>
      </c>
      <c r="M71" s="358">
        <f>(P71/O71)^2</f>
        <v>0.3571862304170499</v>
      </c>
      <c r="N71" s="135"/>
      <c r="O71" s="136">
        <f>O36+O69</f>
        <v>3.890737146753032E-06</v>
      </c>
      <c r="P71" s="136">
        <f>P36+P69</f>
        <v>2.325301360046917E-06</v>
      </c>
      <c r="Q71" s="129" t="s">
        <v>32</v>
      </c>
    </row>
    <row r="72" spans="1:17" s="2" customFormat="1" ht="13.5" hidden="1" thickBot="1">
      <c r="A72" s="116" t="s">
        <v>18</v>
      </c>
      <c r="B72" s="106"/>
      <c r="C72" s="106"/>
      <c r="D72" s="104"/>
      <c r="E72" s="120" t="s">
        <v>121</v>
      </c>
      <c r="F72" s="174"/>
      <c r="G72" s="174">
        <f>10*LOG(G5)+60</f>
        <v>43.979400086720375</v>
      </c>
      <c r="H72" s="122"/>
      <c r="I72" s="175">
        <f>10*LOG(I5)+60</f>
        <v>43.979400086720375</v>
      </c>
      <c r="J72" s="124"/>
      <c r="K72" s="124"/>
      <c r="L72" s="125">
        <f>I72</f>
        <v>43.979400086720375</v>
      </c>
      <c r="M72" s="403">
        <v>0</v>
      </c>
      <c r="N72" s="126"/>
      <c r="O72" s="126"/>
      <c r="P72" s="126"/>
      <c r="Q72" s="126" t="s">
        <v>80</v>
      </c>
    </row>
    <row r="73" spans="1:17" s="2" customFormat="1" ht="13.5" hidden="1" thickBot="1">
      <c r="A73" s="138" t="s">
        <v>122</v>
      </c>
      <c r="B73" s="139"/>
      <c r="C73" s="139"/>
      <c r="D73" s="140"/>
      <c r="E73" s="36" t="s">
        <v>27</v>
      </c>
      <c r="F73" s="44"/>
      <c r="G73" s="44">
        <f>G71-G72</f>
        <v>8.794448084775446</v>
      </c>
      <c r="H73" s="22"/>
      <c r="I73" s="43">
        <f>I71-I72</f>
        <v>10.611664900110242</v>
      </c>
      <c r="J73" s="23"/>
      <c r="K73" s="23"/>
      <c r="L73" s="44">
        <f>L71-L72</f>
        <v>10.120280999153096</v>
      </c>
      <c r="M73" s="355">
        <f>M71+M72</f>
        <v>0.3571862304170499</v>
      </c>
      <c r="N73" s="44"/>
      <c r="O73" s="44"/>
      <c r="P73" s="44"/>
      <c r="Q73" s="20" t="s">
        <v>32</v>
      </c>
    </row>
    <row r="74" spans="1:17" s="341" customFormat="1" ht="13.5" thickBot="1">
      <c r="A74" s="103" t="s">
        <v>123</v>
      </c>
      <c r="B74" s="103"/>
      <c r="C74" s="103"/>
      <c r="D74" s="103"/>
      <c r="E74" s="13"/>
      <c r="F74" s="145"/>
      <c r="G74" s="145"/>
      <c r="H74" s="13"/>
      <c r="I74" s="13"/>
      <c r="J74" s="13"/>
      <c r="K74" s="13"/>
      <c r="L74" s="13"/>
      <c r="M74" s="353"/>
      <c r="N74" s="13"/>
      <c r="O74" s="13"/>
      <c r="P74" s="13"/>
      <c r="Q74" s="13"/>
    </row>
    <row r="75" spans="1:17" s="2" customFormat="1" ht="12.75">
      <c r="A75" s="127"/>
      <c r="B75" s="128" t="s">
        <v>124</v>
      </c>
      <c r="C75" s="128"/>
      <c r="D75" s="115"/>
      <c r="E75" s="20"/>
      <c r="F75" s="176"/>
      <c r="G75" s="176">
        <v>0.01</v>
      </c>
      <c r="H75" s="22"/>
      <c r="I75" s="526">
        <f>G75</f>
        <v>0.01</v>
      </c>
      <c r="J75" s="23"/>
      <c r="K75" s="23"/>
      <c r="L75" s="23"/>
      <c r="M75" s="352"/>
      <c r="N75" s="23"/>
      <c r="O75" s="23"/>
      <c r="P75" s="23"/>
      <c r="Q75" s="23"/>
    </row>
    <row r="76" spans="1:17" s="2" customFormat="1" ht="12.75">
      <c r="A76" s="116" t="s">
        <v>125</v>
      </c>
      <c r="B76" s="106"/>
      <c r="C76" s="106"/>
      <c r="D76" s="104"/>
      <c r="E76" s="20" t="s">
        <v>27</v>
      </c>
      <c r="F76" s="167"/>
      <c r="G76" s="167">
        <v>4.4</v>
      </c>
      <c r="H76" s="22"/>
      <c r="I76" s="524">
        <f>G76</f>
        <v>4.4</v>
      </c>
      <c r="J76" s="26">
        <v>0</v>
      </c>
      <c r="K76" s="26">
        <v>0</v>
      </c>
      <c r="L76" s="20">
        <f>I76</f>
        <v>4.4</v>
      </c>
      <c r="M76" s="352"/>
      <c r="N76" s="23"/>
      <c r="O76" s="23"/>
      <c r="P76" s="23"/>
      <c r="Q76" s="23"/>
    </row>
    <row r="77" spans="1:17" s="2" customFormat="1" ht="20.25">
      <c r="A77" s="116" t="s">
        <v>127</v>
      </c>
      <c r="B77" s="106"/>
      <c r="C77" s="106"/>
      <c r="D77" s="104"/>
      <c r="E77" s="20" t="s">
        <v>27</v>
      </c>
      <c r="F77" s="149"/>
      <c r="G77" s="149">
        <v>2.3</v>
      </c>
      <c r="H77" s="538" t="str">
        <f>IF(J77=-K77,CONCATENATE("±",TEXT(ABS(J77),"0.0##")),CONCATENATE(TEXT(J77,"+0.0##;-0.0##"),"/",TEXT(K77,"+0.0##;-0.0##")))</f>
        <v>±0.25</v>
      </c>
      <c r="I77" s="746">
        <v>2.3</v>
      </c>
      <c r="J77" s="26">
        <v>-0.25</v>
      </c>
      <c r="K77" s="26">
        <v>0.25</v>
      </c>
      <c r="L77" s="20">
        <f>I77+((J77+K77)/2)</f>
        <v>2.3</v>
      </c>
      <c r="M77" s="53">
        <f>((J77-K77)^2)/12</f>
        <v>0.020833333333333332</v>
      </c>
      <c r="N77" s="53"/>
      <c r="O77" s="53"/>
      <c r="P77" s="53"/>
      <c r="Q77" s="20" t="s">
        <v>39</v>
      </c>
    </row>
    <row r="78" spans="1:17" s="2" customFormat="1" ht="12.75">
      <c r="A78" s="116"/>
      <c r="B78" s="106" t="s">
        <v>128</v>
      </c>
      <c r="C78" s="106"/>
      <c r="D78" s="104"/>
      <c r="E78" s="20" t="s">
        <v>27</v>
      </c>
      <c r="F78" s="149"/>
      <c r="G78" s="149"/>
      <c r="H78" s="25"/>
      <c r="I78" s="37"/>
      <c r="J78" s="38"/>
      <c r="K78" s="38"/>
      <c r="L78" s="38"/>
      <c r="M78" s="352"/>
      <c r="N78" s="38"/>
      <c r="O78" s="38"/>
      <c r="P78" s="38"/>
      <c r="Q78" s="38"/>
    </row>
    <row r="79" spans="1:17" s="2" customFormat="1" ht="12.75">
      <c r="A79" s="116"/>
      <c r="B79" s="106" t="s">
        <v>243</v>
      </c>
      <c r="D79" s="104"/>
      <c r="E79" s="20" t="s">
        <v>27</v>
      </c>
      <c r="F79" s="149"/>
      <c r="G79" s="149">
        <v>0.05</v>
      </c>
      <c r="H79" s="25"/>
      <c r="I79" s="37"/>
      <c r="J79" s="38"/>
      <c r="K79" s="38"/>
      <c r="L79" s="38"/>
      <c r="M79" s="352"/>
      <c r="N79" s="38"/>
      <c r="O79" s="38"/>
      <c r="P79" s="38"/>
      <c r="Q79" s="38"/>
    </row>
    <row r="80" spans="1:17" s="2" customFormat="1" ht="12.75">
      <c r="A80" s="116"/>
      <c r="B80" s="106" t="s">
        <v>129</v>
      </c>
      <c r="C80" s="106"/>
      <c r="D80" s="104"/>
      <c r="E80" s="20" t="s">
        <v>27</v>
      </c>
      <c r="F80" s="149"/>
      <c r="G80" s="149">
        <f>SUM(G81:G83)</f>
        <v>0.342</v>
      </c>
      <c r="H80" s="25"/>
      <c r="I80" s="37"/>
      <c r="J80" s="38"/>
      <c r="K80" s="38"/>
      <c r="L80" s="38"/>
      <c r="M80" s="352"/>
      <c r="N80" s="38"/>
      <c r="O80" s="38"/>
      <c r="P80" s="38"/>
      <c r="Q80" s="38"/>
    </row>
    <row r="81" spans="1:17" s="2" customFormat="1" ht="12.75">
      <c r="A81" s="116"/>
      <c r="B81" s="106"/>
      <c r="C81" s="106" t="s">
        <v>130</v>
      </c>
      <c r="D81" s="104"/>
      <c r="E81" s="20" t="s">
        <v>27</v>
      </c>
      <c r="F81" s="149"/>
      <c r="G81" s="149">
        <v>0.33</v>
      </c>
      <c r="H81" s="25"/>
      <c r="I81" s="37"/>
      <c r="J81" s="38"/>
      <c r="K81" s="38"/>
      <c r="L81" s="38"/>
      <c r="M81" s="352"/>
      <c r="N81" s="38"/>
      <c r="O81" s="38"/>
      <c r="P81" s="38"/>
      <c r="Q81" s="38"/>
    </row>
    <row r="82" spans="1:17" s="2" customFormat="1" ht="12.75">
      <c r="A82" s="116"/>
      <c r="B82" s="106"/>
      <c r="C82" s="106" t="s">
        <v>131</v>
      </c>
      <c r="D82" s="104"/>
      <c r="E82" s="20" t="s">
        <v>27</v>
      </c>
      <c r="F82" s="149"/>
      <c r="G82" s="149"/>
      <c r="H82" s="25"/>
      <c r="I82" s="37"/>
      <c r="J82" s="38"/>
      <c r="K82" s="38"/>
      <c r="L82" s="38"/>
      <c r="M82" s="352"/>
      <c r="N82" s="38"/>
      <c r="O82" s="38"/>
      <c r="P82" s="38"/>
      <c r="Q82" s="38"/>
    </row>
    <row r="83" spans="1:17" s="2" customFormat="1" ht="12.75">
      <c r="A83" s="116"/>
      <c r="B83" s="106"/>
      <c r="C83" s="106" t="s">
        <v>132</v>
      </c>
      <c r="D83" s="104"/>
      <c r="E83" s="20" t="s">
        <v>27</v>
      </c>
      <c r="F83" s="149"/>
      <c r="G83" s="149">
        <v>0.012</v>
      </c>
      <c r="H83" s="25"/>
      <c r="I83" s="37"/>
      <c r="J83" s="38"/>
      <c r="K83" s="38"/>
      <c r="L83" s="38"/>
      <c r="M83" s="352"/>
      <c r="N83" s="38"/>
      <c r="O83" s="38"/>
      <c r="P83" s="38"/>
      <c r="Q83" s="38"/>
    </row>
    <row r="84" spans="1:17" s="2" customFormat="1" ht="20.25">
      <c r="A84" s="116" t="s">
        <v>133</v>
      </c>
      <c r="B84" s="106"/>
      <c r="C84" s="106"/>
      <c r="D84" s="104"/>
      <c r="E84" s="20" t="s">
        <v>27</v>
      </c>
      <c r="F84" s="149"/>
      <c r="G84" s="745">
        <f>SUM(G85:G88)</f>
        <v>0.76137</v>
      </c>
      <c r="H84" s="25" t="s">
        <v>134</v>
      </c>
      <c r="I84" s="746">
        <f>G84*0.9</f>
        <v>0.685233</v>
      </c>
      <c r="J84" s="99">
        <f>-G84*0.1</f>
        <v>-0.07613700000000001</v>
      </c>
      <c r="K84" s="99">
        <f>G84*0.1</f>
        <v>0.07613700000000001</v>
      </c>
      <c r="L84" s="20">
        <f>I84+((J84+K84)/3)</f>
        <v>0.685233</v>
      </c>
      <c r="M84" s="53">
        <f>(J84^2+K84^2-(K84*J84))/18</f>
        <v>0.0009661404615000002</v>
      </c>
      <c r="N84" s="20"/>
      <c r="O84" s="20"/>
      <c r="P84" s="20"/>
      <c r="Q84" s="20" t="s">
        <v>36</v>
      </c>
    </row>
    <row r="85" spans="1:17" s="2" customFormat="1" ht="12.75">
      <c r="A85" s="116"/>
      <c r="B85" s="106"/>
      <c r="C85" s="106" t="s">
        <v>130</v>
      </c>
      <c r="D85" s="104"/>
      <c r="E85" s="20" t="s">
        <v>27</v>
      </c>
      <c r="F85" s="149"/>
      <c r="G85" s="442">
        <v>0.71</v>
      </c>
      <c r="H85" s="25"/>
      <c r="I85" s="37"/>
      <c r="J85" s="38"/>
      <c r="K85" s="38"/>
      <c r="L85" s="38"/>
      <c r="M85" s="352"/>
      <c r="N85" s="38"/>
      <c r="O85" s="38"/>
      <c r="P85" s="38"/>
      <c r="Q85" s="38"/>
    </row>
    <row r="86" spans="1:17" s="2" customFormat="1" ht="12.75">
      <c r="A86" s="116"/>
      <c r="B86" s="106"/>
      <c r="C86" s="106" t="s">
        <v>136</v>
      </c>
      <c r="D86" s="104"/>
      <c r="E86" s="20" t="s">
        <v>27</v>
      </c>
      <c r="F86" s="177"/>
      <c r="G86" s="177">
        <v>7E-05</v>
      </c>
      <c r="H86" s="25"/>
      <c r="I86" s="37"/>
      <c r="J86" s="38"/>
      <c r="K86" s="38"/>
      <c r="L86" s="38"/>
      <c r="M86" s="352"/>
      <c r="N86" s="38"/>
      <c r="O86" s="38"/>
      <c r="P86" s="38"/>
      <c r="Q86" s="38"/>
    </row>
    <row r="87" spans="1:17" s="2" customFormat="1" ht="12.75">
      <c r="A87" s="116"/>
      <c r="B87" s="106"/>
      <c r="C87" s="106" t="s">
        <v>137</v>
      </c>
      <c r="D87" s="104"/>
      <c r="E87" s="20" t="s">
        <v>27</v>
      </c>
      <c r="F87" s="149"/>
      <c r="G87" s="149">
        <v>0.0013</v>
      </c>
      <c r="H87" s="25"/>
      <c r="I87" s="37"/>
      <c r="J87" s="38"/>
      <c r="K87" s="38"/>
      <c r="L87" s="38"/>
      <c r="M87" s="352"/>
      <c r="N87" s="38"/>
      <c r="O87" s="38"/>
      <c r="P87" s="38"/>
      <c r="Q87" s="38"/>
    </row>
    <row r="88" spans="1:17" s="2" customFormat="1" ht="12.75">
      <c r="A88" s="116"/>
      <c r="B88" s="106"/>
      <c r="C88" s="106" t="s">
        <v>138</v>
      </c>
      <c r="D88" s="104"/>
      <c r="E88" s="20" t="s">
        <v>27</v>
      </c>
      <c r="F88" s="149"/>
      <c r="G88" s="149">
        <v>0.05</v>
      </c>
      <c r="H88" s="25"/>
      <c r="I88" s="37"/>
      <c r="J88" s="38"/>
      <c r="K88" s="38"/>
      <c r="L88" s="38"/>
      <c r="M88" s="352"/>
      <c r="N88" s="38"/>
      <c r="O88" s="38"/>
      <c r="P88" s="38"/>
      <c r="Q88" s="38"/>
    </row>
    <row r="89" spans="1:17" s="2" customFormat="1" ht="13.5" thickBot="1">
      <c r="A89" s="138" t="s">
        <v>139</v>
      </c>
      <c r="B89" s="139"/>
      <c r="C89" s="139"/>
      <c r="D89" s="140"/>
      <c r="E89" s="20" t="s">
        <v>27</v>
      </c>
      <c r="F89" s="178"/>
      <c r="G89" s="178">
        <f>G76+G77+G84</f>
        <v>7.4613700000000005</v>
      </c>
      <c r="H89" s="55"/>
      <c r="I89" s="56">
        <f>I76+I77+I84</f>
        <v>7.385233</v>
      </c>
      <c r="J89" s="57"/>
      <c r="K89" s="57"/>
      <c r="L89" s="44">
        <f>L76+L77+L84</f>
        <v>7.385233</v>
      </c>
      <c r="M89" s="352"/>
      <c r="N89" s="23"/>
      <c r="O89" s="23"/>
      <c r="P89" s="23"/>
      <c r="Q89" s="23"/>
    </row>
    <row r="90" spans="1:17" s="12" customFormat="1" ht="13.5" thickBot="1">
      <c r="A90" s="762" t="s">
        <v>140</v>
      </c>
      <c r="B90" s="763"/>
      <c r="C90" s="763"/>
      <c r="D90" s="764"/>
      <c r="E90" s="491" t="s">
        <v>27</v>
      </c>
      <c r="F90" s="502"/>
      <c r="G90" s="502">
        <f>G73-G89</f>
        <v>1.3330780847754458</v>
      </c>
      <c r="H90" s="491"/>
      <c r="I90" s="496">
        <f>I73-I89</f>
        <v>3.2264319001102413</v>
      </c>
      <c r="J90" s="495"/>
      <c r="K90" s="495"/>
      <c r="L90" s="496">
        <f>L73-L89</f>
        <v>2.735047999153095</v>
      </c>
      <c r="M90" s="542">
        <f>M73+M77+M84</f>
        <v>0.3789857042118832</v>
      </c>
      <c r="N90" s="497"/>
      <c r="O90" s="497"/>
      <c r="P90" s="497"/>
      <c r="Q90" s="498" t="s">
        <v>32</v>
      </c>
    </row>
    <row r="91" spans="1:17" ht="13.5" thickBot="1">
      <c r="A91" s="98"/>
      <c r="B91" s="108"/>
      <c r="C91" s="108"/>
      <c r="D91" s="108" t="s">
        <v>141</v>
      </c>
      <c r="E91" s="270" t="s">
        <v>27</v>
      </c>
      <c r="F91" s="560" t="s">
        <v>768</v>
      </c>
      <c r="G91" s="232"/>
      <c r="L91" s="64" t="s">
        <v>142</v>
      </c>
      <c r="M91" s="65">
        <f>SQRT(M90)</f>
        <v>0.6156181480527383</v>
      </c>
      <c r="N91" s="86"/>
      <c r="O91" s="86"/>
      <c r="P91" s="86"/>
      <c r="Q91" s="66" t="s">
        <v>27</v>
      </c>
    </row>
    <row r="92" spans="1:17" ht="21" thickBot="1">
      <c r="A92" s="648" t="s">
        <v>802</v>
      </c>
      <c r="B92" s="649"/>
      <c r="C92" s="649"/>
      <c r="D92" s="649"/>
      <c r="E92" s="592" t="s">
        <v>27</v>
      </c>
      <c r="F92" s="593"/>
      <c r="G92" s="593"/>
      <c r="H92" s="594"/>
      <c r="I92" s="615">
        <v>1</v>
      </c>
      <c r="J92" s="607"/>
      <c r="K92" s="607"/>
      <c r="L92" s="64" t="s">
        <v>143</v>
      </c>
      <c r="M92" s="67">
        <f>2*M91</f>
        <v>1.2312362961054766</v>
      </c>
      <c r="N92" s="68"/>
      <c r="O92" s="68"/>
      <c r="P92" s="68"/>
      <c r="Q92" s="66" t="s">
        <v>27</v>
      </c>
    </row>
    <row r="93" spans="1:17" ht="13.5" thickBot="1">
      <c r="A93" s="648" t="s">
        <v>813</v>
      </c>
      <c r="B93" s="650"/>
      <c r="C93" s="650"/>
      <c r="D93" s="650"/>
      <c r="E93" s="592" t="s">
        <v>27</v>
      </c>
      <c r="F93" s="593"/>
      <c r="G93" s="593"/>
      <c r="H93" s="594"/>
      <c r="I93" s="596">
        <f>I90-I92</f>
        <v>2.2264319001102413</v>
      </c>
      <c r="J93" s="607"/>
      <c r="K93" s="607"/>
      <c r="L93" s="64"/>
      <c r="M93" s="68"/>
      <c r="N93" s="68"/>
      <c r="O93" s="68"/>
      <c r="P93" s="68"/>
      <c r="Q93" s="66"/>
    </row>
    <row r="94" spans="1:17" ht="16.5" customHeight="1" thickBot="1">
      <c r="A94" s="287"/>
      <c r="B94" s="287"/>
      <c r="C94" s="287"/>
      <c r="D94" s="287"/>
      <c r="E94" s="607"/>
      <c r="F94" s="607"/>
      <c r="G94" s="607"/>
      <c r="H94" s="682"/>
      <c r="I94" s="607"/>
      <c r="J94" s="607"/>
      <c r="K94" s="607"/>
      <c r="L94" s="64"/>
      <c r="M94" s="68"/>
      <c r="N94" s="68"/>
      <c r="O94" s="68"/>
      <c r="P94" s="68"/>
      <c r="Q94" s="66"/>
    </row>
    <row r="95" spans="1:17" ht="21" thickBot="1">
      <c r="A95" s="723" t="s">
        <v>884</v>
      </c>
      <c r="B95" s="724"/>
      <c r="C95" s="724"/>
      <c r="D95" s="724"/>
      <c r="E95" s="657" t="s">
        <v>27</v>
      </c>
      <c r="F95" s="656"/>
      <c r="G95" s="656"/>
      <c r="H95" s="657"/>
      <c r="I95" s="746">
        <f>I77+I84+I92</f>
        <v>3.985233</v>
      </c>
      <c r="J95" s="607"/>
      <c r="K95" s="607"/>
      <c r="L95" s="64"/>
      <c r="M95" s="68"/>
      <c r="N95" s="68"/>
      <c r="O95" s="68"/>
      <c r="P95" s="68"/>
      <c r="Q95" s="66"/>
    </row>
    <row r="96" spans="1:17" ht="13.5" thickBot="1">
      <c r="A96" s="681"/>
      <c r="B96" s="681"/>
      <c r="C96" s="681"/>
      <c r="D96" s="681"/>
      <c r="E96" s="607"/>
      <c r="F96" s="681"/>
      <c r="G96" s="681"/>
      <c r="H96" s="734"/>
      <c r="I96" s="681"/>
      <c r="J96" s="681"/>
      <c r="K96" s="681"/>
      <c r="L96"/>
      <c r="M96"/>
      <c r="N96"/>
      <c r="O96"/>
      <c r="P96"/>
      <c r="Q96"/>
    </row>
    <row r="97" spans="1:11" ht="12.75">
      <c r="A97" s="681"/>
      <c r="B97" s="765" t="s">
        <v>433</v>
      </c>
      <c r="C97" s="766"/>
      <c r="D97" s="766"/>
      <c r="E97" s="766"/>
      <c r="F97" s="766"/>
      <c r="G97" s="766"/>
      <c r="H97" s="766"/>
      <c r="I97" s="766"/>
      <c r="J97" s="766"/>
      <c r="K97" s="767"/>
    </row>
    <row r="98" spans="1:11" ht="12.75">
      <c r="A98" s="681"/>
      <c r="B98" s="581"/>
      <c r="C98" s="288"/>
      <c r="D98" s="288"/>
      <c r="E98" s="768" t="s">
        <v>435</v>
      </c>
      <c r="F98" s="768"/>
      <c r="G98" s="768" t="s">
        <v>801</v>
      </c>
      <c r="H98" s="768"/>
      <c r="I98" s="768" t="s">
        <v>146</v>
      </c>
      <c r="J98" s="768"/>
      <c r="K98" s="582"/>
    </row>
    <row r="99" spans="1:11" ht="12.75">
      <c r="A99" s="681"/>
      <c r="B99" s="572"/>
      <c r="C99" s="573"/>
      <c r="D99" s="574" t="s">
        <v>4</v>
      </c>
      <c r="E99" s="637" t="s">
        <v>431</v>
      </c>
      <c r="F99" s="637" t="s">
        <v>432</v>
      </c>
      <c r="G99" s="677" t="s">
        <v>431</v>
      </c>
      <c r="H99" s="677" t="s">
        <v>432</v>
      </c>
      <c r="I99" s="677" t="s">
        <v>431</v>
      </c>
      <c r="J99" s="677" t="s">
        <v>432</v>
      </c>
      <c r="K99" s="583" t="s">
        <v>5</v>
      </c>
    </row>
    <row r="100" spans="1:11" ht="20.25">
      <c r="A100" s="681"/>
      <c r="B100" s="576" t="s">
        <v>67</v>
      </c>
      <c r="C100" s="569"/>
      <c r="D100" s="569"/>
      <c r="E100" s="638">
        <f>I100+G100</f>
        <v>2.61</v>
      </c>
      <c r="F100" s="640">
        <f>J100-H100</f>
        <v>4.550000000000001</v>
      </c>
      <c r="G100" s="641">
        <v>0.06</v>
      </c>
      <c r="H100" s="642">
        <v>0.06</v>
      </c>
      <c r="I100" s="735">
        <f>I29+J29</f>
        <v>2.55</v>
      </c>
      <c r="J100" s="735">
        <f>I29+K29</f>
        <v>4.61</v>
      </c>
      <c r="K100" s="583" t="s">
        <v>27</v>
      </c>
    </row>
    <row r="101" spans="1:11" ht="20.25">
      <c r="A101" s="681"/>
      <c r="B101" s="576" t="s">
        <v>96</v>
      </c>
      <c r="C101" s="569"/>
      <c r="D101" s="569"/>
      <c r="E101" s="638">
        <f>I101+G101</f>
        <v>30.90400393799091</v>
      </c>
      <c r="F101" s="640">
        <f>J101-H101</f>
        <v>33.19395291714004</v>
      </c>
      <c r="G101" s="638">
        <v>0.33</v>
      </c>
      <c r="H101" s="639">
        <v>0.32</v>
      </c>
      <c r="I101" s="736">
        <f>I43+K43</f>
        <v>30.574003937990913</v>
      </c>
      <c r="J101" s="736">
        <f>I43+J43</f>
        <v>33.51395291714004</v>
      </c>
      <c r="K101" s="584" t="s">
        <v>61</v>
      </c>
    </row>
    <row r="102" spans="1:11" ht="21" thickBot="1">
      <c r="A102" s="681"/>
      <c r="B102" s="643" t="s">
        <v>885</v>
      </c>
      <c r="C102" s="644"/>
      <c r="D102" s="644"/>
      <c r="E102" s="645">
        <f>I102+G102</f>
        <v>0</v>
      </c>
      <c r="F102" s="647">
        <f>J102-H102</f>
        <v>3.905233</v>
      </c>
      <c r="G102" s="645">
        <v>0</v>
      </c>
      <c r="H102" s="646">
        <v>0.08</v>
      </c>
      <c r="I102" s="737">
        <v>0</v>
      </c>
      <c r="J102" s="738">
        <f>I95</f>
        <v>3.985233</v>
      </c>
      <c r="K102" s="585" t="s">
        <v>27</v>
      </c>
    </row>
    <row r="105" spans="2:4" ht="21.75">
      <c r="B105" s="610" t="s">
        <v>838</v>
      </c>
      <c r="D105" s="610"/>
    </row>
    <row r="106" spans="2:13" ht="21.75">
      <c r="B106" s="610" t="s">
        <v>839</v>
      </c>
      <c r="D106" s="610"/>
      <c r="E106" s="605"/>
      <c r="F106" s="605"/>
      <c r="G106" s="605"/>
      <c r="H106" s="605"/>
      <c r="I106" s="605"/>
      <c r="J106" s="605"/>
      <c r="K106" s="605"/>
      <c r="L106" s="605"/>
      <c r="M106" s="605"/>
    </row>
    <row r="107" spans="2:4" ht="20.25">
      <c r="B107" s="611"/>
      <c r="D107" s="611"/>
    </row>
    <row r="108" spans="2:4" ht="21.75">
      <c r="B108" s="610" t="s">
        <v>840</v>
      </c>
      <c r="D108" s="610"/>
    </row>
    <row r="109" spans="2:4" ht="20.25">
      <c r="B109" s="610" t="s">
        <v>841</v>
      </c>
      <c r="D109" s="610"/>
    </row>
    <row r="110" spans="2:4" ht="20.25">
      <c r="B110" s="611"/>
      <c r="D110" s="611"/>
    </row>
    <row r="111" spans="2:4" ht="20.25">
      <c r="B111" s="610" t="s">
        <v>900</v>
      </c>
      <c r="D111" s="610"/>
    </row>
    <row r="112" spans="2:4" ht="20.25">
      <c r="B112" s="610" t="s">
        <v>901</v>
      </c>
      <c r="D112" s="610"/>
    </row>
    <row r="114" ht="20.25">
      <c r="B114" s="610" t="s">
        <v>842</v>
      </c>
    </row>
    <row r="115" ht="20.25">
      <c r="B115" s="610" t="s">
        <v>843</v>
      </c>
    </row>
  </sheetData>
  <mergeCells count="5">
    <mergeCell ref="A90:D90"/>
    <mergeCell ref="B97:K97"/>
    <mergeCell ref="E98:F98"/>
    <mergeCell ref="G98:H98"/>
    <mergeCell ref="I98:J98"/>
  </mergeCells>
  <printOptions/>
  <pageMargins left="0.75" right="0.38" top="0.62" bottom="0.63" header="0.37" footer="0.32"/>
  <pageSetup fitToHeight="1" fitToWidth="1" horizontalDpi="300" verticalDpi="300" orientation="portrait" scale="57" r:id="rId2"/>
  <headerFooter alignWithMargins="0">
    <oddHeader>&amp;L&amp;8&amp;F
Program: GOES N-Q&amp;C&amp;8Boeing Proprietary
&amp;"Arial,Bold Italic"&amp;16Example of derivations&amp;R&amp;8SDA-3.2.08-01
Rev A Preliminary
8 Jan 01</oddHeader>
    <oddFooter>&amp;L&amp;8 2001 The Boeing Company
UNPUBULISHED WORK
ALL RIGHTS RESERVED&amp;C&amp;8Reference 2
Section 8 Page 1&amp;RBOEING PROPRIETARY
&amp;8*Use  or disclosure of this data is
subject to the restrictiojns on the
title page of this document.*</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B118"/>
  <sheetViews>
    <sheetView workbookViewId="0" topLeftCell="A86">
      <selection activeCell="J98" sqref="J98"/>
    </sheetView>
  </sheetViews>
  <sheetFormatPr defaultColWidth="9.140625" defaultRowHeight="12.75"/>
  <cols>
    <col min="1" max="3" width="3.421875" style="0" customWidth="1"/>
    <col min="4" max="4" width="24.421875" style="0" customWidth="1"/>
    <col min="5" max="5" width="11.7109375" style="63" customWidth="1"/>
    <col min="6" max="7" width="11.7109375" style="144" customWidth="1"/>
    <col min="8" max="8" width="11.7109375" style="63" customWidth="1"/>
    <col min="9" max="13" width="10.7109375" style="63" customWidth="1"/>
    <col min="14" max="16" width="10.7109375" style="63" hidden="1" customWidth="1"/>
    <col min="17" max="17" width="10.7109375" style="63" customWidth="1"/>
    <col min="18" max="18" width="44.7109375" style="0" customWidth="1"/>
    <col min="19" max="19" width="93.7109375" style="0" bestFit="1" customWidth="1"/>
    <col min="20" max="20" width="101.7109375" style="0" bestFit="1" customWidth="1"/>
    <col min="21" max="21" width="91.421875" style="0" bestFit="1" customWidth="1"/>
    <col min="22" max="22" width="101.57421875" style="0" bestFit="1" customWidth="1"/>
    <col min="23" max="23" width="16.7109375" style="82" customWidth="1"/>
    <col min="24" max="16384" width="8.8515625" style="0" customWidth="1"/>
  </cols>
  <sheetData>
    <row r="1" spans="1:23" s="2" customFormat="1" ht="13.5" thickBot="1">
      <c r="A1" s="109"/>
      <c r="B1" s="110"/>
      <c r="C1" s="110"/>
      <c r="D1" s="111"/>
      <c r="E1" s="4"/>
      <c r="F1" s="5" t="s">
        <v>175</v>
      </c>
      <c r="G1" s="5" t="s">
        <v>1</v>
      </c>
      <c r="H1" s="6"/>
      <c r="I1" s="7" t="s">
        <v>2</v>
      </c>
      <c r="J1" s="7"/>
      <c r="K1" s="6"/>
      <c r="L1" s="5" t="s">
        <v>3</v>
      </c>
      <c r="M1" s="6"/>
      <c r="N1" s="83"/>
      <c r="O1" s="83"/>
      <c r="P1" s="83"/>
      <c r="Q1" s="8"/>
      <c r="R1" s="9"/>
      <c r="S1" s="289"/>
      <c r="T1" s="290"/>
      <c r="U1" s="291"/>
      <c r="V1" s="292"/>
      <c r="W1" s="80"/>
    </row>
    <row r="2" spans="1:23" s="12" customFormat="1" ht="39" customHeight="1" thickBot="1">
      <c r="A2" s="112" t="s">
        <v>4</v>
      </c>
      <c r="B2" s="113"/>
      <c r="C2" s="113"/>
      <c r="D2" s="114"/>
      <c r="E2" s="10" t="s">
        <v>5</v>
      </c>
      <c r="F2" s="245" t="s">
        <v>6</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c r="W2" s="81"/>
    </row>
    <row r="3" spans="1:23" s="341" customFormat="1" ht="13.5" thickBot="1">
      <c r="A3" s="103" t="s">
        <v>16</v>
      </c>
      <c r="B3" s="103"/>
      <c r="C3" s="103"/>
      <c r="D3" s="103"/>
      <c r="E3" s="13"/>
      <c r="F3" s="145"/>
      <c r="G3" s="145"/>
      <c r="H3" s="13"/>
      <c r="I3" s="13"/>
      <c r="J3" s="13"/>
      <c r="K3" s="13"/>
      <c r="L3" s="13"/>
      <c r="M3" s="13"/>
      <c r="N3" s="13"/>
      <c r="O3" s="13"/>
      <c r="P3" s="13"/>
      <c r="Q3" s="13"/>
      <c r="R3" s="348"/>
      <c r="T3" s="119"/>
      <c r="W3" s="400"/>
    </row>
    <row r="4" spans="1:23" s="2" customFormat="1" ht="12.75">
      <c r="A4" s="127" t="s">
        <v>188</v>
      </c>
      <c r="B4" s="128"/>
      <c r="C4" s="128"/>
      <c r="D4" s="115"/>
      <c r="E4"/>
      <c r="F4" s="146" t="s">
        <v>245</v>
      </c>
      <c r="G4" s="146" t="s">
        <v>245</v>
      </c>
      <c r="H4"/>
      <c r="I4" s="75"/>
      <c r="J4" s="18"/>
      <c r="K4" s="18"/>
      <c r="L4" s="18"/>
      <c r="M4" s="351"/>
      <c r="N4" s="18"/>
      <c r="O4" s="18"/>
      <c r="P4" s="18"/>
      <c r="Q4" s="18"/>
      <c r="R4" s="294"/>
      <c r="S4" s="303"/>
      <c r="T4" s="337" t="s">
        <v>265</v>
      </c>
      <c r="U4" s="338"/>
      <c r="V4" s="304"/>
      <c r="W4" s="80"/>
    </row>
    <row r="5" spans="1:23" s="2" customFormat="1" ht="13.5" thickBot="1">
      <c r="A5" s="138" t="s">
        <v>18</v>
      </c>
      <c r="B5" s="139"/>
      <c r="C5" s="139"/>
      <c r="D5" s="140"/>
      <c r="E5" s="22" t="s">
        <v>19</v>
      </c>
      <c r="F5" s="147">
        <v>0.0004</v>
      </c>
      <c r="G5" s="147">
        <v>0.0004</v>
      </c>
      <c r="H5" s="22"/>
      <c r="I5" s="52">
        <f>G5</f>
        <v>0.0004</v>
      </c>
      <c r="J5" s="23"/>
      <c r="K5" s="78"/>
      <c r="L5" s="77">
        <f>I5</f>
        <v>0.0004</v>
      </c>
      <c r="M5" s="352"/>
      <c r="N5" s="23"/>
      <c r="O5" s="23"/>
      <c r="P5" s="23"/>
      <c r="Q5" s="23"/>
      <c r="R5" s="295"/>
      <c r="S5" s="331"/>
      <c r="T5" s="339" t="s">
        <v>265</v>
      </c>
      <c r="U5" s="340"/>
      <c r="V5" s="305"/>
      <c r="W5" s="80"/>
    </row>
    <row r="6" spans="1:28" s="341" customFormat="1" ht="13.5" thickBot="1">
      <c r="A6" s="103" t="s">
        <v>20</v>
      </c>
      <c r="B6" s="103"/>
      <c r="C6" s="103"/>
      <c r="D6" s="103"/>
      <c r="E6" s="13"/>
      <c r="F6" s="145"/>
      <c r="G6" s="145"/>
      <c r="H6" s="13"/>
      <c r="I6" s="13"/>
      <c r="J6" s="13"/>
      <c r="K6" s="13"/>
      <c r="L6" s="13"/>
      <c r="M6" s="353"/>
      <c r="N6" s="13"/>
      <c r="O6" s="13"/>
      <c r="P6" s="13"/>
      <c r="Q6" s="13"/>
      <c r="R6" s="348"/>
      <c r="S6" s="119"/>
      <c r="T6" s="119"/>
      <c r="U6" s="119"/>
      <c r="V6" s="119"/>
      <c r="W6" s="119"/>
      <c r="X6" s="119"/>
      <c r="Y6" s="119"/>
      <c r="Z6" s="119"/>
      <c r="AA6" s="119"/>
      <c r="AB6" s="119"/>
    </row>
    <row r="7" spans="1:28" s="2" customFormat="1" ht="12.75">
      <c r="A7" s="127" t="s">
        <v>21</v>
      </c>
      <c r="B7" s="128"/>
      <c r="C7" s="128"/>
      <c r="D7" s="115"/>
      <c r="E7" s="15" t="s">
        <v>19</v>
      </c>
      <c r="F7" s="148">
        <v>406.05</v>
      </c>
      <c r="G7" s="148">
        <v>406.05</v>
      </c>
      <c r="H7" s="17"/>
      <c r="I7" s="527">
        <f>G7</f>
        <v>406.05</v>
      </c>
      <c r="J7" s="18"/>
      <c r="K7" s="18"/>
      <c r="L7" s="226">
        <f>I7</f>
        <v>406.05</v>
      </c>
      <c r="M7" s="351"/>
      <c r="N7" s="18"/>
      <c r="O7" s="18"/>
      <c r="P7" s="18"/>
      <c r="Q7" s="18"/>
      <c r="R7" s="19"/>
      <c r="S7" s="332"/>
      <c r="T7" s="306" t="s">
        <v>266</v>
      </c>
      <c r="U7" s="307"/>
      <c r="V7" s="308"/>
      <c r="W7"/>
      <c r="X7"/>
      <c r="Y7"/>
      <c r="Z7"/>
      <c r="AA7"/>
      <c r="AB7"/>
    </row>
    <row r="8" spans="1:28" s="2" customFormat="1" ht="12.75">
      <c r="A8" s="116"/>
      <c r="B8" s="106" t="s">
        <v>22</v>
      </c>
      <c r="C8" s="106"/>
      <c r="D8" s="104"/>
      <c r="E8" s="20" t="s">
        <v>23</v>
      </c>
      <c r="F8" s="147" t="s">
        <v>24</v>
      </c>
      <c r="G8" s="147" t="s">
        <v>24</v>
      </c>
      <c r="H8" s="22"/>
      <c r="I8" s="52" t="str">
        <f>G8</f>
        <v>linear</v>
      </c>
      <c r="J8" s="23"/>
      <c r="K8" s="23"/>
      <c r="L8" s="23"/>
      <c r="M8" s="352"/>
      <c r="N8" s="23"/>
      <c r="O8" s="23"/>
      <c r="P8" s="23"/>
      <c r="Q8" s="23"/>
      <c r="R8" s="24" t="s">
        <v>25</v>
      </c>
      <c r="S8" s="319"/>
      <c r="T8" s="309" t="s">
        <v>267</v>
      </c>
      <c r="U8" s="310"/>
      <c r="V8" s="311"/>
      <c r="W8"/>
      <c r="X8"/>
      <c r="Y8"/>
      <c r="Z8"/>
      <c r="AA8"/>
      <c r="AB8"/>
    </row>
    <row r="9" spans="1:28" s="2" customFormat="1" ht="12.75">
      <c r="A9" s="116"/>
      <c r="B9" s="106" t="s">
        <v>26</v>
      </c>
      <c r="C9" s="106"/>
      <c r="D9" s="104"/>
      <c r="E9" s="20" t="s">
        <v>27</v>
      </c>
      <c r="F9" s="149" t="s">
        <v>28</v>
      </c>
      <c r="G9" s="149" t="s">
        <v>28</v>
      </c>
      <c r="H9" s="22"/>
      <c r="I9" s="52" t="str">
        <f>G9</f>
        <v> --</v>
      </c>
      <c r="J9" s="23"/>
      <c r="K9" s="23"/>
      <c r="L9" s="23"/>
      <c r="M9" s="352"/>
      <c r="N9" s="23"/>
      <c r="O9" s="23"/>
      <c r="P9" s="23"/>
      <c r="Q9" s="23"/>
      <c r="R9" s="24" t="s">
        <v>29</v>
      </c>
      <c r="S9" s="319"/>
      <c r="T9" s="309" t="s">
        <v>267</v>
      </c>
      <c r="U9" s="310"/>
      <c r="V9" s="311"/>
      <c r="W9"/>
      <c r="X9"/>
      <c r="Y9"/>
      <c r="Z9"/>
      <c r="AA9"/>
      <c r="AB9"/>
    </row>
    <row r="10" spans="1:28" s="2" customFormat="1" ht="12.75">
      <c r="A10" s="116" t="s">
        <v>30</v>
      </c>
      <c r="B10" s="106"/>
      <c r="C10" s="106"/>
      <c r="D10" s="104"/>
      <c r="E10" s="20" t="s">
        <v>27</v>
      </c>
      <c r="F10" s="149" t="s">
        <v>31</v>
      </c>
      <c r="G10" s="149">
        <v>70</v>
      </c>
      <c r="H10" s="538" t="str">
        <f>IF(J10=-K10,CONCATENATE("±",TEXT(ABS(J10),"0.0##")),CONCATENATE(TEXT(J10,"+0.0##;-0.0##"),"/",TEXT(K10,"+0.0##;-0.0##")))</f>
        <v>±0.5</v>
      </c>
      <c r="I10" s="524">
        <f>G10</f>
        <v>70</v>
      </c>
      <c r="J10" s="151">
        <v>0.5</v>
      </c>
      <c r="K10" s="151">
        <v>-0.5</v>
      </c>
      <c r="L10" s="20">
        <f>I10+((J10+K10)/3)</f>
        <v>70</v>
      </c>
      <c r="M10" s="401">
        <f>(J10^2+K10^2-(K10*J10))/18</f>
        <v>0.041666666666666664</v>
      </c>
      <c r="N10" s="20">
        <f>10*LOG(1/(1/((10^(L10/10))*(L5*1000000))))</f>
        <v>96.02059991327963</v>
      </c>
      <c r="O10" s="20">
        <f>10^(-N10/10)</f>
        <v>2.4999999999999924E-10</v>
      </c>
      <c r="P10" s="20">
        <f>O10*SQRT(M10)</f>
        <v>5.1031036307982724E-11</v>
      </c>
      <c r="Q10" s="155" t="s">
        <v>36</v>
      </c>
      <c r="R10" s="24" t="s">
        <v>278</v>
      </c>
      <c r="S10" s="333"/>
      <c r="T10" s="309" t="s">
        <v>277</v>
      </c>
      <c r="U10" s="312" t="s">
        <v>290</v>
      </c>
      <c r="V10" s="313" t="s">
        <v>324</v>
      </c>
      <c r="W10"/>
      <c r="X10"/>
      <c r="Y10"/>
      <c r="Z10"/>
      <c r="AA10"/>
      <c r="AB10"/>
    </row>
    <row r="11" spans="1:28" s="2" customFormat="1" ht="12.75">
      <c r="A11" s="116" t="s">
        <v>33</v>
      </c>
      <c r="B11" s="106"/>
      <c r="C11" s="106"/>
      <c r="D11" s="104"/>
      <c r="E11" s="20" t="s">
        <v>27</v>
      </c>
      <c r="F11" s="149" t="s">
        <v>31</v>
      </c>
      <c r="G11" s="149" t="s">
        <v>183</v>
      </c>
      <c r="H11" s="150"/>
      <c r="I11" s="524" t="s">
        <v>183</v>
      </c>
      <c r="J11" s="151"/>
      <c r="K11" s="151"/>
      <c r="L11" s="20"/>
      <c r="M11" s="401">
        <f>(J11^2+K11^2-(K11*J11))/18</f>
        <v>0</v>
      </c>
      <c r="N11" s="20"/>
      <c r="O11" s="20"/>
      <c r="P11" s="20"/>
      <c r="Q11" s="155" t="s">
        <v>36</v>
      </c>
      <c r="R11" s="24" t="s">
        <v>278</v>
      </c>
      <c r="S11" s="319"/>
      <c r="T11" s="309" t="s">
        <v>277</v>
      </c>
      <c r="U11" s="312" t="s">
        <v>290</v>
      </c>
      <c r="V11" s="313" t="s">
        <v>324</v>
      </c>
      <c r="W11"/>
      <c r="X11"/>
      <c r="Y11"/>
      <c r="Z11"/>
      <c r="AA11"/>
      <c r="AB11"/>
    </row>
    <row r="12" spans="1:28" s="157" customFormat="1" ht="12.75">
      <c r="A12" s="152" t="s">
        <v>34</v>
      </c>
      <c r="B12" s="153"/>
      <c r="C12" s="153"/>
      <c r="D12" s="154"/>
      <c r="E12" s="155" t="s">
        <v>35</v>
      </c>
      <c r="F12" s="149">
        <v>33</v>
      </c>
      <c r="G12" s="149">
        <v>36</v>
      </c>
      <c r="H12" s="538" t="str">
        <f>IF(J12=-K12,CONCATENATE("±",TEXT(ABS(J12),"0.0##")),CONCATENATE(TEXT(J12,"+0.0##;-0.0##"),"/",TEXT(K12,"+0.0##;-0.0##")))</f>
        <v>±0.5</v>
      </c>
      <c r="I12" s="529">
        <v>36</v>
      </c>
      <c r="J12" s="151">
        <v>0.5</v>
      </c>
      <c r="K12" s="151">
        <v>-0.5</v>
      </c>
      <c r="L12" s="155">
        <f>I12+((J12+K12)/3)</f>
        <v>36</v>
      </c>
      <c r="M12" s="401">
        <f>(J12^2+K12^2-(K12*J12))/18</f>
        <v>0.041666666666666664</v>
      </c>
      <c r="N12" s="155"/>
      <c r="O12" s="155"/>
      <c r="P12" s="155"/>
      <c r="Q12" s="155" t="s">
        <v>36</v>
      </c>
      <c r="R12" s="73"/>
      <c r="S12" s="319"/>
      <c r="T12" s="309" t="s">
        <v>267</v>
      </c>
      <c r="U12" s="312" t="s">
        <v>290</v>
      </c>
      <c r="V12" s="313" t="s">
        <v>324</v>
      </c>
      <c r="W12"/>
      <c r="X12"/>
      <c r="Y12"/>
      <c r="Z12"/>
      <c r="AA12"/>
      <c r="AB12"/>
    </row>
    <row r="13" spans="1:28" s="2" customFormat="1" ht="12.75">
      <c r="A13" s="143" t="s">
        <v>193</v>
      </c>
      <c r="B13" s="106"/>
      <c r="C13" s="106"/>
      <c r="D13" s="104"/>
      <c r="E13" s="20" t="s">
        <v>27</v>
      </c>
      <c r="F13" s="168">
        <f>-20*LOG(SIN(1.1))</f>
        <v>1.000424710443082</v>
      </c>
      <c r="G13" s="168">
        <f>-20*LOG(SIN(1.1))</f>
        <v>1.000424710443082</v>
      </c>
      <c r="H13" s="225" t="s">
        <v>177</v>
      </c>
      <c r="I13" s="525">
        <f>G13</f>
        <v>1.000424710443082</v>
      </c>
      <c r="J13" s="99">
        <f>-I13/10</f>
        <v>-0.10004247104430819</v>
      </c>
      <c r="K13" s="99">
        <f>I13/10</f>
        <v>0.10004247104430819</v>
      </c>
      <c r="L13" s="40">
        <f>I13+((J13+K13)/3)</f>
        <v>1.000424710443082</v>
      </c>
      <c r="M13" s="401">
        <f>(J13^2+K13^2-(K13*J13))/18</f>
        <v>0.0016680826687752073</v>
      </c>
      <c r="N13" s="41"/>
      <c r="O13" s="41"/>
      <c r="P13" s="41"/>
      <c r="Q13" s="155" t="s">
        <v>36</v>
      </c>
      <c r="R13" s="24" t="s">
        <v>194</v>
      </c>
      <c r="S13" s="319"/>
      <c r="T13" s="309" t="s">
        <v>267</v>
      </c>
      <c r="U13" s="312" t="s">
        <v>290</v>
      </c>
      <c r="V13" s="313" t="s">
        <v>324</v>
      </c>
      <c r="W13"/>
      <c r="X13"/>
      <c r="Y13"/>
      <c r="Z13"/>
      <c r="AA13"/>
      <c r="AB13"/>
    </row>
    <row r="14" spans="1:28" s="2" customFormat="1" ht="13.5" thickBot="1">
      <c r="A14" s="138" t="s">
        <v>41</v>
      </c>
      <c r="B14" s="139"/>
      <c r="C14" s="139"/>
      <c r="D14" s="140"/>
      <c r="E14" s="15" t="s">
        <v>27</v>
      </c>
      <c r="F14" s="158">
        <v>0</v>
      </c>
      <c r="G14" s="158">
        <v>0</v>
      </c>
      <c r="H14" s="538" t="str">
        <f>IF(J14=-K14,CONCATENATE("±",TEXT(ABS(J14),"0.0##")),CONCATENATE(TEXT(J14,"+0.0##;-0.0##"),"/",TEXT(K14,"+0.0##;-0.0##")))</f>
        <v>+0.0/+0.5</v>
      </c>
      <c r="I14" s="52">
        <f>G14</f>
        <v>0</v>
      </c>
      <c r="J14" s="26">
        <v>0</v>
      </c>
      <c r="K14" s="26">
        <v>0.5</v>
      </c>
      <c r="L14" s="20">
        <f>I14+((J14+K14)/2)</f>
        <v>0.25</v>
      </c>
      <c r="M14" s="53">
        <f>((J14-K14)^2)/12</f>
        <v>0.020833333333333332</v>
      </c>
      <c r="N14" s="20"/>
      <c r="O14" s="20"/>
      <c r="P14" s="20"/>
      <c r="Q14" s="20" t="s">
        <v>39</v>
      </c>
      <c r="R14" s="24"/>
      <c r="S14" s="334"/>
      <c r="T14" s="314" t="s">
        <v>268</v>
      </c>
      <c r="U14" s="315" t="s">
        <v>291</v>
      </c>
      <c r="V14" s="316" t="s">
        <v>324</v>
      </c>
      <c r="W14"/>
      <c r="X14"/>
      <c r="Y14"/>
      <c r="Z14"/>
      <c r="AA14"/>
      <c r="AB14"/>
    </row>
    <row r="15" spans="1:28" s="341" customFormat="1" ht="13.5" thickBot="1">
      <c r="A15" s="103" t="s">
        <v>42</v>
      </c>
      <c r="B15" s="103"/>
      <c r="C15" s="103"/>
      <c r="D15" s="103"/>
      <c r="E15" s="13"/>
      <c r="F15" s="145"/>
      <c r="G15" s="145"/>
      <c r="H15" s="13"/>
      <c r="I15" s="13"/>
      <c r="J15" s="28"/>
      <c r="K15" s="28"/>
      <c r="L15" s="13"/>
      <c r="M15" s="353"/>
      <c r="N15" s="13"/>
      <c r="O15" s="13"/>
      <c r="P15" s="13"/>
      <c r="Q15" s="13"/>
      <c r="R15" s="348"/>
      <c r="S15" s="119"/>
      <c r="T15" s="119"/>
      <c r="U15" s="119"/>
      <c r="V15" s="119"/>
      <c r="W15" s="119"/>
      <c r="X15" s="119"/>
      <c r="Y15" s="119"/>
      <c r="Z15" s="119"/>
      <c r="AA15" s="119"/>
      <c r="AB15" s="119"/>
    </row>
    <row r="16" spans="1:28" s="2" customFormat="1" ht="12.75">
      <c r="A16" s="127"/>
      <c r="B16" s="128" t="s">
        <v>43</v>
      </c>
      <c r="C16" s="128"/>
      <c r="D16" s="115"/>
      <c r="E16" s="15" t="s">
        <v>44</v>
      </c>
      <c r="F16" s="158"/>
      <c r="G16" s="158">
        <v>41126.8</v>
      </c>
      <c r="H16" s="17"/>
      <c r="I16" s="523">
        <v>41126.8</v>
      </c>
      <c r="J16" s="27">
        <v>40037.8</v>
      </c>
      <c r="K16" s="27">
        <v>41392</v>
      </c>
      <c r="L16" s="18"/>
      <c r="M16" s="351"/>
      <c r="N16" s="18"/>
      <c r="O16" s="18"/>
      <c r="P16" s="18"/>
      <c r="Q16" s="18"/>
      <c r="R16" s="137" t="s">
        <v>304</v>
      </c>
      <c r="S16" s="332"/>
      <c r="T16" s="306" t="s">
        <v>276</v>
      </c>
      <c r="U16" s="317"/>
      <c r="V16" s="308"/>
      <c r="W16"/>
      <c r="X16"/>
      <c r="Y16"/>
      <c r="Z16"/>
      <c r="AA16"/>
      <c r="AB16"/>
    </row>
    <row r="17" spans="1:28" s="2" customFormat="1" ht="12.75">
      <c r="A17" s="116" t="s">
        <v>45</v>
      </c>
      <c r="B17" s="106"/>
      <c r="C17" s="106"/>
      <c r="D17" s="104"/>
      <c r="E17" s="20" t="s">
        <v>27</v>
      </c>
      <c r="F17" s="159">
        <v>177</v>
      </c>
      <c r="G17" s="159">
        <f>(20*LOG(G7*1000000)+20*LOG(4*PI()*G16*1000)-20*LOG(300000000))</f>
        <v>176.89586086609063</v>
      </c>
      <c r="H17" s="30"/>
      <c r="I17" s="160">
        <f>(20*LOG($I$7*1000000)+20*LOG(4*PI()*I16*1000)-20*LOG(300000000))</f>
        <v>176.89586086609063</v>
      </c>
      <c r="J17" s="44">
        <f>(20*LOG($I$7*1000000)+20*LOG(4*PI()*J16*1000)-20*LOG(300000000))-I17</f>
        <v>-0.23309426716764392</v>
      </c>
      <c r="K17" s="84">
        <f>(20*LOG($I$7*1000000)+20*LOG(4*PI()*K16*1000)-20*LOG(300000000))-I17</f>
        <v>0.0558298439311784</v>
      </c>
      <c r="L17" s="20">
        <f>I17+((J17+K17)/3)</f>
        <v>176.8367727250118</v>
      </c>
      <c r="M17" s="401">
        <f>(J17^2+K17^2-(K17*J17))/18</f>
        <v>0.003914640300945704</v>
      </c>
      <c r="N17" s="20">
        <f>10*LOG(1/(1/((10^(L17/10))*(L10*1000000))))</f>
        <v>255.28775312515435</v>
      </c>
      <c r="O17" s="20">
        <f>10^(-N17/10)</f>
        <v>2.9595432258969154E-26</v>
      </c>
      <c r="P17" s="20">
        <f>O17*SQRT(M17)</f>
        <v>1.8516999672775647E-27</v>
      </c>
      <c r="Q17" s="155" t="s">
        <v>36</v>
      </c>
      <c r="R17" s="24" t="s">
        <v>46</v>
      </c>
      <c r="S17" s="296" t="s">
        <v>256</v>
      </c>
      <c r="T17" s="311"/>
      <c r="U17" s="312" t="s">
        <v>290</v>
      </c>
      <c r="V17" s="313" t="s">
        <v>324</v>
      </c>
      <c r="W17"/>
      <c r="X17"/>
      <c r="Y17"/>
      <c r="Z17"/>
      <c r="AA17"/>
      <c r="AB17"/>
    </row>
    <row r="18" spans="1:28" s="2" customFormat="1" ht="13.5" thickBot="1">
      <c r="A18" s="138" t="s">
        <v>47</v>
      </c>
      <c r="B18" s="139"/>
      <c r="C18" s="139"/>
      <c r="D18" s="140"/>
      <c r="E18" s="20" t="s">
        <v>27</v>
      </c>
      <c r="F18" s="149" t="s">
        <v>31</v>
      </c>
      <c r="G18" s="149">
        <v>0.15</v>
      </c>
      <c r="H18" s="22" t="s">
        <v>179</v>
      </c>
      <c r="I18" s="525">
        <v>0.15</v>
      </c>
      <c r="J18" s="26">
        <v>-0.1</v>
      </c>
      <c r="K18" s="26">
        <f>0.53</f>
        <v>0.53</v>
      </c>
      <c r="L18" s="20">
        <f>I18+((J18+K18)/2)</f>
        <v>0.365</v>
      </c>
      <c r="M18" s="53">
        <f>((J18-K18)^2)/36</f>
        <v>0.011025</v>
      </c>
      <c r="N18" s="20"/>
      <c r="O18" s="20"/>
      <c r="P18" s="20"/>
      <c r="Q18" s="20" t="s">
        <v>32</v>
      </c>
      <c r="R18" s="216" t="s">
        <v>48</v>
      </c>
      <c r="S18" s="334"/>
      <c r="T18" s="316" t="s">
        <v>301</v>
      </c>
      <c r="U18" s="315" t="s">
        <v>292</v>
      </c>
      <c r="V18" s="316" t="s">
        <v>324</v>
      </c>
      <c r="W18"/>
      <c r="X18"/>
      <c r="Y18"/>
      <c r="Z18"/>
      <c r="AA18"/>
      <c r="AB18"/>
    </row>
    <row r="19" spans="1:28" s="341" customFormat="1" ht="13.5" thickBot="1">
      <c r="A19" s="103" t="s">
        <v>49</v>
      </c>
      <c r="B19" s="103"/>
      <c r="C19" s="103"/>
      <c r="D19" s="103"/>
      <c r="E19" s="13"/>
      <c r="F19" s="145"/>
      <c r="G19" s="145"/>
      <c r="H19" s="13"/>
      <c r="I19" s="13"/>
      <c r="J19" s="13"/>
      <c r="K19" s="13"/>
      <c r="L19" s="13"/>
      <c r="M19" s="353"/>
      <c r="N19" s="13"/>
      <c r="O19" s="13"/>
      <c r="P19" s="13"/>
      <c r="Q19" s="13"/>
      <c r="R19" s="348"/>
      <c r="S19" s="119"/>
      <c r="T19" s="119"/>
      <c r="U19" s="119"/>
      <c r="V19" s="119"/>
      <c r="W19" s="119"/>
      <c r="X19" s="119"/>
      <c r="Y19" s="119"/>
      <c r="Z19" s="119"/>
      <c r="AA19" s="119"/>
      <c r="AB19" s="119"/>
    </row>
    <row r="20" spans="1:28" s="2" customFormat="1" ht="12.75">
      <c r="A20" s="116"/>
      <c r="B20" s="106" t="s">
        <v>22</v>
      </c>
      <c r="C20" s="106"/>
      <c r="D20" s="104"/>
      <c r="E20" s="36" t="s">
        <v>23</v>
      </c>
      <c r="F20" s="155" t="s">
        <v>178</v>
      </c>
      <c r="G20" s="155" t="s">
        <v>178</v>
      </c>
      <c r="H20" s="22"/>
      <c r="I20" s="52" t="str">
        <f>G20</f>
        <v>RHCP</v>
      </c>
      <c r="J20" s="23"/>
      <c r="K20" s="23"/>
      <c r="L20" s="23"/>
      <c r="M20" s="352"/>
      <c r="N20" s="23"/>
      <c r="O20" s="23"/>
      <c r="P20" s="23"/>
      <c r="Q20" s="23"/>
      <c r="R20" s="137" t="s">
        <v>25</v>
      </c>
      <c r="S20" s="332"/>
      <c r="T20" s="306" t="s">
        <v>267</v>
      </c>
      <c r="U20" s="307"/>
      <c r="V20" s="308"/>
      <c r="W20"/>
      <c r="X20"/>
      <c r="Y20"/>
      <c r="Z20"/>
      <c r="AA20"/>
      <c r="AB20"/>
    </row>
    <row r="21" spans="1:28" s="2" customFormat="1" ht="12.75">
      <c r="A21" s="116"/>
      <c r="B21" s="106" t="s">
        <v>26</v>
      </c>
      <c r="C21" s="106"/>
      <c r="D21" s="104"/>
      <c r="E21" s="36" t="s">
        <v>27</v>
      </c>
      <c r="F21" s="230" t="s">
        <v>184</v>
      </c>
      <c r="G21" s="155">
        <v>2</v>
      </c>
      <c r="H21" s="22"/>
      <c r="I21" s="52">
        <f>G21</f>
        <v>2</v>
      </c>
      <c r="J21" s="23"/>
      <c r="K21" s="23"/>
      <c r="L21" s="23"/>
      <c r="M21" s="352"/>
      <c r="N21" s="23"/>
      <c r="O21" s="23"/>
      <c r="P21" s="23"/>
      <c r="Q21" s="23"/>
      <c r="R21" s="24" t="s">
        <v>29</v>
      </c>
      <c r="S21" s="319"/>
      <c r="T21" s="309" t="s">
        <v>267</v>
      </c>
      <c r="U21" s="310"/>
      <c r="V21" s="311"/>
      <c r="W21"/>
      <c r="X21"/>
      <c r="Y21"/>
      <c r="Z21"/>
      <c r="AA21"/>
      <c r="AB21"/>
    </row>
    <row r="22" spans="1:28" s="2" customFormat="1" ht="12.75">
      <c r="A22" s="116" t="s">
        <v>50</v>
      </c>
      <c r="B22" s="106"/>
      <c r="C22" s="106"/>
      <c r="D22" s="104"/>
      <c r="E22" s="36" t="s">
        <v>27</v>
      </c>
      <c r="F22" s="155">
        <v>4.8</v>
      </c>
      <c r="G22" s="155">
        <v>4.1</v>
      </c>
      <c r="H22" s="538" t="str">
        <f>IF(J22=-K22,CONCATENATE("±",TEXT(ABS(J22),"0.0##")),CONCATENATE(TEXT(J22,"+0.0##;-0.0##"),"/",TEXT(K22,"+0.0##;-0.0##")))</f>
        <v>±0.5</v>
      </c>
      <c r="I22" s="52">
        <f>G22+J22</f>
        <v>3.5999999999999996</v>
      </c>
      <c r="J22" s="26">
        <v>-0.5</v>
      </c>
      <c r="K22" s="26">
        <v>0.5</v>
      </c>
      <c r="L22" s="20">
        <f>I22+((J22+K22)/2)</f>
        <v>3.5999999999999996</v>
      </c>
      <c r="M22" s="53">
        <f>((J22-K22)^2)/12</f>
        <v>0.08333333333333333</v>
      </c>
      <c r="N22" s="20"/>
      <c r="O22" s="20"/>
      <c r="P22" s="20"/>
      <c r="Q22" s="20" t="s">
        <v>39</v>
      </c>
      <c r="R22" s="24" t="s">
        <v>51</v>
      </c>
      <c r="S22" s="319"/>
      <c r="T22" s="311"/>
      <c r="U22" s="312" t="s">
        <v>291</v>
      </c>
      <c r="V22" s="313" t="s">
        <v>324</v>
      </c>
      <c r="W22"/>
      <c r="X22"/>
      <c r="Y22"/>
      <c r="Z22"/>
      <c r="AA22"/>
      <c r="AB22"/>
    </row>
    <row r="23" spans="1:28" s="2" customFormat="1" ht="12.75">
      <c r="A23" s="116" t="s">
        <v>52</v>
      </c>
      <c r="B23" s="106"/>
      <c r="C23" s="106"/>
      <c r="D23" s="104"/>
      <c r="E23" s="36" t="s">
        <v>35</v>
      </c>
      <c r="F23" s="233" t="s">
        <v>184</v>
      </c>
      <c r="G23" s="234" t="s">
        <v>195</v>
      </c>
      <c r="H23" s="30"/>
      <c r="I23" s="248" t="s">
        <v>195</v>
      </c>
      <c r="J23" s="38"/>
      <c r="K23" s="38"/>
      <c r="L23" s="38"/>
      <c r="M23" s="352"/>
      <c r="N23" s="38"/>
      <c r="O23" s="38"/>
      <c r="P23" s="38"/>
      <c r="Q23" s="38"/>
      <c r="R23" s="24"/>
      <c r="S23" s="319"/>
      <c r="T23" s="309" t="s">
        <v>269</v>
      </c>
      <c r="U23" s="318"/>
      <c r="V23" s="311"/>
      <c r="W23"/>
      <c r="X23"/>
      <c r="Y23"/>
      <c r="Z23"/>
      <c r="AA23"/>
      <c r="AB23"/>
    </row>
    <row r="24" spans="1:28" s="2" customFormat="1" ht="12.75">
      <c r="A24" s="116" t="s">
        <v>54</v>
      </c>
      <c r="B24" s="106"/>
      <c r="C24" s="106"/>
      <c r="D24" s="104"/>
      <c r="E24" s="235" t="s">
        <v>35</v>
      </c>
      <c r="F24" s="236">
        <f>-148.8</f>
        <v>-148.8</v>
      </c>
      <c r="G24" s="236">
        <f>G12-G13-G14-G17-G18-G22</f>
        <v>-146.14628557653373</v>
      </c>
      <c r="H24" s="55"/>
      <c r="I24" s="237">
        <f>I12-I13-I14-I17-I18-I22</f>
        <v>-145.64628557653373</v>
      </c>
      <c r="J24" s="33"/>
      <c r="K24" s="33"/>
      <c r="L24" s="34">
        <f>L12-L13-L14-L17-L18-L22</f>
        <v>-146.05219743545487</v>
      </c>
      <c r="M24" s="356">
        <f>M12+M13+M14+M17+M18+M22</f>
        <v>0.16244105630305422</v>
      </c>
      <c r="N24" s="34"/>
      <c r="O24" s="34"/>
      <c r="P24" s="34"/>
      <c r="Q24" s="35" t="s">
        <v>32</v>
      </c>
      <c r="R24" s="24"/>
      <c r="S24" s="297" t="s">
        <v>332</v>
      </c>
      <c r="T24" s="311"/>
      <c r="U24" s="298" t="s">
        <v>336</v>
      </c>
      <c r="V24" s="313" t="s">
        <v>302</v>
      </c>
      <c r="W24"/>
      <c r="X24"/>
      <c r="Y24"/>
      <c r="Z24"/>
      <c r="AA24"/>
      <c r="AB24"/>
    </row>
    <row r="25" spans="1:28" s="2" customFormat="1" ht="12.75">
      <c r="A25" s="116"/>
      <c r="B25" s="106" t="s">
        <v>55</v>
      </c>
      <c r="C25" s="106"/>
      <c r="D25" s="104"/>
      <c r="E25" s="36" t="s">
        <v>56</v>
      </c>
      <c r="F25" s="155">
        <v>9.9</v>
      </c>
      <c r="G25" s="155">
        <v>10</v>
      </c>
      <c r="H25" s="538" t="str">
        <f>IF(J25=-K25,CONCATENATE("±",TEXT(ABS(J25),"0.0##")),CONCATENATE(TEXT(J25,"+0.0##;-0.0##"),"/",TEXT(K25,"+0.0##;-0.0##")))</f>
        <v>±0.1</v>
      </c>
      <c r="I25" s="52">
        <v>10.1</v>
      </c>
      <c r="J25" s="26">
        <v>0.1</v>
      </c>
      <c r="K25" s="26">
        <v>-0.1</v>
      </c>
      <c r="L25" s="20">
        <f>I25+((J25+K25)/3)</f>
        <v>10.1</v>
      </c>
      <c r="M25" s="401">
        <f>(J25^2+K25^2-(K25*J25))/18</f>
        <v>0.001666666666666667</v>
      </c>
      <c r="N25" s="20"/>
      <c r="O25" s="20"/>
      <c r="P25" s="20"/>
      <c r="Q25" s="20" t="s">
        <v>36</v>
      </c>
      <c r="R25" s="24" t="s">
        <v>57</v>
      </c>
      <c r="S25" s="319"/>
      <c r="T25" s="313" t="s">
        <v>272</v>
      </c>
      <c r="U25" s="312" t="s">
        <v>290</v>
      </c>
      <c r="V25" s="313" t="s">
        <v>324</v>
      </c>
      <c r="W25"/>
      <c r="X25"/>
      <c r="Y25"/>
      <c r="Z25"/>
      <c r="AA25"/>
      <c r="AB25"/>
    </row>
    <row r="26" spans="1:28" s="2" customFormat="1" ht="12.75">
      <c r="A26" s="116"/>
      <c r="B26" s="106" t="s">
        <v>58</v>
      </c>
      <c r="C26" s="106"/>
      <c r="D26" s="104"/>
      <c r="E26" s="36" t="s">
        <v>27</v>
      </c>
      <c r="F26" s="155">
        <v>1.9</v>
      </c>
      <c r="G26" s="151">
        <v>0.22</v>
      </c>
      <c r="H26" s="538" t="str">
        <f>IF(J26=-K26,CONCATENATE("±",TEXT(ABS(J26),"0.0##")),CONCATENATE(TEXT(J26,"+0.0##;-0.0##"),"/",TEXT(K26,"+0.0##;-0.0##")))</f>
        <v>±0.05</v>
      </c>
      <c r="I26" s="52">
        <f>G26+J26</f>
        <v>0.16999999999999998</v>
      </c>
      <c r="J26" s="26">
        <v>-0.05</v>
      </c>
      <c r="K26" s="26">
        <v>0.05</v>
      </c>
      <c r="L26" s="40">
        <f>I26+((J26+K26)/3)</f>
        <v>0.16999999999999998</v>
      </c>
      <c r="M26" s="401">
        <f>(J26^2+K26^2-(K26*J26))/18</f>
        <v>0.00041666666666666675</v>
      </c>
      <c r="N26" s="41"/>
      <c r="O26" s="41"/>
      <c r="P26" s="41"/>
      <c r="Q26" s="20" t="s">
        <v>36</v>
      </c>
      <c r="R26" s="24" t="s">
        <v>59</v>
      </c>
      <c r="S26" s="319"/>
      <c r="T26" s="313" t="s">
        <v>279</v>
      </c>
      <c r="U26" s="312" t="s">
        <v>290</v>
      </c>
      <c r="V26" s="313" t="s">
        <v>324</v>
      </c>
      <c r="W26"/>
      <c r="X26"/>
      <c r="Y26"/>
      <c r="Z26"/>
      <c r="AA26"/>
      <c r="AB26"/>
    </row>
    <row r="27" spans="1:28" s="2" customFormat="1" ht="12.75">
      <c r="A27" s="116"/>
      <c r="B27" s="106"/>
      <c r="C27" s="106" t="s">
        <v>60</v>
      </c>
      <c r="D27" s="104"/>
      <c r="E27" s="20" t="s">
        <v>61</v>
      </c>
      <c r="F27" s="159">
        <v>-140.8</v>
      </c>
      <c r="G27" s="159">
        <f>G24+G25-G26</f>
        <v>-136.36628557653373</v>
      </c>
      <c r="H27" s="25"/>
      <c r="I27" s="37"/>
      <c r="J27" s="38"/>
      <c r="K27" s="38"/>
      <c r="L27" s="38"/>
      <c r="M27" s="352"/>
      <c r="N27" s="38"/>
      <c r="O27" s="38"/>
      <c r="P27" s="38"/>
      <c r="Q27" s="38"/>
      <c r="R27" s="24" t="s">
        <v>62</v>
      </c>
      <c r="S27" s="319"/>
      <c r="T27" s="311"/>
      <c r="U27" s="318"/>
      <c r="V27" s="311"/>
      <c r="W27"/>
      <c r="X27"/>
      <c r="Y27"/>
      <c r="Z27"/>
      <c r="AA27"/>
      <c r="AB27"/>
    </row>
    <row r="28" spans="1:28" s="2" customFormat="1" ht="12.75">
      <c r="A28" s="116"/>
      <c r="B28" s="106"/>
      <c r="C28" s="106" t="s">
        <v>63</v>
      </c>
      <c r="D28" s="104"/>
      <c r="E28" s="36" t="s">
        <v>64</v>
      </c>
      <c r="F28" s="155">
        <v>157</v>
      </c>
      <c r="G28" s="155">
        <v>100</v>
      </c>
      <c r="H28" s="22"/>
      <c r="I28" s="52">
        <v>100</v>
      </c>
      <c r="J28" s="26">
        <v>-5</v>
      </c>
      <c r="K28" s="26">
        <v>5</v>
      </c>
      <c r="L28" s="23"/>
      <c r="M28" s="352"/>
      <c r="N28" s="23"/>
      <c r="O28" s="23"/>
      <c r="P28" s="23"/>
      <c r="Q28" s="23"/>
      <c r="R28" s="24" t="s">
        <v>66</v>
      </c>
      <c r="S28" s="319"/>
      <c r="T28" s="313" t="s">
        <v>338</v>
      </c>
      <c r="U28" s="310"/>
      <c r="V28" s="311"/>
      <c r="W28"/>
      <c r="X28"/>
      <c r="Y28"/>
      <c r="Z28"/>
      <c r="AA28"/>
      <c r="AB28"/>
    </row>
    <row r="29" spans="1:28" s="2" customFormat="1" ht="12.75">
      <c r="A29" s="116"/>
      <c r="B29" s="106"/>
      <c r="C29" s="106"/>
      <c r="D29" s="104" t="s">
        <v>67</v>
      </c>
      <c r="E29" s="36" t="s">
        <v>27</v>
      </c>
      <c r="F29" s="227">
        <f>10*LOG(1+(191.3/290))</f>
        <v>2.200178637784024</v>
      </c>
      <c r="G29" s="151">
        <v>4.05</v>
      </c>
      <c r="H29" s="538" t="str">
        <f>IF(J29=-K29,CONCATENATE("±",TEXT(ABS(J29),"0.0##")),CONCATENATE(TEXT(J29,"+0.0##;-0.0##"),"/",TEXT(K29,"+0.0##;-0.0##")))</f>
        <v>±0.88</v>
      </c>
      <c r="I29" s="525">
        <f>G29+J29</f>
        <v>3.17</v>
      </c>
      <c r="J29" s="26">
        <v>-0.88</v>
      </c>
      <c r="K29" s="26">
        <f>-J29</f>
        <v>0.88</v>
      </c>
      <c r="L29" s="23"/>
      <c r="M29" s="352"/>
      <c r="N29" s="23"/>
      <c r="O29" s="23"/>
      <c r="P29" s="23"/>
      <c r="Q29" s="23"/>
      <c r="R29" s="24" t="s">
        <v>69</v>
      </c>
      <c r="S29" s="319"/>
      <c r="T29" s="313" t="s">
        <v>279</v>
      </c>
      <c r="U29" s="310"/>
      <c r="V29" s="311"/>
      <c r="W29"/>
      <c r="X29"/>
      <c r="Y29"/>
      <c r="Z29"/>
      <c r="AA29"/>
      <c r="AB29"/>
    </row>
    <row r="30" spans="1:28" s="2" customFormat="1" ht="12.75">
      <c r="A30" s="116"/>
      <c r="B30" s="106"/>
      <c r="C30" s="106"/>
      <c r="D30" s="104" t="s">
        <v>70</v>
      </c>
      <c r="E30" s="36" t="s">
        <v>27</v>
      </c>
      <c r="F30" s="155" t="s">
        <v>65</v>
      </c>
      <c r="G30" s="151">
        <v>0.2</v>
      </c>
      <c r="H30" s="675" t="s">
        <v>68</v>
      </c>
      <c r="I30" s="525">
        <f>G30+J30</f>
        <v>0.18</v>
      </c>
      <c r="J30" s="26">
        <f>-G30*0.1</f>
        <v>-0.020000000000000004</v>
      </c>
      <c r="K30" s="26">
        <f>-J30</f>
        <v>0.020000000000000004</v>
      </c>
      <c r="L30" s="23"/>
      <c r="M30" s="352"/>
      <c r="N30" s="23"/>
      <c r="O30" s="23"/>
      <c r="P30" s="23"/>
      <c r="Q30" s="23"/>
      <c r="R30" s="24" t="s">
        <v>69</v>
      </c>
      <c r="S30" s="319"/>
      <c r="T30" s="313" t="s">
        <v>273</v>
      </c>
      <c r="U30" s="310"/>
      <c r="V30" s="311"/>
      <c r="W30"/>
      <c r="X30"/>
      <c r="Y30"/>
      <c r="Z30"/>
      <c r="AA30"/>
      <c r="AB30"/>
    </row>
    <row r="31" spans="1:28" s="2" customFormat="1" ht="12.75">
      <c r="A31" s="116"/>
      <c r="B31" s="106"/>
      <c r="C31" s="106" t="s">
        <v>71</v>
      </c>
      <c r="D31" s="104"/>
      <c r="E31" s="36" t="s">
        <v>64</v>
      </c>
      <c r="F31" s="155" t="s">
        <v>65</v>
      </c>
      <c r="G31" s="44">
        <f>290*(10^((G29+G30)*0.1)-1)</f>
        <v>481.61026734165495</v>
      </c>
      <c r="H31" s="77"/>
      <c r="I31" s="43">
        <f>290*(10^((I29+I30)/10)-1)</f>
        <v>337.1883718808359</v>
      </c>
      <c r="J31" s="44">
        <f>(290*(10^((I29+J29+I30+J30)*0.1)-1))-I31</f>
        <v>-117.39052383281498</v>
      </c>
      <c r="K31" s="44">
        <f>(290*(10^((I29+K29+I30+K30)*0.1)-1))-I31</f>
        <v>144.42189546081892</v>
      </c>
      <c r="L31" s="23"/>
      <c r="M31" s="352"/>
      <c r="N31" s="23"/>
      <c r="O31" s="23"/>
      <c r="P31" s="23"/>
      <c r="Q31" s="23"/>
      <c r="R31" s="24" t="s">
        <v>72</v>
      </c>
      <c r="S31" s="297" t="s">
        <v>250</v>
      </c>
      <c r="T31" s="311"/>
      <c r="U31" s="310"/>
      <c r="V31" s="311"/>
      <c r="W31"/>
      <c r="X31"/>
      <c r="Y31"/>
      <c r="Z31"/>
      <c r="AA31"/>
      <c r="AB31"/>
    </row>
    <row r="32" spans="1:28" s="2" customFormat="1" ht="12.75">
      <c r="A32" s="116"/>
      <c r="B32" s="106" t="s">
        <v>73</v>
      </c>
      <c r="C32" s="106"/>
      <c r="D32" s="104"/>
      <c r="E32" s="36" t="s">
        <v>74</v>
      </c>
      <c r="F32" s="44">
        <f>10*LOG(395.4)</f>
        <v>25.970366649776537</v>
      </c>
      <c r="G32" s="44">
        <f>10*LOG(G28+G31)</f>
        <v>27.646320646502694</v>
      </c>
      <c r="H32" s="22"/>
      <c r="I32" s="43">
        <f>10*LOG(I28+I31)</f>
        <v>26.406686022823624</v>
      </c>
      <c r="J32" s="44">
        <f>(10*LOG(I28+J28+I31+J31))-I32</f>
        <v>-1.4263684741383678</v>
      </c>
      <c r="K32" s="44">
        <f>(10*LOG(I28+K28+I31+K31))-I32</f>
        <v>1.2768105781256516</v>
      </c>
      <c r="L32" s="40">
        <f>I32+((J32+K32)/2)</f>
        <v>26.331907074817266</v>
      </c>
      <c r="M32" s="53">
        <f>((J32-K32)^2)/36</f>
        <v>0.2029771385721945</v>
      </c>
      <c r="N32" s="41"/>
      <c r="O32" s="41"/>
      <c r="P32" s="41"/>
      <c r="Q32" s="20" t="s">
        <v>32</v>
      </c>
      <c r="R32" s="24" t="s">
        <v>75</v>
      </c>
      <c r="S32" s="297" t="s">
        <v>251</v>
      </c>
      <c r="T32" s="311"/>
      <c r="U32" s="312" t="s">
        <v>292</v>
      </c>
      <c r="V32" s="313" t="s">
        <v>324</v>
      </c>
      <c r="W32"/>
      <c r="X32"/>
      <c r="Y32"/>
      <c r="Z32"/>
      <c r="AA32"/>
      <c r="AB32"/>
    </row>
    <row r="33" spans="1:28" s="2" customFormat="1" ht="12.75">
      <c r="A33" s="116" t="s">
        <v>76</v>
      </c>
      <c r="B33" s="106"/>
      <c r="C33" s="106"/>
      <c r="D33" s="104"/>
      <c r="E33" s="36" t="s">
        <v>77</v>
      </c>
      <c r="F33" s="161">
        <f>F25-F26-F32</f>
        <v>-17.970366649776537</v>
      </c>
      <c r="G33" s="161">
        <f>G25-G26-G32</f>
        <v>-17.866320646502693</v>
      </c>
      <c r="H33" s="22"/>
      <c r="I33" s="43">
        <f>I25-I26-I32</f>
        <v>-16.476686022823625</v>
      </c>
      <c r="J33" s="23"/>
      <c r="K33" s="23"/>
      <c r="L33" s="44">
        <f>L25-L26-L32</f>
        <v>-16.401907074817267</v>
      </c>
      <c r="M33" s="355">
        <f>M25+M26+M32</f>
        <v>0.2050604719055278</v>
      </c>
      <c r="N33" s="44"/>
      <c r="O33" s="44"/>
      <c r="P33" s="44"/>
      <c r="Q33" s="26" t="s">
        <v>32</v>
      </c>
      <c r="R33" s="24"/>
      <c r="S33" s="297" t="s">
        <v>252</v>
      </c>
      <c r="T33" s="311"/>
      <c r="U33" s="298" t="s">
        <v>294</v>
      </c>
      <c r="V33" s="313" t="s">
        <v>302</v>
      </c>
      <c r="W33"/>
      <c r="X33"/>
      <c r="Y33"/>
      <c r="Z33"/>
      <c r="AA33"/>
      <c r="AB33"/>
    </row>
    <row r="34" spans="1:28" s="2" customFormat="1" ht="12.75">
      <c r="A34" s="116" t="s">
        <v>78</v>
      </c>
      <c r="B34" s="106"/>
      <c r="C34" s="106"/>
      <c r="D34" s="104"/>
      <c r="E34" s="36" t="s">
        <v>79</v>
      </c>
      <c r="F34" s="164">
        <v>-198.6</v>
      </c>
      <c r="G34" s="164">
        <v>-198.6</v>
      </c>
      <c r="H34" s="22"/>
      <c r="I34" s="52">
        <v>-198.6</v>
      </c>
      <c r="J34" s="23"/>
      <c r="K34" s="23"/>
      <c r="L34" s="20">
        <f>I34</f>
        <v>-198.6</v>
      </c>
      <c r="M34" s="53">
        <v>0</v>
      </c>
      <c r="N34" s="20"/>
      <c r="O34" s="20"/>
      <c r="P34" s="20"/>
      <c r="Q34" s="20" t="s">
        <v>80</v>
      </c>
      <c r="R34" s="24" t="s">
        <v>81</v>
      </c>
      <c r="S34" s="319"/>
      <c r="T34" s="311"/>
      <c r="U34" s="330" t="s">
        <v>303</v>
      </c>
      <c r="V34" s="313" t="s">
        <v>302</v>
      </c>
      <c r="W34"/>
      <c r="X34"/>
      <c r="Y34"/>
      <c r="Z34"/>
      <c r="AA34"/>
      <c r="AB34"/>
    </row>
    <row r="35" spans="1:28" s="2" customFormat="1" ht="12.75">
      <c r="A35" s="116" t="s">
        <v>82</v>
      </c>
      <c r="B35" s="106"/>
      <c r="C35" s="106"/>
      <c r="D35" s="104"/>
      <c r="E35" s="36" t="s">
        <v>83</v>
      </c>
      <c r="F35" s="44">
        <f>F24+F33-F34</f>
        <v>31.829633350223446</v>
      </c>
      <c r="G35" s="44">
        <f>G24+G33-G34</f>
        <v>34.58739377696358</v>
      </c>
      <c r="H35" s="22"/>
      <c r="I35" s="43">
        <f>I24+I33-I34</f>
        <v>36.47702840064264</v>
      </c>
      <c r="J35" s="23"/>
      <c r="K35" s="23"/>
      <c r="L35" s="44">
        <f>L24+L33-L34</f>
        <v>36.14589548972785</v>
      </c>
      <c r="M35" s="355">
        <f>M24+M33+M34</f>
        <v>0.36750152820858206</v>
      </c>
      <c r="N35" s="47"/>
      <c r="O35" s="20">
        <f>10^(-L35/10)</f>
        <v>0.00024289045645200805</v>
      </c>
      <c r="P35" s="20">
        <f>O35*SQRT(M35)</f>
        <v>0.00014724482008675622</v>
      </c>
      <c r="Q35" s="26" t="s">
        <v>32</v>
      </c>
      <c r="R35" s="24"/>
      <c r="S35" s="297" t="s">
        <v>331</v>
      </c>
      <c r="T35" s="311"/>
      <c r="U35" s="298" t="s">
        <v>295</v>
      </c>
      <c r="V35" s="313" t="s">
        <v>302</v>
      </c>
      <c r="W35"/>
      <c r="X35"/>
      <c r="Y35"/>
      <c r="Z35"/>
      <c r="AA35"/>
      <c r="AB35"/>
    </row>
    <row r="36" spans="1:28" s="2" customFormat="1" ht="13.5" thickBot="1">
      <c r="A36" s="138" t="s">
        <v>84</v>
      </c>
      <c r="B36" s="139"/>
      <c r="C36" s="139"/>
      <c r="D36" s="140"/>
      <c r="E36" s="31" t="s">
        <v>83</v>
      </c>
      <c r="F36" s="165">
        <f>F35</f>
        <v>31.829633350223446</v>
      </c>
      <c r="G36" s="165">
        <f>10*LOG(1/(1/((10^(G10/10))*(G5*1000000))+1/(10^(G35/10))))</f>
        <v>34.587390654743295</v>
      </c>
      <c r="H36" s="142"/>
      <c r="I36" s="166">
        <f>10*LOG(1/(1/((10^(I10/10))*(I5*1000000))+1/(10^(I35/10))))</f>
        <v>36.4770235764247</v>
      </c>
      <c r="J36" s="18"/>
      <c r="K36" s="18"/>
      <c r="L36" s="165">
        <f>10*LOG(1/(1/((10^(L10/10))*(L5*1000000))+1/(10^(L35/10))))</f>
        <v>36.14589101966484</v>
      </c>
      <c r="M36" s="402">
        <f>(P36/O36)^2</f>
        <v>0.36750102642425175</v>
      </c>
      <c r="N36" s="49"/>
      <c r="O36" s="87">
        <f>O10+O35</f>
        <v>0.00024289070645200806</v>
      </c>
      <c r="P36" s="87">
        <f>P10+P35</f>
        <v>0.00014724487111779253</v>
      </c>
      <c r="Q36" s="26" t="s">
        <v>32</v>
      </c>
      <c r="R36" s="216" t="s">
        <v>85</v>
      </c>
      <c r="S36" s="302" t="s">
        <v>333</v>
      </c>
      <c r="T36" s="328"/>
      <c r="U36" s="321" t="s">
        <v>299</v>
      </c>
      <c r="V36" s="316" t="s">
        <v>288</v>
      </c>
      <c r="W36"/>
      <c r="X36"/>
      <c r="Y36"/>
      <c r="Z36"/>
      <c r="AA36"/>
      <c r="AB36"/>
    </row>
    <row r="37" spans="1:28" s="341" customFormat="1" ht="13.5" thickBot="1">
      <c r="A37" s="103" t="s">
        <v>86</v>
      </c>
      <c r="B37" s="103"/>
      <c r="C37" s="103"/>
      <c r="D37" s="103"/>
      <c r="E37" s="13"/>
      <c r="F37" s="229"/>
      <c r="G37" s="229"/>
      <c r="H37" s="231"/>
      <c r="I37" s="13"/>
      <c r="J37" s="13"/>
      <c r="K37" s="13"/>
      <c r="L37" s="13"/>
      <c r="M37" s="353"/>
      <c r="N37" s="13"/>
      <c r="O37" s="13"/>
      <c r="P37" s="13"/>
      <c r="Q37" s="13"/>
      <c r="R37" s="348"/>
      <c r="S37" s="119"/>
      <c r="T37" s="119"/>
      <c r="U37" s="119"/>
      <c r="V37" s="119"/>
      <c r="W37" s="119"/>
      <c r="X37" s="119"/>
      <c r="Y37" s="119"/>
      <c r="Z37" s="119"/>
      <c r="AA37" s="119"/>
      <c r="AB37" s="119"/>
    </row>
    <row r="38" spans="1:28" s="2" customFormat="1" ht="12.75">
      <c r="A38" s="127" t="s">
        <v>87</v>
      </c>
      <c r="B38" s="128"/>
      <c r="C38" s="128"/>
      <c r="D38" s="115"/>
      <c r="E38" s="15" t="s">
        <v>19</v>
      </c>
      <c r="F38" s="148">
        <v>1544.5</v>
      </c>
      <c r="G38" s="148">
        <v>1544.5</v>
      </c>
      <c r="H38" s="17"/>
      <c r="I38" s="523">
        <f>G38</f>
        <v>1544.5</v>
      </c>
      <c r="J38" s="18"/>
      <c r="K38" s="18"/>
      <c r="L38" s="18"/>
      <c r="M38" s="351"/>
      <c r="N38" s="18"/>
      <c r="O38" s="18"/>
      <c r="P38" s="18"/>
      <c r="Q38" s="18"/>
      <c r="R38" s="137"/>
      <c r="S38" s="332"/>
      <c r="T38" s="306" t="s">
        <v>266</v>
      </c>
      <c r="U38" s="307"/>
      <c r="V38" s="308"/>
      <c r="W38"/>
      <c r="X38"/>
      <c r="Y38"/>
      <c r="Z38"/>
      <c r="AA38"/>
      <c r="AB38"/>
    </row>
    <row r="39" spans="1:28" s="2" customFormat="1" ht="12.75">
      <c r="A39" s="116"/>
      <c r="B39" s="106"/>
      <c r="C39" s="106" t="s">
        <v>88</v>
      </c>
      <c r="D39" s="104"/>
      <c r="E39" s="20" t="s">
        <v>89</v>
      </c>
      <c r="F39" s="167">
        <v>3.019958240063303</v>
      </c>
      <c r="G39" s="167">
        <v>2.5</v>
      </c>
      <c r="H39" s="22"/>
      <c r="I39" s="524">
        <f>(10^(I40/10))/1000</f>
        <v>2.9712555685925484</v>
      </c>
      <c r="J39" s="23"/>
      <c r="K39" s="23"/>
      <c r="L39" s="23"/>
      <c r="M39" s="352"/>
      <c r="N39" s="23"/>
      <c r="O39" s="23"/>
      <c r="P39" s="23"/>
      <c r="Q39" s="23"/>
      <c r="R39" s="24" t="s">
        <v>90</v>
      </c>
      <c r="S39" s="319"/>
      <c r="T39" s="313" t="s">
        <v>270</v>
      </c>
      <c r="U39" s="310"/>
      <c r="V39" s="311"/>
      <c r="W39"/>
      <c r="X39"/>
      <c r="Y39"/>
      <c r="Z39"/>
      <c r="AA39"/>
      <c r="AB39"/>
    </row>
    <row r="40" spans="1:28" s="2" customFormat="1" ht="12.75">
      <c r="A40" s="116"/>
      <c r="B40" s="106" t="s">
        <v>88</v>
      </c>
      <c r="C40" s="106"/>
      <c r="D40" s="104"/>
      <c r="E40" s="20" t="s">
        <v>61</v>
      </c>
      <c r="F40" s="168">
        <f>10*LOG(F39)+30</f>
        <v>34.80000937581169</v>
      </c>
      <c r="G40" s="168">
        <f>10*LOG(G39)+30</f>
        <v>33.979400086720375</v>
      </c>
      <c r="H40" s="538" t="str">
        <f>IF(J40=-K40,CONCATENATE("±",TEXT(ABS(J40),"0.0##")),CONCATENATE(TEXT(J40,"+0.0##;-0.0##"),"/",TEXT(K40,"+0.0##;-0.0##")))</f>
        <v>±0.75</v>
      </c>
      <c r="I40" s="525">
        <f>G40+J40</f>
        <v>34.729400086720375</v>
      </c>
      <c r="J40" s="26">
        <v>0.75</v>
      </c>
      <c r="K40" s="26">
        <v>-0.75</v>
      </c>
      <c r="L40" s="40">
        <f>I40+((J40+K40)/3)</f>
        <v>34.729400086720375</v>
      </c>
      <c r="M40" s="53">
        <f>(J40^2+K40^2-(K40*J40))/18</f>
        <v>0.09375</v>
      </c>
      <c r="N40" s="41"/>
      <c r="O40" s="41"/>
      <c r="P40" s="41"/>
      <c r="Q40" s="20" t="s">
        <v>36</v>
      </c>
      <c r="R40" s="24" t="s">
        <v>91</v>
      </c>
      <c r="S40" s="319"/>
      <c r="T40" s="313" t="s">
        <v>270</v>
      </c>
      <c r="U40" s="312" t="s">
        <v>290</v>
      </c>
      <c r="V40" s="313" t="s">
        <v>324</v>
      </c>
      <c r="W40"/>
      <c r="X40"/>
      <c r="Y40"/>
      <c r="Z40"/>
      <c r="AA40"/>
      <c r="AB40"/>
    </row>
    <row r="41" spans="1:28" s="2" customFormat="1" ht="12.75">
      <c r="A41" s="116"/>
      <c r="B41" s="106" t="s">
        <v>92</v>
      </c>
      <c r="C41" s="106"/>
      <c r="D41" s="104"/>
      <c r="E41" s="20" t="s">
        <v>27</v>
      </c>
      <c r="F41" s="169" t="s">
        <v>65</v>
      </c>
      <c r="G41" s="155">
        <v>0.5</v>
      </c>
      <c r="H41" s="538" t="str">
        <f>IF(J41=-K41,CONCATENATE("±",TEXT(ABS(J41),"0.0##")),CONCATENATE(TEXT(J41,"+0.0##;-0.0##"),"/",TEXT(K41,"+0.0##;-0.0##")))</f>
        <v>±0.125</v>
      </c>
      <c r="I41" s="52">
        <f>G41+J41</f>
        <v>0.375</v>
      </c>
      <c r="J41" s="26">
        <v>-0.125</v>
      </c>
      <c r="K41" s="26">
        <v>0.125</v>
      </c>
      <c r="L41" s="40">
        <f>I41+((J41+K41)/2)</f>
        <v>0.375</v>
      </c>
      <c r="M41" s="53">
        <f>((J41-K41)^2)/12</f>
        <v>0.005208333333333333</v>
      </c>
      <c r="N41" s="41"/>
      <c r="O41" s="41"/>
      <c r="P41" s="41"/>
      <c r="Q41" s="20" t="s">
        <v>39</v>
      </c>
      <c r="R41" s="24" t="s">
        <v>93</v>
      </c>
      <c r="S41" s="319"/>
      <c r="T41" s="313" t="s">
        <v>271</v>
      </c>
      <c r="U41" s="312" t="s">
        <v>291</v>
      </c>
      <c r="V41" s="313" t="s">
        <v>324</v>
      </c>
      <c r="W41"/>
      <c r="X41"/>
      <c r="Y41"/>
      <c r="Z41"/>
      <c r="AA41"/>
      <c r="AB41"/>
    </row>
    <row r="42" spans="1:28" s="2" customFormat="1" ht="12.75">
      <c r="A42" s="116"/>
      <c r="B42" s="106" t="s">
        <v>94</v>
      </c>
      <c r="C42" s="106"/>
      <c r="D42" s="104"/>
      <c r="E42" s="20" t="s">
        <v>27</v>
      </c>
      <c r="F42" s="149">
        <v>1.7</v>
      </c>
      <c r="G42" s="151">
        <v>1.5</v>
      </c>
      <c r="H42" s="538" t="str">
        <f>IF(J42=-K42,CONCATENATE("±",TEXT(ABS(J42),"0.0##")),CONCATENATE(TEXT(J42,"+0.0##;-0.0##"),"/",TEXT(K42,"+0.0##;-0.0##")))</f>
        <v>±0.2</v>
      </c>
      <c r="I42" s="52">
        <f>G42+J42</f>
        <v>1.3</v>
      </c>
      <c r="J42" s="26">
        <v>-0.2</v>
      </c>
      <c r="K42" s="26">
        <v>0.2</v>
      </c>
      <c r="L42" s="40">
        <f>I42+((J42+K42)/2)</f>
        <v>1.3</v>
      </c>
      <c r="M42" s="53">
        <f>((J42-K42)^2)/12</f>
        <v>0.013333333333333336</v>
      </c>
      <c r="N42" s="41"/>
      <c r="O42" s="41"/>
      <c r="P42" s="41"/>
      <c r="Q42" s="20" t="s">
        <v>39</v>
      </c>
      <c r="R42" s="24" t="s">
        <v>95</v>
      </c>
      <c r="S42" s="319"/>
      <c r="T42" s="313" t="s">
        <v>279</v>
      </c>
      <c r="U42" s="312" t="s">
        <v>291</v>
      </c>
      <c r="V42" s="313" t="s">
        <v>324</v>
      </c>
      <c r="W42"/>
      <c r="X42"/>
      <c r="Y42"/>
      <c r="Z42"/>
      <c r="AA42"/>
      <c r="AB42"/>
    </row>
    <row r="43" spans="1:28" s="2" customFormat="1" ht="12.75">
      <c r="A43" s="116"/>
      <c r="B43" s="106"/>
      <c r="C43" s="106" t="s">
        <v>96</v>
      </c>
      <c r="D43" s="104"/>
      <c r="E43" s="20" t="s">
        <v>61</v>
      </c>
      <c r="F43" s="159" t="s">
        <v>65</v>
      </c>
      <c r="G43" s="159">
        <f>G40-G41-G42</f>
        <v>31.979400086720375</v>
      </c>
      <c r="H43" s="675"/>
      <c r="I43" s="99">
        <f>I40-I41-I42</f>
        <v>33.05440008672038</v>
      </c>
      <c r="J43" s="99">
        <f>3*SQRT(M43)</f>
        <v>1.0052984631441548</v>
      </c>
      <c r="K43" s="99">
        <f>-3*SQRT(M43)</f>
        <v>-1.0052984631441548</v>
      </c>
      <c r="L43" s="99">
        <f>L40-L41-L42</f>
        <v>33.05440008672038</v>
      </c>
      <c r="M43" s="591">
        <f>M40+M41+M42</f>
        <v>0.11229166666666666</v>
      </c>
      <c r="N43" s="99"/>
      <c r="O43" s="99"/>
      <c r="P43" s="99"/>
      <c r="Q43" s="26" t="s">
        <v>32</v>
      </c>
      <c r="R43" s="24" t="s">
        <v>97</v>
      </c>
      <c r="S43" s="297" t="s">
        <v>384</v>
      </c>
      <c r="T43" s="311"/>
      <c r="U43" s="298" t="s">
        <v>385</v>
      </c>
      <c r="V43" s="425" t="s">
        <v>302</v>
      </c>
      <c r="W43"/>
      <c r="X43"/>
      <c r="Y43"/>
      <c r="Z43"/>
      <c r="AA43"/>
      <c r="AB43"/>
    </row>
    <row r="44" spans="1:28" s="2" customFormat="1" ht="12.75">
      <c r="A44" s="116"/>
      <c r="B44" s="106" t="s">
        <v>58</v>
      </c>
      <c r="C44" s="106"/>
      <c r="D44" s="104"/>
      <c r="E44" s="20" t="s">
        <v>27</v>
      </c>
      <c r="F44" s="149" t="s">
        <v>65</v>
      </c>
      <c r="G44" s="539">
        <v>0.2</v>
      </c>
      <c r="H44" s="538" t="str">
        <f>IF(J44=-K44,CONCATENATE("±",TEXT(ABS(J44),"0.0##")),CONCATENATE(TEXT(J44,"+0.0##;-0.0##"),"/",TEXT(K44,"+0.0##;-0.0##")))</f>
        <v>±0.05</v>
      </c>
      <c r="I44" s="52">
        <f>G44+J44</f>
        <v>0.15000000000000002</v>
      </c>
      <c r="J44" s="26">
        <v>-0.05</v>
      </c>
      <c r="K44" s="26">
        <v>0.05</v>
      </c>
      <c r="L44" s="40">
        <f>I44+((J44+K44)/2)</f>
        <v>0.15000000000000002</v>
      </c>
      <c r="M44" s="53">
        <f>((J44-K44)^2)/12</f>
        <v>0.0008333333333333335</v>
      </c>
      <c r="N44" s="41"/>
      <c r="O44" s="41"/>
      <c r="P44" s="41"/>
      <c r="Q44" s="20" t="s">
        <v>39</v>
      </c>
      <c r="R44" s="24" t="s">
        <v>98</v>
      </c>
      <c r="S44" s="319"/>
      <c r="T44" s="313" t="s">
        <v>279</v>
      </c>
      <c r="U44" s="312" t="s">
        <v>291</v>
      </c>
      <c r="V44" s="313" t="s">
        <v>324</v>
      </c>
      <c r="W44"/>
      <c r="X44"/>
      <c r="Y44"/>
      <c r="Z44"/>
      <c r="AA44"/>
      <c r="AB44"/>
    </row>
    <row r="45" spans="1:28" s="2" customFormat="1" ht="12.75">
      <c r="A45" s="116"/>
      <c r="B45" s="106" t="s">
        <v>55</v>
      </c>
      <c r="C45" s="106"/>
      <c r="D45" s="104"/>
      <c r="E45" s="20" t="s">
        <v>56</v>
      </c>
      <c r="F45" s="149">
        <v>12.3</v>
      </c>
      <c r="G45" s="149">
        <v>14.5</v>
      </c>
      <c r="H45" s="538" t="str">
        <f>IF(J45=-K45,CONCATENATE("±",TEXT(ABS(J45),"0.0##")),CONCATENATE(TEXT(J45,"+0.0##;-0.0##"),"/",TEXT(K45,"+0.0##;-0.0##")))</f>
        <v>±0.15</v>
      </c>
      <c r="I45" s="52">
        <v>14.65</v>
      </c>
      <c r="J45" s="26">
        <v>0.15</v>
      </c>
      <c r="K45" s="26">
        <v>-0.15</v>
      </c>
      <c r="L45" s="40">
        <f>I45+((J45+K45)/3)</f>
        <v>14.65</v>
      </c>
      <c r="M45" s="53">
        <f>(J45^2+K45^2-(K45*J45))/18</f>
        <v>0.0037500000000000003</v>
      </c>
      <c r="N45" s="41"/>
      <c r="O45" s="41"/>
      <c r="P45" s="41"/>
      <c r="Q45" s="20" t="s">
        <v>36</v>
      </c>
      <c r="R45" s="24" t="s">
        <v>57</v>
      </c>
      <c r="S45" s="319"/>
      <c r="T45" s="313" t="s">
        <v>272</v>
      </c>
      <c r="U45" s="312" t="s">
        <v>290</v>
      </c>
      <c r="V45" s="313" t="s">
        <v>324</v>
      </c>
      <c r="W45"/>
      <c r="X45"/>
      <c r="Y45"/>
      <c r="Z45"/>
      <c r="AA45"/>
      <c r="AB45"/>
    </row>
    <row r="46" spans="1:28" s="2" customFormat="1" ht="12.75">
      <c r="A46" s="116"/>
      <c r="B46" s="106"/>
      <c r="C46" s="106" t="s">
        <v>22</v>
      </c>
      <c r="D46" s="104"/>
      <c r="E46" s="36" t="s">
        <v>23</v>
      </c>
      <c r="F46" s="164" t="s">
        <v>178</v>
      </c>
      <c r="G46" s="164" t="s">
        <v>178</v>
      </c>
      <c r="H46" s="22"/>
      <c r="I46" s="52" t="str">
        <f>G46</f>
        <v>RHCP</v>
      </c>
      <c r="J46" s="23"/>
      <c r="K46" s="23"/>
      <c r="L46" s="23"/>
      <c r="M46" s="352"/>
      <c r="N46" s="23"/>
      <c r="O46" s="23"/>
      <c r="P46" s="23"/>
      <c r="Q46" s="23"/>
      <c r="R46" s="24" t="s">
        <v>25</v>
      </c>
      <c r="S46" s="319"/>
      <c r="T46" s="309" t="s">
        <v>267</v>
      </c>
      <c r="U46" s="310"/>
      <c r="V46" s="311"/>
      <c r="W46"/>
      <c r="X46"/>
      <c r="Y46"/>
      <c r="Z46"/>
      <c r="AA46"/>
      <c r="AB46"/>
    </row>
    <row r="47" spans="1:28" s="2" customFormat="1" ht="12.75">
      <c r="A47" s="116"/>
      <c r="B47" s="106"/>
      <c r="C47" s="106" t="s">
        <v>26</v>
      </c>
      <c r="D47" s="104"/>
      <c r="E47" s="36" t="s">
        <v>27</v>
      </c>
      <c r="F47" s="155" t="s">
        <v>28</v>
      </c>
      <c r="G47" s="155">
        <v>3</v>
      </c>
      <c r="H47" s="22"/>
      <c r="I47" s="52">
        <f>G47</f>
        <v>3</v>
      </c>
      <c r="J47" s="23"/>
      <c r="K47" s="23"/>
      <c r="L47" s="23"/>
      <c r="M47" s="352"/>
      <c r="N47" s="23"/>
      <c r="O47" s="23"/>
      <c r="P47" s="23"/>
      <c r="Q47" s="23"/>
      <c r="R47" s="24" t="s">
        <v>29</v>
      </c>
      <c r="S47" s="319"/>
      <c r="T47" s="309" t="s">
        <v>267</v>
      </c>
      <c r="U47" s="310"/>
      <c r="V47" s="311"/>
      <c r="W47"/>
      <c r="X47"/>
      <c r="Y47"/>
      <c r="Z47"/>
      <c r="AA47"/>
      <c r="AB47"/>
    </row>
    <row r="48" spans="1:28" s="2" customFormat="1" ht="12.75">
      <c r="A48" s="116" t="s">
        <v>34</v>
      </c>
      <c r="B48" s="106"/>
      <c r="C48" s="106"/>
      <c r="D48" s="104"/>
      <c r="E48" s="20" t="s">
        <v>35</v>
      </c>
      <c r="F48" s="159">
        <f>F40-F42+F45</f>
        <v>45.40000937581169</v>
      </c>
      <c r="G48" s="159">
        <f>G40-G41-G42-G44+G45</f>
        <v>46.27940008672037</v>
      </c>
      <c r="H48" s="22"/>
      <c r="I48" s="525">
        <f>I40-I41-I42-I44+I45</f>
        <v>47.55440008672038</v>
      </c>
      <c r="J48" s="23"/>
      <c r="K48" s="23"/>
      <c r="L48" s="43">
        <f>L40-L41-L42-L44+L45</f>
        <v>47.55440008672038</v>
      </c>
      <c r="M48" s="354">
        <f>M40+M41+M42+M44+M45</f>
        <v>0.116875</v>
      </c>
      <c r="N48" s="84"/>
      <c r="O48" s="84"/>
      <c r="P48" s="84"/>
      <c r="Q48" s="20" t="s">
        <v>32</v>
      </c>
      <c r="R48" s="24"/>
      <c r="S48" s="297" t="s">
        <v>254</v>
      </c>
      <c r="T48" s="311"/>
      <c r="U48" s="298" t="s">
        <v>296</v>
      </c>
      <c r="V48" s="313" t="s">
        <v>302</v>
      </c>
      <c r="W48"/>
      <c r="X48"/>
      <c r="Y48"/>
      <c r="Z48"/>
      <c r="AA48"/>
      <c r="AB48"/>
    </row>
    <row r="49" spans="1:28" s="2" customFormat="1" ht="12.75">
      <c r="A49" s="143" t="s">
        <v>193</v>
      </c>
      <c r="B49" s="106"/>
      <c r="C49" s="106"/>
      <c r="D49" s="104"/>
      <c r="E49" s="20" t="s">
        <v>27</v>
      </c>
      <c r="F49" s="168">
        <f>-20*LOG(SIN(1.1))</f>
        <v>1.000424710443082</v>
      </c>
      <c r="G49" s="168">
        <f>-20*LOG(SIN(1.1))</f>
        <v>1.000424710443082</v>
      </c>
      <c r="H49" s="225" t="s">
        <v>177</v>
      </c>
      <c r="I49" s="525">
        <f>G49</f>
        <v>1.000424710443082</v>
      </c>
      <c r="J49" s="99">
        <f>-I49/10</f>
        <v>-0.10004247104430819</v>
      </c>
      <c r="K49" s="99">
        <f>I49/10</f>
        <v>0.10004247104430819</v>
      </c>
      <c r="L49" s="40">
        <f>I49+((J49+K49)/2)</f>
        <v>1.000424710443082</v>
      </c>
      <c r="M49" s="53">
        <f>((J49-K49)^2)/12</f>
        <v>0.0033361653375504146</v>
      </c>
      <c r="N49" s="41"/>
      <c r="O49" s="41"/>
      <c r="P49" s="41"/>
      <c r="Q49" s="20" t="s">
        <v>39</v>
      </c>
      <c r="R49" s="24" t="s">
        <v>194</v>
      </c>
      <c r="S49" s="319"/>
      <c r="T49" s="309" t="s">
        <v>267</v>
      </c>
      <c r="U49" s="312" t="s">
        <v>291</v>
      </c>
      <c r="V49" s="313" t="s">
        <v>324</v>
      </c>
      <c r="W49"/>
      <c r="X49"/>
      <c r="Y49"/>
      <c r="Z49"/>
      <c r="AA49"/>
      <c r="AB49"/>
    </row>
    <row r="50" spans="1:28" s="2" customFormat="1" ht="12.75">
      <c r="A50" s="116" t="s">
        <v>99</v>
      </c>
      <c r="B50" s="106"/>
      <c r="C50" s="106"/>
      <c r="D50" s="104"/>
      <c r="E50" s="20"/>
      <c r="F50" s="149">
        <v>1</v>
      </c>
      <c r="G50" s="149">
        <v>1</v>
      </c>
      <c r="H50" s="22"/>
      <c r="I50" s="52">
        <v>1</v>
      </c>
      <c r="J50" s="23"/>
      <c r="K50" s="23"/>
      <c r="L50" s="23"/>
      <c r="M50" s="352"/>
      <c r="N50" s="23"/>
      <c r="O50" s="23"/>
      <c r="P50" s="23"/>
      <c r="Q50" s="23"/>
      <c r="R50" s="24" t="s">
        <v>100</v>
      </c>
      <c r="S50" s="319"/>
      <c r="T50" s="309" t="s">
        <v>274</v>
      </c>
      <c r="U50" s="310"/>
      <c r="V50" s="311"/>
      <c r="W50"/>
      <c r="X50"/>
      <c r="Y50"/>
      <c r="Z50"/>
      <c r="AA50"/>
      <c r="AB50"/>
    </row>
    <row r="51" spans="1:28" s="2" customFormat="1" ht="13.5" thickBot="1">
      <c r="A51" s="138" t="s">
        <v>101</v>
      </c>
      <c r="B51" s="139"/>
      <c r="C51" s="139"/>
      <c r="D51" s="140"/>
      <c r="E51" s="31" t="s">
        <v>35</v>
      </c>
      <c r="F51" s="213">
        <f>F48-F49-10*LOG(F50)</f>
        <v>44.39958466536861</v>
      </c>
      <c r="G51" s="246">
        <f>G48-G49-10*LOG(G50)</f>
        <v>45.27897537627729</v>
      </c>
      <c r="H51" s="17"/>
      <c r="I51" s="32">
        <f>I48-I49-10*LOG(I50)</f>
        <v>46.55397537627729</v>
      </c>
      <c r="J51" s="18"/>
      <c r="K51" s="18"/>
      <c r="L51" s="32">
        <f>L48-L49-10*LOG(I50)</f>
        <v>46.55397537627729</v>
      </c>
      <c r="M51" s="355">
        <f>M48+M49</f>
        <v>0.12021116533755043</v>
      </c>
      <c r="N51" s="44"/>
      <c r="O51" s="44"/>
      <c r="P51" s="44"/>
      <c r="Q51" s="20" t="s">
        <v>32</v>
      </c>
      <c r="R51" s="216" t="s">
        <v>102</v>
      </c>
      <c r="S51" s="322" t="s">
        <v>334</v>
      </c>
      <c r="T51" s="328"/>
      <c r="U51" s="299" t="s">
        <v>337</v>
      </c>
      <c r="V51" s="316" t="s">
        <v>302</v>
      </c>
      <c r="W51"/>
      <c r="X51"/>
      <c r="Y51"/>
      <c r="Z51"/>
      <c r="AA51"/>
      <c r="AB51"/>
    </row>
    <row r="52" spans="1:28" s="341" customFormat="1" ht="13.5" thickBot="1">
      <c r="A52" s="103" t="s">
        <v>103</v>
      </c>
      <c r="B52" s="103"/>
      <c r="C52" s="103"/>
      <c r="D52" s="103"/>
      <c r="E52" s="13"/>
      <c r="F52" s="145"/>
      <c r="G52" s="145"/>
      <c r="H52" s="13"/>
      <c r="I52" s="13"/>
      <c r="J52" s="13"/>
      <c r="K52" s="13"/>
      <c r="L52" s="13"/>
      <c r="M52" s="353"/>
      <c r="N52" s="13"/>
      <c r="O52" s="13"/>
      <c r="P52" s="13"/>
      <c r="Q52" s="13"/>
      <c r="R52" s="348"/>
      <c r="S52" s="119"/>
      <c r="T52" s="119"/>
      <c r="U52" s="119"/>
      <c r="V52" s="119"/>
      <c r="W52" s="119"/>
      <c r="X52" s="119"/>
      <c r="Y52" s="119"/>
      <c r="Z52" s="119"/>
      <c r="AA52" s="119"/>
      <c r="AB52" s="119"/>
    </row>
    <row r="53" spans="1:28" s="2" customFormat="1" ht="12.75">
      <c r="A53" s="127"/>
      <c r="B53" s="128" t="s">
        <v>43</v>
      </c>
      <c r="C53" s="128"/>
      <c r="D53" s="115"/>
      <c r="E53" s="15" t="s">
        <v>44</v>
      </c>
      <c r="F53" s="158">
        <v>41126.8</v>
      </c>
      <c r="G53" s="158">
        <v>41126.8</v>
      </c>
      <c r="H53" s="17"/>
      <c r="I53" s="523">
        <v>41126.8</v>
      </c>
      <c r="J53" s="27">
        <v>40037.8</v>
      </c>
      <c r="K53" s="27">
        <v>41392</v>
      </c>
      <c r="L53" s="18"/>
      <c r="M53" s="351"/>
      <c r="N53" s="18"/>
      <c r="O53" s="18"/>
      <c r="P53" s="18"/>
      <c r="Q53" s="18"/>
      <c r="R53" s="137" t="s">
        <v>304</v>
      </c>
      <c r="S53" s="332"/>
      <c r="T53" s="306" t="s">
        <v>276</v>
      </c>
      <c r="U53" s="307"/>
      <c r="V53" s="308"/>
      <c r="W53"/>
      <c r="X53"/>
      <c r="Y53"/>
      <c r="Z53"/>
      <c r="AA53"/>
      <c r="AB53"/>
    </row>
    <row r="54" spans="1:28" s="2" customFormat="1" ht="12.75">
      <c r="A54" s="116" t="s">
        <v>45</v>
      </c>
      <c r="B54" s="106"/>
      <c r="C54" s="106"/>
      <c r="D54" s="104"/>
      <c r="E54" s="20" t="s">
        <v>27</v>
      </c>
      <c r="F54" s="159">
        <v>188.6</v>
      </c>
      <c r="G54" s="159">
        <f>(20*LOG(G38*1000000)+20*LOG(4*PI()*G53*1000)-20*LOG(300000000))</f>
        <v>188.5000288223162</v>
      </c>
      <c r="H54" s="30"/>
      <c r="I54" s="160">
        <f>(20*LOG($I$38*1000000)+20*LOG(4*PI()*I53*1000)-20*LOG(300000000))</f>
        <v>188.5000288223162</v>
      </c>
      <c r="J54" s="44">
        <f>(20*LOG($I$38*1000000)+20*LOG(4*PI()*J53*1000)-20*LOG(300000000))-I54</f>
        <v>-0.23309426716758708</v>
      </c>
      <c r="K54" s="44">
        <f>(20*LOG($I$38*1000000)+20*LOG(4*PI()*K53*1000)-20*LOG(300000000))-I54</f>
        <v>0.055829843931235246</v>
      </c>
      <c r="L54" s="40">
        <f>I54+((J54+K54)/3)</f>
        <v>188.44094068123744</v>
      </c>
      <c r="M54" s="53">
        <f>(J54^2+K54^2-(K54*J54))/18</f>
        <v>0.003914640300945144</v>
      </c>
      <c r="N54" s="41"/>
      <c r="O54" s="41"/>
      <c r="P54" s="41"/>
      <c r="Q54" s="20" t="s">
        <v>36</v>
      </c>
      <c r="R54" s="24" t="s">
        <v>46</v>
      </c>
      <c r="S54" s="296" t="s">
        <v>257</v>
      </c>
      <c r="T54" s="311"/>
      <c r="U54" s="312" t="s">
        <v>290</v>
      </c>
      <c r="V54" s="313" t="s">
        <v>324</v>
      </c>
      <c r="W54"/>
      <c r="X54"/>
      <c r="Y54"/>
      <c r="Z54"/>
      <c r="AA54"/>
      <c r="AB54"/>
    </row>
    <row r="55" spans="1:28" s="2" customFormat="1" ht="13.5" thickBot="1">
      <c r="A55" s="138" t="s">
        <v>47</v>
      </c>
      <c r="B55" s="139"/>
      <c r="C55" s="139"/>
      <c r="D55" s="140"/>
      <c r="E55" s="20" t="s">
        <v>27</v>
      </c>
      <c r="F55" s="149">
        <v>0</v>
      </c>
      <c r="G55" s="149">
        <v>0.35</v>
      </c>
      <c r="H55" s="22" t="s">
        <v>104</v>
      </c>
      <c r="I55" s="52">
        <v>0.35</v>
      </c>
      <c r="J55" s="26">
        <f>0.13-0.35</f>
        <v>-0.21999999999999997</v>
      </c>
      <c r="K55" s="26">
        <f>1.67-0.35</f>
        <v>1.3199999999999998</v>
      </c>
      <c r="L55" s="20">
        <f>I55+((J55+K55)/2)</f>
        <v>0.8999999999999999</v>
      </c>
      <c r="M55" s="53">
        <f>((J55-K55)^2)/36</f>
        <v>0.06587777777777776</v>
      </c>
      <c r="N55" s="20"/>
      <c r="O55" s="20"/>
      <c r="P55" s="20"/>
      <c r="Q55" s="20" t="s">
        <v>32</v>
      </c>
      <c r="R55" s="216" t="s">
        <v>48</v>
      </c>
      <c r="S55" s="334"/>
      <c r="T55" s="316" t="s">
        <v>301</v>
      </c>
      <c r="U55" s="315" t="s">
        <v>292</v>
      </c>
      <c r="V55" s="316" t="s">
        <v>324</v>
      </c>
      <c r="W55"/>
      <c r="X55"/>
      <c r="Y55"/>
      <c r="Z55"/>
      <c r="AA55"/>
      <c r="AB55"/>
    </row>
    <row r="56" spans="1:28" s="341" customFormat="1" ht="13.5" thickBot="1">
      <c r="A56" s="103" t="s">
        <v>105</v>
      </c>
      <c r="B56" s="103"/>
      <c r="C56" s="103"/>
      <c r="D56" s="103"/>
      <c r="E56" s="13"/>
      <c r="F56" s="145"/>
      <c r="G56" s="145"/>
      <c r="H56" s="13"/>
      <c r="I56" s="13"/>
      <c r="J56" s="13"/>
      <c r="K56" s="13"/>
      <c r="L56" s="13"/>
      <c r="M56" s="353"/>
      <c r="N56" s="13"/>
      <c r="O56" s="13"/>
      <c r="P56" s="13"/>
      <c r="Q56" s="13"/>
      <c r="R56" s="348"/>
      <c r="S56" s="119"/>
      <c r="T56" s="119"/>
      <c r="U56" s="119"/>
      <c r="V56" s="119"/>
      <c r="W56" s="119"/>
      <c r="X56" s="119"/>
      <c r="Y56" s="119"/>
      <c r="Z56" s="119"/>
      <c r="AA56" s="119"/>
      <c r="AB56" s="119"/>
    </row>
    <row r="57" spans="1:28" s="2" customFormat="1" ht="12.75">
      <c r="A57" s="127" t="s">
        <v>106</v>
      </c>
      <c r="B57" s="128"/>
      <c r="C57" s="128"/>
      <c r="D57" s="115"/>
      <c r="E57" s="15" t="s">
        <v>35</v>
      </c>
      <c r="F57" s="170">
        <f>F51-F54-F55</f>
        <v>-144.20041533463137</v>
      </c>
      <c r="G57" s="170">
        <f>G51-G54-G55</f>
        <v>-143.57105344603892</v>
      </c>
      <c r="H57" s="17"/>
      <c r="I57" s="32">
        <f>I51-I54-I55</f>
        <v>-142.2960534460389</v>
      </c>
      <c r="J57" s="18"/>
      <c r="K57" s="18"/>
      <c r="L57" s="34">
        <f>L51-L54-L55</f>
        <v>-142.78696530496015</v>
      </c>
      <c r="M57" s="356">
        <f>M51+M54+M55</f>
        <v>0.19000358341627333</v>
      </c>
      <c r="N57" s="34"/>
      <c r="O57" s="34"/>
      <c r="P57" s="34"/>
      <c r="Q57" s="18"/>
      <c r="R57" s="137"/>
      <c r="S57" s="323" t="s">
        <v>258</v>
      </c>
      <c r="T57" s="308"/>
      <c r="U57" s="323" t="s">
        <v>305</v>
      </c>
      <c r="V57" s="324" t="s">
        <v>302</v>
      </c>
      <c r="W57"/>
      <c r="X57"/>
      <c r="Y57"/>
      <c r="Z57"/>
      <c r="AA57"/>
      <c r="AB57"/>
    </row>
    <row r="58" spans="1:28" s="2" customFormat="1" ht="12.75">
      <c r="A58" s="116" t="s">
        <v>107</v>
      </c>
      <c r="B58" s="106"/>
      <c r="C58" s="106"/>
      <c r="D58" s="104"/>
      <c r="E58" s="20" t="s">
        <v>108</v>
      </c>
      <c r="F58" s="149" t="s">
        <v>189</v>
      </c>
      <c r="G58" s="149" t="s">
        <v>189</v>
      </c>
      <c r="H58" s="25"/>
      <c r="I58" s="37"/>
      <c r="J58" s="38"/>
      <c r="K58" s="38"/>
      <c r="L58" s="38"/>
      <c r="M58" s="352"/>
      <c r="N58" s="38"/>
      <c r="O58" s="38"/>
      <c r="P58" s="38"/>
      <c r="Q58" s="38"/>
      <c r="R58" s="24" t="s">
        <v>281</v>
      </c>
      <c r="S58" s="319"/>
      <c r="T58" s="309" t="s">
        <v>280</v>
      </c>
      <c r="U58" s="318"/>
      <c r="V58" s="311"/>
      <c r="W58"/>
      <c r="X58"/>
      <c r="Y58"/>
      <c r="Z58"/>
      <c r="AA58"/>
      <c r="AB58"/>
    </row>
    <row r="59" spans="1:28" s="2" customFormat="1" ht="12.75">
      <c r="A59" s="116" t="s">
        <v>109</v>
      </c>
      <c r="B59" s="106"/>
      <c r="C59" s="106"/>
      <c r="D59" s="104"/>
      <c r="E59" s="20" t="s">
        <v>108</v>
      </c>
      <c r="F59" s="171">
        <f>(F51-30)-F55-(10*LOG(4*PI()*(F53*1000)^2))</f>
        <v>-148.8750123583705</v>
      </c>
      <c r="G59" s="171">
        <f>(G51-30)-G55-(10*LOG(4*PI()*(G53*1000)^2))</f>
        <v>-148.34562164746183</v>
      </c>
      <c r="H59" s="25"/>
      <c r="I59" s="37"/>
      <c r="J59" s="38"/>
      <c r="K59" s="38"/>
      <c r="L59" s="38"/>
      <c r="M59" s="352"/>
      <c r="N59" s="38"/>
      <c r="O59" s="38"/>
      <c r="P59" s="38"/>
      <c r="Q59" s="38"/>
      <c r="R59" s="24" t="s">
        <v>282</v>
      </c>
      <c r="S59" s="319"/>
      <c r="T59" s="311"/>
      <c r="U59" s="318"/>
      <c r="V59" s="311"/>
      <c r="W59"/>
      <c r="X59"/>
      <c r="Y59"/>
      <c r="Z59"/>
      <c r="AA59"/>
      <c r="AB59"/>
    </row>
    <row r="60" spans="1:28" s="2" customFormat="1" ht="12.75">
      <c r="A60" s="116"/>
      <c r="B60" s="106" t="s">
        <v>110</v>
      </c>
      <c r="C60" s="106"/>
      <c r="D60" s="104"/>
      <c r="E60" s="20" t="s">
        <v>77</v>
      </c>
      <c r="F60" s="149">
        <v>11.8</v>
      </c>
      <c r="G60" s="149">
        <v>6</v>
      </c>
      <c r="H60" s="538" t="str">
        <f>IF(J60=-K60,CONCATENATE("±",TEXT(ABS(J60),"0.0##")),CONCATENATE(TEXT(J60,"+0.0##;-0.0##"),"/",TEXT(K60,"+0.0##;-0.0##")))</f>
        <v>±0.5</v>
      </c>
      <c r="I60" s="52">
        <f>G60</f>
        <v>6</v>
      </c>
      <c r="J60" s="26">
        <v>0.5</v>
      </c>
      <c r="K60" s="26">
        <v>-0.5</v>
      </c>
      <c r="L60" s="20">
        <f>I60+((J60+K60)/2)</f>
        <v>6</v>
      </c>
      <c r="M60" s="53">
        <f>((J60-K60)^2)/36</f>
        <v>0.027777777777777776</v>
      </c>
      <c r="N60" s="20"/>
      <c r="O60" s="20"/>
      <c r="P60" s="20"/>
      <c r="Q60" s="20" t="s">
        <v>32</v>
      </c>
      <c r="R60" s="24" t="s">
        <v>283</v>
      </c>
      <c r="S60" s="319"/>
      <c r="T60" s="309" t="s">
        <v>268</v>
      </c>
      <c r="U60" s="312" t="s">
        <v>292</v>
      </c>
      <c r="V60" s="313" t="s">
        <v>324</v>
      </c>
      <c r="W60"/>
      <c r="X60"/>
      <c r="Y60"/>
      <c r="Z60"/>
      <c r="AA60"/>
      <c r="AB60"/>
    </row>
    <row r="61" spans="1:28" s="2" customFormat="1" ht="12.75">
      <c r="A61" s="116"/>
      <c r="B61" s="106" t="s">
        <v>111</v>
      </c>
      <c r="C61" s="106"/>
      <c r="D61" s="104"/>
      <c r="E61" s="20" t="s">
        <v>27</v>
      </c>
      <c r="F61" s="149">
        <v>0.5</v>
      </c>
      <c r="G61" s="539">
        <v>0.5</v>
      </c>
      <c r="H61" s="538" t="str">
        <f>IF(J61=-K61,CONCATENATE("±",TEXT(ABS(J61),"0.0##")),CONCATENATE(TEXT(J61,"+0.0##;-0.0##"),"/",TEXT(K61,"+0.0##;-0.0##")))</f>
        <v>±0.25</v>
      </c>
      <c r="I61" s="52">
        <v>0.25</v>
      </c>
      <c r="J61" s="26">
        <v>-0.25</v>
      </c>
      <c r="K61" s="26">
        <v>0.25</v>
      </c>
      <c r="L61" s="20">
        <f>I61+((J61+K61)/2)</f>
        <v>0.25</v>
      </c>
      <c r="M61" s="53">
        <f>((J61-K61)^2)/12</f>
        <v>0.020833333333333332</v>
      </c>
      <c r="N61" s="20"/>
      <c r="O61" s="20"/>
      <c r="P61" s="20"/>
      <c r="Q61" s="20" t="s">
        <v>39</v>
      </c>
      <c r="R61" s="24" t="s">
        <v>283</v>
      </c>
      <c r="S61" s="319"/>
      <c r="T61" s="309" t="s">
        <v>268</v>
      </c>
      <c r="U61" s="312" t="s">
        <v>291</v>
      </c>
      <c r="V61" s="313" t="s">
        <v>324</v>
      </c>
      <c r="W61"/>
      <c r="X61"/>
      <c r="Y61"/>
      <c r="Z61"/>
      <c r="AA61"/>
      <c r="AB61"/>
    </row>
    <row r="62" spans="1:28" s="2" customFormat="1" ht="12.75">
      <c r="A62" s="116"/>
      <c r="B62" s="106"/>
      <c r="C62" s="106" t="s">
        <v>22</v>
      </c>
      <c r="D62" s="104"/>
      <c r="E62" s="36" t="s">
        <v>23</v>
      </c>
      <c r="F62" s="164" t="s">
        <v>178</v>
      </c>
      <c r="G62" s="164" t="s">
        <v>178</v>
      </c>
      <c r="H62" s="22"/>
      <c r="I62" s="52" t="str">
        <f>G62</f>
        <v>RHCP</v>
      </c>
      <c r="J62" s="23"/>
      <c r="K62" s="23"/>
      <c r="L62" s="23"/>
      <c r="M62" s="352"/>
      <c r="N62" s="23"/>
      <c r="O62" s="23"/>
      <c r="P62" s="23"/>
      <c r="Q62" s="23"/>
      <c r="R62" s="24" t="s">
        <v>25</v>
      </c>
      <c r="S62" s="319"/>
      <c r="T62" s="309" t="s">
        <v>267</v>
      </c>
      <c r="U62" s="310"/>
      <c r="V62" s="311"/>
      <c r="W62"/>
      <c r="X62"/>
      <c r="Y62"/>
      <c r="Z62"/>
      <c r="AA62"/>
      <c r="AB62"/>
    </row>
    <row r="63" spans="1:28" s="2" customFormat="1" ht="12.75">
      <c r="A63" s="116"/>
      <c r="B63" s="106"/>
      <c r="C63" s="106" t="s">
        <v>26</v>
      </c>
      <c r="D63" s="104"/>
      <c r="E63" s="36" t="s">
        <v>27</v>
      </c>
      <c r="F63" s="155">
        <v>3</v>
      </c>
      <c r="G63" s="155">
        <v>3</v>
      </c>
      <c r="H63" s="22"/>
      <c r="I63" s="52">
        <f>G63</f>
        <v>3</v>
      </c>
      <c r="J63" s="23"/>
      <c r="K63" s="23"/>
      <c r="L63" s="23"/>
      <c r="M63" s="352"/>
      <c r="N63" s="23"/>
      <c r="O63" s="23"/>
      <c r="P63" s="23"/>
      <c r="Q63" s="23"/>
      <c r="R63" s="24" t="s">
        <v>29</v>
      </c>
      <c r="S63" s="319"/>
      <c r="T63" s="309" t="s">
        <v>267</v>
      </c>
      <c r="U63" s="310"/>
      <c r="V63" s="311"/>
      <c r="W63"/>
      <c r="X63"/>
      <c r="Y63"/>
      <c r="Z63"/>
      <c r="AA63"/>
      <c r="AB63"/>
    </row>
    <row r="64" spans="1:28" s="2" customFormat="1" ht="12" customHeight="1">
      <c r="A64" s="116"/>
      <c r="B64" s="106" t="s">
        <v>50</v>
      </c>
      <c r="C64" s="106"/>
      <c r="D64" s="104"/>
      <c r="E64" s="20" t="s">
        <v>27</v>
      </c>
      <c r="F64" s="149">
        <v>3</v>
      </c>
      <c r="G64" s="149">
        <v>0.6</v>
      </c>
      <c r="H64" s="538" t="str">
        <f>IF(J64=-K64,CONCATENATE("±",TEXT(ABS(J64),"0.0##")),CONCATENATE(TEXT(J64,"+0.0##;-0.0##"),"/",TEXT(K64,"+0.0##;-0.0##")))</f>
        <v>±0.5</v>
      </c>
      <c r="I64" s="52">
        <v>0.6</v>
      </c>
      <c r="J64" s="26">
        <v>-0.5</v>
      </c>
      <c r="K64" s="26">
        <v>0.5</v>
      </c>
      <c r="L64" s="20">
        <f>I64+((J64+K64)/2)</f>
        <v>0.6</v>
      </c>
      <c r="M64" s="53">
        <f>((J64-K64)^2)/12</f>
        <v>0.08333333333333333</v>
      </c>
      <c r="N64" s="20"/>
      <c r="O64" s="20"/>
      <c r="P64" s="20"/>
      <c r="Q64" s="20" t="s">
        <v>39</v>
      </c>
      <c r="R64" s="24" t="s">
        <v>51</v>
      </c>
      <c r="S64" s="319"/>
      <c r="T64" s="311"/>
      <c r="U64" s="312" t="s">
        <v>291</v>
      </c>
      <c r="V64" s="313" t="s">
        <v>324</v>
      </c>
      <c r="W64"/>
      <c r="X64"/>
      <c r="Y64"/>
      <c r="Z64"/>
      <c r="AA64"/>
      <c r="AB64"/>
    </row>
    <row r="65" spans="1:28" s="2" customFormat="1" ht="12.75">
      <c r="A65" s="116"/>
      <c r="B65" s="106" t="s">
        <v>78</v>
      </c>
      <c r="C65" s="106"/>
      <c r="D65" s="104"/>
      <c r="E65" s="20" t="s">
        <v>79</v>
      </c>
      <c r="F65" s="147">
        <v>-198.6</v>
      </c>
      <c r="G65" s="147">
        <v>-198.6</v>
      </c>
      <c r="H65" s="22"/>
      <c r="I65" s="52">
        <v>-198.6</v>
      </c>
      <c r="J65" s="23"/>
      <c r="K65" s="23"/>
      <c r="L65" s="20">
        <f>I65</f>
        <v>-198.6</v>
      </c>
      <c r="M65" s="53">
        <v>0</v>
      </c>
      <c r="N65" s="20"/>
      <c r="O65" s="20"/>
      <c r="P65" s="20"/>
      <c r="Q65" s="20" t="s">
        <v>80</v>
      </c>
      <c r="R65" s="24" t="s">
        <v>81</v>
      </c>
      <c r="S65" s="319"/>
      <c r="T65" s="311"/>
      <c r="U65" s="330" t="s">
        <v>303</v>
      </c>
      <c r="V65" s="313" t="s">
        <v>302</v>
      </c>
      <c r="W65"/>
      <c r="X65"/>
      <c r="Y65"/>
      <c r="Z65"/>
      <c r="AA65"/>
      <c r="AB65"/>
    </row>
    <row r="66" spans="1:28" s="2" customFormat="1" ht="12.75">
      <c r="A66" s="116" t="s">
        <v>112</v>
      </c>
      <c r="B66" s="106"/>
      <c r="C66" s="106"/>
      <c r="D66" s="104"/>
      <c r="E66" s="36" t="s">
        <v>83</v>
      </c>
      <c r="F66" s="44">
        <f>F57+F60-F61-F64-F65</f>
        <v>62.69958466536863</v>
      </c>
      <c r="G66" s="44">
        <f>G57+G60-G61-G64-G65</f>
        <v>59.92894655396108</v>
      </c>
      <c r="H66" s="22"/>
      <c r="I66" s="43">
        <f>I57+I60-I61-I64-I65</f>
        <v>61.45394655396109</v>
      </c>
      <c r="J66" s="23"/>
      <c r="K66" s="23"/>
      <c r="L66" s="44">
        <f>L57+L60-L61-L64-L65</f>
        <v>60.96303469503985</v>
      </c>
      <c r="M66" s="355">
        <f>M57+M60+M61+M64+M65</f>
        <v>0.3219480278607178</v>
      </c>
      <c r="N66" s="44"/>
      <c r="O66" s="44"/>
      <c r="P66" s="44"/>
      <c r="Q66" s="23"/>
      <c r="R66" s="24"/>
      <c r="S66" s="297" t="s">
        <v>259</v>
      </c>
      <c r="T66" s="311"/>
      <c r="U66" s="360" t="s">
        <v>321</v>
      </c>
      <c r="V66" s="313" t="s">
        <v>302</v>
      </c>
      <c r="W66"/>
      <c r="X66"/>
      <c r="Y66"/>
      <c r="Z66"/>
      <c r="AA66"/>
      <c r="AB66"/>
    </row>
    <row r="67" spans="1:28" s="2" customFormat="1" ht="12.75">
      <c r="A67" s="116"/>
      <c r="B67" s="106" t="s">
        <v>113</v>
      </c>
      <c r="C67" s="106"/>
      <c r="D67" s="104"/>
      <c r="E67" s="20" t="s">
        <v>27</v>
      </c>
      <c r="F67" s="149">
        <v>17.3</v>
      </c>
      <c r="G67" s="539">
        <v>0.05</v>
      </c>
      <c r="H67" s="67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c r="R67" s="24" t="s">
        <v>114</v>
      </c>
      <c r="S67" s="319"/>
      <c r="T67" s="313" t="s">
        <v>279</v>
      </c>
      <c r="U67" s="312" t="s">
        <v>292</v>
      </c>
      <c r="V67" s="313" t="s">
        <v>324</v>
      </c>
      <c r="W67"/>
      <c r="X67"/>
      <c r="Y67"/>
      <c r="Z67"/>
      <c r="AA67"/>
      <c r="AB67"/>
    </row>
    <row r="68" spans="1:28" s="2" customFormat="1" ht="12.75">
      <c r="A68" s="116"/>
      <c r="B68" s="106" t="s">
        <v>115</v>
      </c>
      <c r="C68" s="106"/>
      <c r="D68" s="104"/>
      <c r="E68" s="20" t="s">
        <v>27</v>
      </c>
      <c r="F68" s="149">
        <v>3.8</v>
      </c>
      <c r="G68" s="539">
        <v>19.24</v>
      </c>
      <c r="H68" s="538" t="str">
        <f>IF(J68=-K68,CONCATENATE("±",TEXT(ABS(J68),"0.0##")),CONCATENATE(TEXT(J68,"+0.0##;-0.0##"),"/",TEXT(K68,"+0.0##;-0.0##")))</f>
        <v>±0.52</v>
      </c>
      <c r="I68" s="733">
        <f>G68+J68</f>
        <v>18.72</v>
      </c>
      <c r="J68" s="26">
        <v>-0.52</v>
      </c>
      <c r="K68" s="26">
        <v>0.52</v>
      </c>
      <c r="L68" s="20">
        <f>I68+((J68+K68)/2)</f>
        <v>18.72</v>
      </c>
      <c r="M68" s="53">
        <f>((J68-K68)^2)/12</f>
        <v>0.09013333333333334</v>
      </c>
      <c r="N68" s="20"/>
      <c r="O68" s="20"/>
      <c r="P68" s="20"/>
      <c r="Q68" s="20" t="s">
        <v>39</v>
      </c>
      <c r="R68" s="24" t="s">
        <v>116</v>
      </c>
      <c r="S68" s="319"/>
      <c r="T68" s="311"/>
      <c r="U68" s="312" t="s">
        <v>291</v>
      </c>
      <c r="V68" s="313" t="s">
        <v>324</v>
      </c>
      <c r="W68"/>
      <c r="X68"/>
      <c r="Y68"/>
      <c r="Z68"/>
      <c r="AA68"/>
      <c r="AB68"/>
    </row>
    <row r="69" spans="1:28" s="2" customFormat="1" ht="13.5" thickBot="1">
      <c r="A69" s="138" t="s">
        <v>117</v>
      </c>
      <c r="B69" s="139"/>
      <c r="C69" s="139"/>
      <c r="D69" s="140"/>
      <c r="E69" s="20" t="s">
        <v>83</v>
      </c>
      <c r="F69" s="159">
        <f>F66-F67-F68</f>
        <v>41.59958466536864</v>
      </c>
      <c r="G69" s="159">
        <f>G66-G67-G68</f>
        <v>40.63894655396109</v>
      </c>
      <c r="H69" s="30"/>
      <c r="I69" s="247">
        <f>I66-I67-I68</f>
        <v>42.68894655396109</v>
      </c>
      <c r="J69" s="23"/>
      <c r="K69" s="23"/>
      <c r="L69" s="44">
        <f>L66-L67-L68</f>
        <v>42.19803469503985</v>
      </c>
      <c r="M69" s="355">
        <f>M66+M67+M68</f>
        <v>0.41208413897182894</v>
      </c>
      <c r="N69" s="44"/>
      <c r="O69" s="20">
        <f>10^(-L69/10)</f>
        <v>6.0283232297939286E-05</v>
      </c>
      <c r="P69" s="20">
        <f>O69*SQRT(M69)</f>
        <v>3.869808551367302E-05</v>
      </c>
      <c r="Q69" s="20" t="s">
        <v>32</v>
      </c>
      <c r="R69" s="216"/>
      <c r="S69" s="325" t="s">
        <v>260</v>
      </c>
      <c r="T69" s="328"/>
      <c r="U69" s="299" t="s">
        <v>298</v>
      </c>
      <c r="V69" s="316" t="s">
        <v>302</v>
      </c>
      <c r="W69"/>
      <c r="X69"/>
      <c r="Y69"/>
      <c r="Z69"/>
      <c r="AA69"/>
      <c r="AB69"/>
    </row>
    <row r="70" spans="1:28" s="341" customFormat="1" ht="13.5" thickBot="1">
      <c r="A70" s="103" t="s">
        <v>118</v>
      </c>
      <c r="B70" s="103"/>
      <c r="C70" s="103"/>
      <c r="D70" s="103"/>
      <c r="E70" s="13"/>
      <c r="F70" s="145"/>
      <c r="G70" s="145"/>
      <c r="H70" s="13"/>
      <c r="I70" s="13"/>
      <c r="J70" s="13"/>
      <c r="K70" s="13"/>
      <c r="L70" s="13"/>
      <c r="M70" s="353"/>
      <c r="N70" s="13"/>
      <c r="O70" s="13"/>
      <c r="P70" s="13"/>
      <c r="Q70" s="13"/>
      <c r="R70" s="348"/>
      <c r="S70" s="119"/>
      <c r="T70" s="119"/>
      <c r="U70" s="119"/>
      <c r="V70" s="119"/>
      <c r="W70" s="119"/>
      <c r="X70" s="119"/>
      <c r="Y70" s="119"/>
      <c r="Z70" s="119"/>
      <c r="AA70" s="119"/>
      <c r="AB70" s="119"/>
    </row>
    <row r="71" spans="1:28" s="2" customFormat="1" ht="12.75">
      <c r="A71" s="127" t="s">
        <v>119</v>
      </c>
      <c r="B71" s="128"/>
      <c r="C71" s="128"/>
      <c r="D71" s="115"/>
      <c r="E71" s="129" t="s">
        <v>83</v>
      </c>
      <c r="F71" s="172">
        <f>10*LOG(1/(1/(10^(F36/10))+1/(10^(F69/10))))</f>
        <v>31.394282101175506</v>
      </c>
      <c r="G71" s="173">
        <f>10*LOG(1/(1/(10^(G36/10))+1/(10^(G69/10))))</f>
        <v>33.62446409496944</v>
      </c>
      <c r="H71" s="132"/>
      <c r="I71" s="133">
        <f>10*LOG(1/(1/(10^(I36/10))+1/(10^(I69/10))))</f>
        <v>35.54551971514029</v>
      </c>
      <c r="J71" s="134"/>
      <c r="K71" s="134"/>
      <c r="L71" s="133">
        <f>10*LOG(1/(1/(10^(L36/10))+1/(10^(L69/10))))</f>
        <v>35.183081339883415</v>
      </c>
      <c r="M71" s="358">
        <f>(P71/O71)^2</f>
        <v>0.3761627030284458</v>
      </c>
      <c r="N71" s="135"/>
      <c r="O71" s="136">
        <f>O36+O69</f>
        <v>0.00030317393874994736</v>
      </c>
      <c r="P71" s="136">
        <f>P36+P69</f>
        <v>0.00018594295663146553</v>
      </c>
      <c r="Q71" s="129" t="s">
        <v>32</v>
      </c>
      <c r="R71" s="137" t="s">
        <v>120</v>
      </c>
      <c r="S71" s="326" t="s">
        <v>261</v>
      </c>
      <c r="T71" s="308"/>
      <c r="U71" s="327" t="s">
        <v>299</v>
      </c>
      <c r="V71" s="324" t="s">
        <v>288</v>
      </c>
      <c r="W71"/>
      <c r="X71"/>
      <c r="Y71"/>
      <c r="Z71"/>
      <c r="AA71"/>
      <c r="AB71"/>
    </row>
    <row r="72" spans="1:28" s="2" customFormat="1" ht="12.75">
      <c r="A72" s="116" t="s">
        <v>18</v>
      </c>
      <c r="B72" s="106"/>
      <c r="C72" s="106"/>
      <c r="D72" s="104"/>
      <c r="E72" s="120" t="s">
        <v>121</v>
      </c>
      <c r="F72" s="174">
        <f>10*LOG(F5)+60</f>
        <v>26.020599913279625</v>
      </c>
      <c r="G72" s="174">
        <f>10*LOG(G5)+60</f>
        <v>26.020599913279625</v>
      </c>
      <c r="H72" s="122"/>
      <c r="I72" s="175">
        <f>10*LOG(I5)+60</f>
        <v>26.020599913279625</v>
      </c>
      <c r="J72" s="124"/>
      <c r="K72" s="124"/>
      <c r="L72" s="125">
        <f>I72</f>
        <v>26.020599913279625</v>
      </c>
      <c r="M72" s="403">
        <v>0</v>
      </c>
      <c r="N72" s="126"/>
      <c r="O72" s="126"/>
      <c r="P72" s="126"/>
      <c r="Q72" s="126" t="s">
        <v>80</v>
      </c>
      <c r="R72" s="24"/>
      <c r="S72" s="297" t="s">
        <v>262</v>
      </c>
      <c r="T72" s="309" t="s">
        <v>265</v>
      </c>
      <c r="U72" s="330" t="s">
        <v>303</v>
      </c>
      <c r="V72" s="313" t="s">
        <v>302</v>
      </c>
      <c r="W72"/>
      <c r="X72"/>
      <c r="Y72"/>
      <c r="Z72"/>
      <c r="AA72"/>
      <c r="AB72"/>
    </row>
    <row r="73" spans="1:28" s="2" customFormat="1" ht="13.5" thickBot="1">
      <c r="A73" s="138" t="s">
        <v>122</v>
      </c>
      <c r="B73" s="139"/>
      <c r="C73" s="139"/>
      <c r="D73" s="140"/>
      <c r="E73" s="36" t="s">
        <v>27</v>
      </c>
      <c r="F73" s="44">
        <f>F71-F72</f>
        <v>5.373682187895881</v>
      </c>
      <c r="G73" s="44">
        <f>G71-G72</f>
        <v>7.603864181689815</v>
      </c>
      <c r="H73" s="22"/>
      <c r="I73" s="43">
        <f>I71-I72</f>
        <v>9.524919801860662</v>
      </c>
      <c r="J73" s="23"/>
      <c r="K73" s="23"/>
      <c r="L73" s="44">
        <f>L71-L72</f>
        <v>9.16248142660379</v>
      </c>
      <c r="M73" s="355">
        <f>M71+M72</f>
        <v>0.3761627030284458</v>
      </c>
      <c r="N73" s="44"/>
      <c r="O73" s="44"/>
      <c r="P73" s="44"/>
      <c r="Q73" s="20" t="s">
        <v>32</v>
      </c>
      <c r="R73" s="216"/>
      <c r="S73" s="325" t="s">
        <v>263</v>
      </c>
      <c r="T73" s="328"/>
      <c r="U73" s="299" t="s">
        <v>300</v>
      </c>
      <c r="V73" s="316" t="s">
        <v>302</v>
      </c>
      <c r="W73"/>
      <c r="X73"/>
      <c r="Y73"/>
      <c r="Z73"/>
      <c r="AA73"/>
      <c r="AB73"/>
    </row>
    <row r="74" spans="1:28" s="341" customFormat="1" ht="13.5" thickBot="1">
      <c r="A74" s="103" t="s">
        <v>123</v>
      </c>
      <c r="B74" s="103"/>
      <c r="C74" s="103"/>
      <c r="D74" s="103"/>
      <c r="E74" s="13"/>
      <c r="F74" s="145"/>
      <c r="G74" s="145"/>
      <c r="H74" s="13"/>
      <c r="I74" s="13"/>
      <c r="J74" s="13"/>
      <c r="K74" s="13"/>
      <c r="L74" s="13"/>
      <c r="M74" s="353"/>
      <c r="N74" s="13"/>
      <c r="O74" s="13"/>
      <c r="P74" s="13"/>
      <c r="Q74" s="13"/>
      <c r="R74" s="348"/>
      <c r="S74" s="119"/>
      <c r="T74" s="119"/>
      <c r="U74" s="119"/>
      <c r="V74" s="119"/>
      <c r="W74" s="119"/>
      <c r="X74" s="119"/>
      <c r="Y74" s="119"/>
      <c r="Z74" s="119"/>
      <c r="AA74" s="119"/>
      <c r="AB74" s="119"/>
    </row>
    <row r="75" spans="1:28" s="2" customFormat="1" ht="12.75">
      <c r="A75" s="127"/>
      <c r="B75" s="128" t="s">
        <v>124</v>
      </c>
      <c r="C75" s="128"/>
      <c r="D75" s="115"/>
      <c r="E75" s="20"/>
      <c r="F75" s="176">
        <v>1E-05</v>
      </c>
      <c r="G75" s="176">
        <v>1E-05</v>
      </c>
      <c r="H75" s="22"/>
      <c r="I75" s="526">
        <f>G75</f>
        <v>1E-05</v>
      </c>
      <c r="J75" s="23"/>
      <c r="K75" s="23"/>
      <c r="L75" s="23"/>
      <c r="M75" s="352"/>
      <c r="N75" s="23"/>
      <c r="O75" s="23"/>
      <c r="P75" s="23"/>
      <c r="Q75" s="23"/>
      <c r="R75" s="137"/>
      <c r="S75" s="332"/>
      <c r="T75" s="306" t="s">
        <v>265</v>
      </c>
      <c r="U75" s="307"/>
      <c r="V75" s="308"/>
      <c r="W75"/>
      <c r="X75"/>
      <c r="Y75"/>
      <c r="Z75"/>
      <c r="AA75"/>
      <c r="AB75"/>
    </row>
    <row r="76" spans="1:28" s="2" customFormat="1" ht="12.75">
      <c r="A76" s="116" t="s">
        <v>125</v>
      </c>
      <c r="B76" s="106"/>
      <c r="C76" s="106"/>
      <c r="D76" s="104"/>
      <c r="E76" s="20" t="s">
        <v>27</v>
      </c>
      <c r="F76" s="167">
        <v>9.6</v>
      </c>
      <c r="G76" s="167">
        <v>9.6</v>
      </c>
      <c r="H76" s="22"/>
      <c r="I76" s="524">
        <f>G76</f>
        <v>9.6</v>
      </c>
      <c r="J76" s="26">
        <v>0</v>
      </c>
      <c r="K76" s="26">
        <v>0</v>
      </c>
      <c r="L76" s="20">
        <f>I76</f>
        <v>9.6</v>
      </c>
      <c r="M76" s="352"/>
      <c r="N76" s="23"/>
      <c r="O76" s="23"/>
      <c r="P76" s="23"/>
      <c r="Q76" s="23"/>
      <c r="R76" s="24" t="s">
        <v>126</v>
      </c>
      <c r="S76" s="319"/>
      <c r="T76" s="311"/>
      <c r="U76" s="310"/>
      <c r="V76" s="311"/>
      <c r="W76"/>
      <c r="X76"/>
      <c r="Y76"/>
      <c r="Z76"/>
      <c r="AA76"/>
      <c r="AB76"/>
    </row>
    <row r="77" spans="1:28" s="2" customFormat="1" ht="12.75">
      <c r="A77" s="116" t="s">
        <v>190</v>
      </c>
      <c r="B77" s="106"/>
      <c r="C77" s="106"/>
      <c r="D77" s="104"/>
      <c r="E77" s="20" t="s">
        <v>27</v>
      </c>
      <c r="F77" s="167">
        <v>6</v>
      </c>
      <c r="G77" s="167">
        <v>6</v>
      </c>
      <c r="H77" s="22"/>
      <c r="I77" s="524">
        <f>G77</f>
        <v>6</v>
      </c>
      <c r="J77" s="26">
        <v>0</v>
      </c>
      <c r="K77" s="26">
        <v>0</v>
      </c>
      <c r="L77" s="20">
        <f>I77</f>
        <v>6</v>
      </c>
      <c r="M77" s="352"/>
      <c r="N77" s="23"/>
      <c r="O77" s="23"/>
      <c r="P77" s="23"/>
      <c r="Q77" s="23"/>
      <c r="S77" s="319"/>
      <c r="T77" s="24" t="s">
        <v>191</v>
      </c>
      <c r="U77" s="319"/>
      <c r="V77" s="319"/>
      <c r="W77"/>
      <c r="X77"/>
      <c r="Y77"/>
      <c r="Z77"/>
      <c r="AA77"/>
      <c r="AB77"/>
    </row>
    <row r="78" spans="1:28" s="2" customFormat="1" ht="12.75">
      <c r="A78" s="116" t="s">
        <v>192</v>
      </c>
      <c r="B78" s="106"/>
      <c r="C78" s="106"/>
      <c r="D78" s="104"/>
      <c r="E78" s="20" t="s">
        <v>27</v>
      </c>
      <c r="F78" s="167">
        <v>2</v>
      </c>
      <c r="G78" s="167">
        <v>2</v>
      </c>
      <c r="H78" s="22"/>
      <c r="I78" s="524">
        <f>G78</f>
        <v>2</v>
      </c>
      <c r="J78" s="26">
        <v>0</v>
      </c>
      <c r="K78" s="26">
        <v>0</v>
      </c>
      <c r="L78" s="20">
        <f>I78</f>
        <v>2</v>
      </c>
      <c r="M78" s="352"/>
      <c r="N78" s="23"/>
      <c r="O78" s="23"/>
      <c r="P78" s="23"/>
      <c r="Q78" s="23"/>
      <c r="S78" s="319"/>
      <c r="T78" s="24" t="s">
        <v>191</v>
      </c>
      <c r="U78" s="319"/>
      <c r="V78" s="319"/>
      <c r="W78"/>
      <c r="X78"/>
      <c r="Y78"/>
      <c r="Z78"/>
      <c r="AA78"/>
      <c r="AB78"/>
    </row>
    <row r="79" spans="1:28" s="2" customFormat="1" ht="12.75">
      <c r="A79" s="116" t="s">
        <v>127</v>
      </c>
      <c r="B79" s="106"/>
      <c r="C79" s="106"/>
      <c r="D79" s="104"/>
      <c r="E79" s="20" t="s">
        <v>27</v>
      </c>
      <c r="F79" s="149">
        <f>F80+F85</f>
        <v>1.6</v>
      </c>
      <c r="G79" s="149">
        <v>2</v>
      </c>
      <c r="H79" s="538" t="str">
        <f>IF(J79=-K79,CONCATENATE("±",TEXT(ABS(J79),"0.0##")),CONCATENATE(TEXT(J79,"+0.0##;-0.0##"),"/",TEXT(K79,"+0.0##;-0.0##")))</f>
        <v>±0.25</v>
      </c>
      <c r="I79" s="52">
        <v>2</v>
      </c>
      <c r="J79" s="26">
        <v>-0.25</v>
      </c>
      <c r="K79" s="26">
        <v>0.25</v>
      </c>
      <c r="L79" s="20">
        <f>I79+((J79+K79)/2)</f>
        <v>2</v>
      </c>
      <c r="M79" s="53">
        <f>((J79-K79)^2)/12</f>
        <v>0.020833333333333332</v>
      </c>
      <c r="N79" s="53"/>
      <c r="O79" s="53"/>
      <c r="P79" s="53"/>
      <c r="Q79" s="20" t="s">
        <v>39</v>
      </c>
      <c r="R79" s="24"/>
      <c r="S79" s="319"/>
      <c r="T79" s="309" t="s">
        <v>265</v>
      </c>
      <c r="U79" s="312" t="s">
        <v>291</v>
      </c>
      <c r="V79" s="313" t="s">
        <v>324</v>
      </c>
      <c r="W79"/>
      <c r="X79"/>
      <c r="Y79"/>
      <c r="Z79"/>
      <c r="AA79"/>
      <c r="AB79"/>
    </row>
    <row r="80" spans="1:28" s="2" customFormat="1" ht="12.75">
      <c r="A80" s="116"/>
      <c r="B80" s="106" t="s">
        <v>128</v>
      </c>
      <c r="C80" s="106"/>
      <c r="D80" s="104"/>
      <c r="E80" s="20" t="s">
        <v>27</v>
      </c>
      <c r="F80" s="149">
        <v>0.6</v>
      </c>
      <c r="G80" s="149"/>
      <c r="H80" s="25"/>
      <c r="I80" s="37"/>
      <c r="J80" s="38"/>
      <c r="K80" s="38"/>
      <c r="L80" s="38"/>
      <c r="M80" s="352"/>
      <c r="N80" s="38"/>
      <c r="O80" s="38"/>
      <c r="P80" s="38"/>
      <c r="Q80" s="38"/>
      <c r="R80" s="24"/>
      <c r="S80" s="319"/>
      <c r="T80" s="311"/>
      <c r="U80" s="318"/>
      <c r="V80" s="311"/>
      <c r="W80"/>
      <c r="X80"/>
      <c r="Y80"/>
      <c r="Z80"/>
      <c r="AA80"/>
      <c r="AB80"/>
    </row>
    <row r="81" spans="1:28" s="2" customFormat="1" ht="12.75">
      <c r="A81" s="116"/>
      <c r="B81" s="106" t="s">
        <v>243</v>
      </c>
      <c r="D81" s="104"/>
      <c r="E81" s="20" t="s">
        <v>27</v>
      </c>
      <c r="F81" s="149"/>
      <c r="G81" s="149">
        <v>0.1</v>
      </c>
      <c r="H81" s="25"/>
      <c r="I81" s="37"/>
      <c r="J81" s="38"/>
      <c r="K81" s="38"/>
      <c r="L81" s="38"/>
      <c r="M81" s="352"/>
      <c r="N81" s="38"/>
      <c r="O81" s="38"/>
      <c r="P81" s="38"/>
      <c r="Q81" s="38"/>
      <c r="R81" s="24"/>
      <c r="S81" s="319"/>
      <c r="T81" s="311"/>
      <c r="U81" s="318"/>
      <c r="V81" s="311"/>
      <c r="W81"/>
      <c r="X81"/>
      <c r="Y81"/>
      <c r="Z81"/>
      <c r="AA81"/>
      <c r="AB81"/>
    </row>
    <row r="82" spans="1:28" s="2" customFormat="1" ht="12.75">
      <c r="A82" s="116"/>
      <c r="B82" s="106" t="s">
        <v>129</v>
      </c>
      <c r="C82" s="106"/>
      <c r="D82" s="104"/>
      <c r="E82" s="20" t="s">
        <v>27</v>
      </c>
      <c r="F82" s="149"/>
      <c r="G82" s="149">
        <f>SUM(G83:G85)</f>
        <v>1.25</v>
      </c>
      <c r="H82" s="25"/>
      <c r="I82" s="37"/>
      <c r="J82" s="38"/>
      <c r="K82" s="38"/>
      <c r="L82" s="38"/>
      <c r="M82" s="352"/>
      <c r="N82" s="38"/>
      <c r="O82" s="38"/>
      <c r="P82" s="38"/>
      <c r="Q82" s="38"/>
      <c r="R82" s="24"/>
      <c r="S82" s="319"/>
      <c r="T82" s="311"/>
      <c r="U82" s="318"/>
      <c r="V82" s="311"/>
      <c r="W82"/>
      <c r="X82"/>
      <c r="Y82"/>
      <c r="Z82"/>
      <c r="AA82"/>
      <c r="AB82"/>
    </row>
    <row r="83" spans="1:28" s="2" customFormat="1" ht="12.75">
      <c r="A83" s="116"/>
      <c r="B83" s="106"/>
      <c r="C83" s="106" t="s">
        <v>130</v>
      </c>
      <c r="D83" s="104"/>
      <c r="E83" s="20" t="s">
        <v>27</v>
      </c>
      <c r="F83" s="149"/>
      <c r="G83" s="149">
        <v>0.25</v>
      </c>
      <c r="H83" s="25"/>
      <c r="I83" s="37"/>
      <c r="J83" s="38"/>
      <c r="K83" s="38"/>
      <c r="L83" s="38"/>
      <c r="M83" s="352"/>
      <c r="N83" s="38"/>
      <c r="O83" s="38"/>
      <c r="P83" s="38"/>
      <c r="Q83" s="38"/>
      <c r="R83" s="24"/>
      <c r="S83" s="319"/>
      <c r="T83" s="311"/>
      <c r="U83" s="318"/>
      <c r="V83" s="311"/>
      <c r="W83"/>
      <c r="X83"/>
      <c r="Y83"/>
      <c r="Z83"/>
      <c r="AA83"/>
      <c r="AB83"/>
    </row>
    <row r="84" spans="1:28" s="2" customFormat="1" ht="12.75">
      <c r="A84" s="116"/>
      <c r="B84" s="106"/>
      <c r="C84" s="106" t="s">
        <v>131</v>
      </c>
      <c r="D84" s="104"/>
      <c r="E84" s="20" t="s">
        <v>27</v>
      </c>
      <c r="F84" s="149"/>
      <c r="G84" s="149"/>
      <c r="H84" s="25"/>
      <c r="I84" s="37"/>
      <c r="J84" s="38"/>
      <c r="K84" s="38"/>
      <c r="L84" s="38"/>
      <c r="M84" s="352"/>
      <c r="N84" s="38"/>
      <c r="O84" s="38"/>
      <c r="P84" s="38"/>
      <c r="Q84" s="38"/>
      <c r="R84" s="24"/>
      <c r="S84" s="319"/>
      <c r="T84" s="311"/>
      <c r="U84" s="318"/>
      <c r="V84" s="311"/>
      <c r="W84"/>
      <c r="X84"/>
      <c r="Y84"/>
      <c r="Z84"/>
      <c r="AA84"/>
      <c r="AB84"/>
    </row>
    <row r="85" spans="1:28" s="2" customFormat="1" ht="12.75">
      <c r="A85" s="116"/>
      <c r="B85" s="106"/>
      <c r="C85" s="106" t="s">
        <v>132</v>
      </c>
      <c r="D85" s="104"/>
      <c r="E85" s="20" t="s">
        <v>27</v>
      </c>
      <c r="F85" s="149">
        <v>1</v>
      </c>
      <c r="G85" s="149">
        <v>1</v>
      </c>
      <c r="H85" s="25"/>
      <c r="I85" s="37"/>
      <c r="J85" s="38"/>
      <c r="K85" s="38"/>
      <c r="L85" s="38"/>
      <c r="M85" s="352"/>
      <c r="N85" s="38"/>
      <c r="O85" s="38"/>
      <c r="P85" s="38"/>
      <c r="Q85" s="38"/>
      <c r="R85" s="24"/>
      <c r="S85" s="319"/>
      <c r="T85" s="311"/>
      <c r="U85" s="318"/>
      <c r="V85" s="311"/>
      <c r="W85"/>
      <c r="X85"/>
      <c r="Y85"/>
      <c r="Z85"/>
      <c r="AA85"/>
      <c r="AB85"/>
    </row>
    <row r="86" spans="1:28" s="2" customFormat="1" ht="12.75">
      <c r="A86" s="116" t="s">
        <v>133</v>
      </c>
      <c r="B86" s="106"/>
      <c r="C86" s="106"/>
      <c r="D86" s="104"/>
      <c r="E86" s="20" t="s">
        <v>27</v>
      </c>
      <c r="F86" s="149">
        <v>1.2</v>
      </c>
      <c r="G86" s="168">
        <f>SUM(G87:G90)</f>
        <v>1.75</v>
      </c>
      <c r="H86" s="25" t="s">
        <v>134</v>
      </c>
      <c r="I86" s="525">
        <f>G86*0.9</f>
        <v>1.575</v>
      </c>
      <c r="J86" s="99">
        <f>-G86*0.1</f>
        <v>-0.17500000000000002</v>
      </c>
      <c r="K86" s="99">
        <f>G86*0.1</f>
        <v>0.17500000000000002</v>
      </c>
      <c r="L86" s="20">
        <f>I86+((J86+K86)/3)</f>
        <v>1.575</v>
      </c>
      <c r="M86" s="53">
        <f>(J86^2+K86^2-(K86*J86))/18</f>
        <v>0.0051041666666666674</v>
      </c>
      <c r="N86" s="20"/>
      <c r="O86" s="20"/>
      <c r="P86" s="20"/>
      <c r="Q86" s="20" t="s">
        <v>36</v>
      </c>
      <c r="R86" s="24"/>
      <c r="S86" s="319"/>
      <c r="T86" s="309" t="s">
        <v>135</v>
      </c>
      <c r="U86" s="312" t="s">
        <v>290</v>
      </c>
      <c r="V86" s="313" t="s">
        <v>324</v>
      </c>
      <c r="W86"/>
      <c r="X86"/>
      <c r="Y86"/>
      <c r="Z86"/>
      <c r="AA86"/>
      <c r="AB86"/>
    </row>
    <row r="87" spans="1:28" s="2" customFormat="1" ht="12.75">
      <c r="A87" s="116"/>
      <c r="B87" s="106"/>
      <c r="C87" s="106" t="s">
        <v>130</v>
      </c>
      <c r="D87" s="104"/>
      <c r="E87" s="20" t="s">
        <v>27</v>
      </c>
      <c r="F87" s="149"/>
      <c r="G87" s="149">
        <v>1.5</v>
      </c>
      <c r="H87" s="25"/>
      <c r="I87" s="37"/>
      <c r="J87" s="38"/>
      <c r="K87" s="38"/>
      <c r="L87" s="38"/>
      <c r="M87" s="352"/>
      <c r="N87" s="38"/>
      <c r="O87" s="38"/>
      <c r="P87" s="38"/>
      <c r="Q87" s="38"/>
      <c r="R87" s="24"/>
      <c r="S87" s="319"/>
      <c r="T87" s="313" t="s">
        <v>289</v>
      </c>
      <c r="U87" s="318"/>
      <c r="V87" s="311"/>
      <c r="W87"/>
      <c r="X87"/>
      <c r="Y87"/>
      <c r="Z87"/>
      <c r="AA87"/>
      <c r="AB87"/>
    </row>
    <row r="88" spans="1:28" s="2" customFormat="1" ht="12.75">
      <c r="A88" s="116"/>
      <c r="B88" s="106"/>
      <c r="C88" s="106" t="s">
        <v>136</v>
      </c>
      <c r="D88" s="104"/>
      <c r="E88" s="20" t="s">
        <v>27</v>
      </c>
      <c r="F88" s="177"/>
      <c r="G88" s="177">
        <v>0.2</v>
      </c>
      <c r="H88" s="25"/>
      <c r="I88" s="37"/>
      <c r="J88" s="38"/>
      <c r="K88" s="38"/>
      <c r="L88" s="38"/>
      <c r="M88" s="352"/>
      <c r="N88" s="38"/>
      <c r="O88" s="38"/>
      <c r="P88" s="38"/>
      <c r="Q88" s="38"/>
      <c r="R88" s="24"/>
      <c r="S88" s="319"/>
      <c r="T88" s="313" t="s">
        <v>289</v>
      </c>
      <c r="U88" s="318"/>
      <c r="V88" s="311"/>
      <c r="W88"/>
      <c r="X88"/>
      <c r="Y88"/>
      <c r="Z88"/>
      <c r="AA88"/>
      <c r="AB88"/>
    </row>
    <row r="89" spans="1:28" s="2" customFormat="1" ht="12.75">
      <c r="A89" s="116"/>
      <c r="B89" s="106"/>
      <c r="C89" s="106" t="s">
        <v>137</v>
      </c>
      <c r="D89" s="104"/>
      <c r="E89" s="20" t="s">
        <v>27</v>
      </c>
      <c r="F89" s="149"/>
      <c r="G89" s="149">
        <v>0</v>
      </c>
      <c r="H89" s="25"/>
      <c r="I89" s="37"/>
      <c r="J89" s="38"/>
      <c r="K89" s="38"/>
      <c r="L89" s="38"/>
      <c r="M89" s="352"/>
      <c r="N89" s="38"/>
      <c r="O89" s="38"/>
      <c r="P89" s="38"/>
      <c r="Q89" s="38"/>
      <c r="R89" s="24"/>
      <c r="S89" s="319"/>
      <c r="T89" s="313" t="s">
        <v>289</v>
      </c>
      <c r="U89" s="318"/>
      <c r="V89" s="311"/>
      <c r="W89"/>
      <c r="X89"/>
      <c r="Y89"/>
      <c r="Z89"/>
      <c r="AA89"/>
      <c r="AB89"/>
    </row>
    <row r="90" spans="1:28" s="2" customFormat="1" ht="12.75">
      <c r="A90" s="116"/>
      <c r="B90" s="106"/>
      <c r="C90" s="106" t="s">
        <v>138</v>
      </c>
      <c r="D90" s="104"/>
      <c r="E90" s="20" t="s">
        <v>27</v>
      </c>
      <c r="F90" s="149"/>
      <c r="G90" s="149">
        <v>0.05</v>
      </c>
      <c r="H90" s="25"/>
      <c r="I90" s="37"/>
      <c r="J90" s="38"/>
      <c r="K90" s="38"/>
      <c r="L90" s="38"/>
      <c r="M90" s="352"/>
      <c r="N90" s="38"/>
      <c r="O90" s="38"/>
      <c r="P90" s="38"/>
      <c r="Q90" s="38"/>
      <c r="R90" s="24"/>
      <c r="S90" s="319"/>
      <c r="T90" s="313" t="s">
        <v>275</v>
      </c>
      <c r="U90" s="318"/>
      <c r="V90" s="311"/>
      <c r="W90"/>
      <c r="X90"/>
      <c r="Y90"/>
      <c r="Z90"/>
      <c r="AA90"/>
      <c r="AB90"/>
    </row>
    <row r="91" spans="1:28" s="2" customFormat="1" ht="26.25" thickBot="1">
      <c r="A91" s="138" t="s">
        <v>139</v>
      </c>
      <c r="B91" s="139"/>
      <c r="C91" s="139"/>
      <c r="D91" s="140"/>
      <c r="E91" s="20" t="s">
        <v>27</v>
      </c>
      <c r="F91" s="178">
        <f>F76-F77-F78+F79+F86</f>
        <v>4.3999999999999995</v>
      </c>
      <c r="G91" s="178">
        <f>G76-G77-G78+G79+G86</f>
        <v>5.35</v>
      </c>
      <c r="H91" s="55"/>
      <c r="I91" s="546">
        <f>I76-I77-I78+I79+I86</f>
        <v>5.175</v>
      </c>
      <c r="J91" s="57"/>
      <c r="K91" s="57"/>
      <c r="L91" s="44">
        <f>L76-L77-L78+L79+L86</f>
        <v>5.175</v>
      </c>
      <c r="M91" s="352"/>
      <c r="N91" s="23"/>
      <c r="O91" s="23"/>
      <c r="P91" s="23"/>
      <c r="Q91" s="23"/>
      <c r="R91" s="216"/>
      <c r="S91" s="547" t="s">
        <v>544</v>
      </c>
      <c r="T91" s="328"/>
      <c r="U91" s="329"/>
      <c r="V91" s="328"/>
      <c r="W91"/>
      <c r="X91"/>
      <c r="Y91"/>
      <c r="Z91"/>
      <c r="AA91"/>
      <c r="AB91"/>
    </row>
    <row r="92" spans="1:22" s="2" customFormat="1" ht="13.5" thickBot="1">
      <c r="A92" s="485" t="s">
        <v>140</v>
      </c>
      <c r="B92" s="103"/>
      <c r="C92" s="103"/>
      <c r="D92" s="103"/>
      <c r="E92" s="486" t="s">
        <v>27</v>
      </c>
      <c r="F92" s="487">
        <f>F73-F91</f>
        <v>0.9736821878958812</v>
      </c>
      <c r="G92" s="487">
        <f>G73-G91</f>
        <v>2.2538641816898153</v>
      </c>
      <c r="H92" s="488"/>
      <c r="I92" s="220">
        <f>I73-I91</f>
        <v>4.349919801860662</v>
      </c>
      <c r="J92" s="61"/>
      <c r="K92" s="61"/>
      <c r="L92" s="60">
        <f>L73-L91</f>
        <v>3.9874814266037903</v>
      </c>
      <c r="M92" s="540">
        <f>M73+M79+M86</f>
        <v>0.4021002030284458</v>
      </c>
      <c r="N92" s="85"/>
      <c r="O92" s="85"/>
      <c r="P92" s="85"/>
      <c r="Q92" s="62" t="s">
        <v>32</v>
      </c>
      <c r="R92" s="300"/>
      <c r="S92" s="301" t="s">
        <v>264</v>
      </c>
      <c r="T92" s="489"/>
      <c r="U92" s="484" t="s">
        <v>543</v>
      </c>
      <c r="V92" s="490" t="s">
        <v>302</v>
      </c>
    </row>
    <row r="93" spans="1:23" ht="13.5" thickBot="1">
      <c r="A93" s="719"/>
      <c r="B93" s="720"/>
      <c r="C93" s="720"/>
      <c r="D93" s="720" t="s">
        <v>141</v>
      </c>
      <c r="E93" s="721" t="s">
        <v>27</v>
      </c>
      <c r="F93" s="722"/>
      <c r="G93" s="67">
        <f>G73-F91</f>
        <v>3.2038641816898155</v>
      </c>
      <c r="H93" s="607"/>
      <c r="I93" s="607"/>
      <c r="J93" s="607"/>
      <c r="K93" s="607"/>
      <c r="L93" s="64" t="s">
        <v>142</v>
      </c>
      <c r="M93" s="65">
        <f>SQRT(M92)</f>
        <v>0.6341137145878851</v>
      </c>
      <c r="N93" s="86"/>
      <c r="O93" s="86"/>
      <c r="P93" s="86"/>
      <c r="Q93" s="66" t="s">
        <v>27</v>
      </c>
      <c r="S93" s="319"/>
      <c r="T93" s="311"/>
      <c r="U93" s="318"/>
      <c r="V93" s="311"/>
      <c r="W93"/>
    </row>
    <row r="94" spans="1:23" ht="13.5" thickBot="1">
      <c r="A94" s="648" t="s">
        <v>802</v>
      </c>
      <c r="B94" s="649"/>
      <c r="C94" s="649"/>
      <c r="D94" s="649"/>
      <c r="E94" s="592" t="s">
        <v>27</v>
      </c>
      <c r="F94" s="593"/>
      <c r="G94" s="595">
        <v>1</v>
      </c>
      <c r="H94" s="594"/>
      <c r="I94" s="595">
        <v>1</v>
      </c>
      <c r="J94" s="607"/>
      <c r="K94" s="607"/>
      <c r="L94" s="64" t="s">
        <v>143</v>
      </c>
      <c r="M94" s="67">
        <f>2*M93</f>
        <v>1.2682274291757702</v>
      </c>
      <c r="N94" s="68"/>
      <c r="O94" s="68"/>
      <c r="P94" s="68"/>
      <c r="Q94" s="66" t="s">
        <v>27</v>
      </c>
      <c r="W94"/>
    </row>
    <row r="95" spans="1:23" ht="13.5" thickBot="1">
      <c r="A95" s="648" t="s">
        <v>813</v>
      </c>
      <c r="B95" s="650"/>
      <c r="C95" s="650"/>
      <c r="D95" s="650"/>
      <c r="E95" s="592" t="s">
        <v>27</v>
      </c>
      <c r="F95" s="593"/>
      <c r="G95" s="596">
        <f>G92-G94</f>
        <v>1.2538641816898153</v>
      </c>
      <c r="H95" s="755"/>
      <c r="I95" s="596">
        <f>I92-I94</f>
        <v>3.349919801860662</v>
      </c>
      <c r="J95" s="607"/>
      <c r="K95" s="607"/>
      <c r="L95" s="64"/>
      <c r="M95" s="68"/>
      <c r="N95" s="68"/>
      <c r="O95" s="68"/>
      <c r="P95" s="68"/>
      <c r="Q95" s="66"/>
      <c r="W95"/>
    </row>
    <row r="96" spans="1:23" ht="13.5" thickBot="1">
      <c r="A96" s="287"/>
      <c r="B96" s="287"/>
      <c r="C96" s="287"/>
      <c r="D96" s="287"/>
      <c r="E96" s="607"/>
      <c r="F96" s="607"/>
      <c r="G96" s="756"/>
      <c r="H96" s="757"/>
      <c r="I96" s="756"/>
      <c r="J96" s="607"/>
      <c r="K96" s="607"/>
      <c r="L96" s="64"/>
      <c r="M96" s="68"/>
      <c r="N96" s="68"/>
      <c r="O96" s="68"/>
      <c r="P96" s="68"/>
      <c r="Q96" s="66"/>
      <c r="W96"/>
    </row>
    <row r="97" spans="1:23" ht="13.5" thickBot="1">
      <c r="A97" s="723" t="s">
        <v>884</v>
      </c>
      <c r="B97" s="724"/>
      <c r="C97" s="724"/>
      <c r="D97" s="724"/>
      <c r="E97" s="657" t="s">
        <v>27</v>
      </c>
      <c r="F97" s="656"/>
      <c r="G97" s="659">
        <f>G94+G86+G79</f>
        <v>4.75</v>
      </c>
      <c r="H97" s="758"/>
      <c r="I97" s="659">
        <f>I94+I86+I79</f>
        <v>4.575</v>
      </c>
      <c r="J97" s="682"/>
      <c r="K97" s="607"/>
      <c r="L97" s="64"/>
      <c r="M97" s="68"/>
      <c r="N97" s="68"/>
      <c r="O97" s="68"/>
      <c r="P97" s="68"/>
      <c r="Q97" s="66"/>
      <c r="W97"/>
    </row>
    <row r="98" spans="1:23" ht="14.25" customHeight="1">
      <c r="A98" s="683"/>
      <c r="B98" s="683"/>
      <c r="C98" s="683"/>
      <c r="D98" s="683"/>
      <c r="E98" s="682"/>
      <c r="F98" s="607"/>
      <c r="G98" s="682"/>
      <c r="H98" s="682"/>
      <c r="I98" s="682"/>
      <c r="J98" s="607"/>
      <c r="K98" s="607"/>
      <c r="L98" s="64"/>
      <c r="M98" s="68"/>
      <c r="N98" s="68"/>
      <c r="O98" s="68"/>
      <c r="P98" s="68"/>
      <c r="Q98" s="66"/>
      <c r="W98"/>
    </row>
    <row r="99" spans="1:23" ht="12.75">
      <c r="A99" s="119"/>
      <c r="B99" s="119"/>
      <c r="C99" s="119"/>
      <c r="D99" s="119"/>
      <c r="F99" s="63"/>
      <c r="G99" s="63"/>
      <c r="H99" s="180" t="s">
        <v>144</v>
      </c>
      <c r="L99" s="64"/>
      <c r="M99" s="68"/>
      <c r="N99" s="68"/>
      <c r="O99" s="68"/>
      <c r="P99" s="68"/>
      <c r="Q99" s="66"/>
      <c r="W99"/>
    </row>
    <row r="100" spans="1:23" ht="12.75">
      <c r="A100" s="181"/>
      <c r="B100" s="181"/>
      <c r="C100" s="181"/>
      <c r="D100" s="181"/>
      <c r="F100" s="63"/>
      <c r="G100" s="180" t="s">
        <v>145</v>
      </c>
      <c r="H100" s="180" t="s">
        <v>146</v>
      </c>
      <c r="I100" s="180" t="s">
        <v>147</v>
      </c>
      <c r="J100" s="180"/>
      <c r="L100" s="64"/>
      <c r="M100" s="68"/>
      <c r="N100" s="68"/>
      <c r="O100" s="68"/>
      <c r="P100" s="68"/>
      <c r="Q100" s="66"/>
      <c r="W100"/>
    </row>
    <row r="101" spans="1:23" ht="13.5" thickBot="1">
      <c r="A101" s="181"/>
      <c r="B101" s="181"/>
      <c r="C101" s="181"/>
      <c r="D101" s="181"/>
      <c r="E101" s="180"/>
      <c r="F101" s="63"/>
      <c r="G101" s="180" t="s">
        <v>148</v>
      </c>
      <c r="H101" s="180" t="s">
        <v>148</v>
      </c>
      <c r="I101" s="180" t="s">
        <v>148</v>
      </c>
      <c r="L101" s="64"/>
      <c r="M101" s="68"/>
      <c r="N101" s="68"/>
      <c r="O101" s="68"/>
      <c r="P101" s="68"/>
      <c r="Q101" s="66"/>
      <c r="W101"/>
    </row>
    <row r="102" spans="1:23" ht="12.75">
      <c r="A102" s="182" t="s">
        <v>149</v>
      </c>
      <c r="B102" s="183"/>
      <c r="C102" s="183"/>
      <c r="D102" s="183"/>
      <c r="E102" s="184" t="s">
        <v>27</v>
      </c>
      <c r="F102" s="63"/>
      <c r="G102" s="133">
        <f>I95+M94</f>
        <v>4.618147231036432</v>
      </c>
      <c r="H102" s="185">
        <v>2</v>
      </c>
      <c r="I102" s="186">
        <f>G102-H102</f>
        <v>2.618147231036432</v>
      </c>
      <c r="L102" s="64"/>
      <c r="M102" s="68"/>
      <c r="N102" s="68"/>
      <c r="O102" s="68"/>
      <c r="P102" s="68"/>
      <c r="Q102" s="66"/>
      <c r="S102" s="363"/>
      <c r="T102" s="70" t="s">
        <v>37</v>
      </c>
      <c r="U102" s="416"/>
      <c r="V102" s="417"/>
      <c r="W102"/>
    </row>
    <row r="103" spans="1:23" ht="12.75">
      <c r="A103" s="187" t="s">
        <v>150</v>
      </c>
      <c r="B103" s="188"/>
      <c r="C103" s="188"/>
      <c r="D103" s="188"/>
      <c r="E103" s="189" t="s">
        <v>27</v>
      </c>
      <c r="F103" s="63"/>
      <c r="G103" s="597">
        <f>I95</f>
        <v>3.349919801860662</v>
      </c>
      <c r="H103" s="190">
        <v>1</v>
      </c>
      <c r="I103" s="191">
        <f>G103-H103</f>
        <v>2.349919801860662</v>
      </c>
      <c r="K103"/>
      <c r="L103"/>
      <c r="M103"/>
      <c r="N103"/>
      <c r="O103"/>
      <c r="P103"/>
      <c r="Q103"/>
      <c r="S103" s="364"/>
      <c r="T103" s="24" t="s">
        <v>37</v>
      </c>
      <c r="U103" s="418"/>
      <c r="V103" s="419"/>
      <c r="W103"/>
    </row>
    <row r="104" spans="1:23" ht="13.5" thickBot="1">
      <c r="A104" s="192" t="s">
        <v>151</v>
      </c>
      <c r="B104" s="193"/>
      <c r="C104" s="193"/>
      <c r="D104" s="193"/>
      <c r="E104" s="194" t="s">
        <v>27</v>
      </c>
      <c r="F104" s="63"/>
      <c r="G104" s="598">
        <f>I95-M94</f>
        <v>2.081692372684892</v>
      </c>
      <c r="H104" s="195">
        <v>0</v>
      </c>
      <c r="I104" s="196">
        <f>G104-H104</f>
        <v>2.081692372684892</v>
      </c>
      <c r="K104"/>
      <c r="L104"/>
      <c r="M104"/>
      <c r="N104"/>
      <c r="O104"/>
      <c r="P104"/>
      <c r="Q104"/>
      <c r="S104" s="361"/>
      <c r="T104" s="71" t="s">
        <v>37</v>
      </c>
      <c r="U104" s="420"/>
      <c r="V104" s="421"/>
      <c r="W104"/>
    </row>
    <row r="105" spans="1:11" ht="13.5" thickBot="1">
      <c r="A105" s="681"/>
      <c r="B105" s="681"/>
      <c r="C105" s="681"/>
      <c r="D105" s="681"/>
      <c r="E105" s="607"/>
      <c r="F105" s="606"/>
      <c r="G105" s="606"/>
      <c r="H105" s="607"/>
      <c r="I105" s="607"/>
      <c r="J105" s="607"/>
      <c r="K105" s="607"/>
    </row>
    <row r="106" spans="1:11" ht="12.75">
      <c r="A106" s="681"/>
      <c r="B106" s="765" t="s">
        <v>433</v>
      </c>
      <c r="C106" s="766"/>
      <c r="D106" s="766"/>
      <c r="E106" s="766"/>
      <c r="F106" s="766"/>
      <c r="G106" s="766"/>
      <c r="H106" s="766"/>
      <c r="I106" s="766"/>
      <c r="J106" s="766"/>
      <c r="K106" s="767"/>
    </row>
    <row r="107" spans="1:11" ht="12.75">
      <c r="A107" s="681"/>
      <c r="B107" s="581"/>
      <c r="C107" s="288"/>
      <c r="D107" s="288"/>
      <c r="E107" s="768" t="s">
        <v>435</v>
      </c>
      <c r="F107" s="768"/>
      <c r="G107" s="768" t="s">
        <v>801</v>
      </c>
      <c r="H107" s="768"/>
      <c r="I107" s="768" t="s">
        <v>146</v>
      </c>
      <c r="J107" s="768"/>
      <c r="K107" s="582"/>
    </row>
    <row r="108" spans="1:11" ht="12.75">
      <c r="A108" s="681"/>
      <c r="B108" s="572"/>
      <c r="C108" s="573"/>
      <c r="D108" s="574" t="s">
        <v>4</v>
      </c>
      <c r="E108" s="677" t="s">
        <v>431</v>
      </c>
      <c r="F108" s="677" t="s">
        <v>432</v>
      </c>
      <c r="G108" s="677" t="s">
        <v>431</v>
      </c>
      <c r="H108" s="677" t="s">
        <v>432</v>
      </c>
      <c r="I108" s="677" t="s">
        <v>431</v>
      </c>
      <c r="J108" s="677" t="s">
        <v>432</v>
      </c>
      <c r="K108" s="583" t="s">
        <v>5</v>
      </c>
    </row>
    <row r="109" spans="1:11" ht="12.75">
      <c r="A109" s="681"/>
      <c r="B109" s="576" t="s">
        <v>67</v>
      </c>
      <c r="C109" s="569"/>
      <c r="D109" s="569"/>
      <c r="E109" s="725">
        <f>I109+G109</f>
        <v>2.29</v>
      </c>
      <c r="F109" s="725">
        <f>J109-H109</f>
        <v>4.05</v>
      </c>
      <c r="G109" s="726">
        <v>0</v>
      </c>
      <c r="H109" s="725">
        <v>0</v>
      </c>
      <c r="I109" s="727">
        <f>I29+J29</f>
        <v>2.29</v>
      </c>
      <c r="J109" s="725">
        <f>I29+K29</f>
        <v>4.05</v>
      </c>
      <c r="K109" s="575" t="s">
        <v>27</v>
      </c>
    </row>
    <row r="110" spans="1:11" ht="12.75">
      <c r="A110" s="681"/>
      <c r="B110" s="587" t="s">
        <v>852</v>
      </c>
      <c r="C110" s="588"/>
      <c r="D110" s="589"/>
      <c r="E110" s="728" t="s">
        <v>857</v>
      </c>
      <c r="F110" s="729" t="s">
        <v>857</v>
      </c>
      <c r="G110" s="728" t="s">
        <v>857</v>
      </c>
      <c r="H110" s="729" t="s">
        <v>857</v>
      </c>
      <c r="I110" s="678">
        <f>I43+K43</f>
        <v>32.04910162357622</v>
      </c>
      <c r="J110" s="704">
        <f>I43+J43</f>
        <v>34.059698549864535</v>
      </c>
      <c r="K110" s="583" t="s">
        <v>61</v>
      </c>
    </row>
    <row r="111" spans="1:11" ht="12.75">
      <c r="A111" s="681"/>
      <c r="B111" s="576" t="s">
        <v>853</v>
      </c>
      <c r="C111" s="569"/>
      <c r="D111" s="590"/>
      <c r="E111" s="730" t="s">
        <v>857</v>
      </c>
      <c r="F111" s="731" t="s">
        <v>857</v>
      </c>
      <c r="G111" s="730" t="s">
        <v>857</v>
      </c>
      <c r="H111" s="731" t="s">
        <v>857</v>
      </c>
      <c r="I111" s="640">
        <f>G43</f>
        <v>31.979400086720375</v>
      </c>
      <c r="J111" s="731" t="s">
        <v>857</v>
      </c>
      <c r="K111" s="584" t="s">
        <v>61</v>
      </c>
    </row>
    <row r="112" spans="1:11" ht="12.75">
      <c r="A112" s="681"/>
      <c r="B112" s="709" t="s">
        <v>854</v>
      </c>
      <c r="C112" s="710"/>
      <c r="D112" s="716"/>
      <c r="E112" s="712">
        <f>I112+G112</f>
        <v>32.22910162357622</v>
      </c>
      <c r="F112" s="713">
        <f>J112-H112</f>
        <v>33.78969854986453</v>
      </c>
      <c r="G112" s="712">
        <v>0.18</v>
      </c>
      <c r="H112" s="713">
        <v>0.27</v>
      </c>
      <c r="I112" s="732">
        <f>I43+K43</f>
        <v>32.04910162357622</v>
      </c>
      <c r="J112" s="713">
        <f>I43+J43</f>
        <v>34.059698549864535</v>
      </c>
      <c r="K112" s="631" t="s">
        <v>61</v>
      </c>
    </row>
    <row r="113" spans="1:11" ht="13.5" thickBot="1">
      <c r="A113" s="681"/>
      <c r="B113" s="643" t="s">
        <v>885</v>
      </c>
      <c r="C113" s="644"/>
      <c r="D113" s="644"/>
      <c r="E113" s="645">
        <f>I113+G113</f>
        <v>0</v>
      </c>
      <c r="F113" s="695">
        <f>J113-H113</f>
        <v>4.575</v>
      </c>
      <c r="G113" s="647">
        <v>0</v>
      </c>
      <c r="H113" s="695">
        <v>0.175</v>
      </c>
      <c r="I113" s="645">
        <v>0</v>
      </c>
      <c r="J113" s="695">
        <f>G97</f>
        <v>4.75</v>
      </c>
      <c r="K113" s="585" t="s">
        <v>27</v>
      </c>
    </row>
    <row r="114" spans="1:11" ht="12.75">
      <c r="A114" s="681"/>
      <c r="B114" s="681"/>
      <c r="C114" s="681"/>
      <c r="D114" s="681"/>
      <c r="E114" s="607"/>
      <c r="F114" s="606"/>
      <c r="G114" s="606"/>
      <c r="H114" s="607"/>
      <c r="I114" s="607"/>
      <c r="J114" s="607"/>
      <c r="K114" s="607"/>
    </row>
    <row r="115" spans="1:11" ht="12.75">
      <c r="A115" s="681"/>
      <c r="B115" s="681"/>
      <c r="C115" s="681"/>
      <c r="D115" s="681"/>
      <c r="E115" s="607"/>
      <c r="F115" s="606"/>
      <c r="G115" s="606"/>
      <c r="H115" s="607"/>
      <c r="I115" s="607"/>
      <c r="J115" s="607"/>
      <c r="K115" s="607"/>
    </row>
    <row r="116" spans="1:11" ht="12.75">
      <c r="A116" s="681"/>
      <c r="B116" s="681"/>
      <c r="C116" s="681"/>
      <c r="D116" s="681"/>
      <c r="E116" s="607"/>
      <c r="F116" s="606"/>
      <c r="G116" s="606"/>
      <c r="H116" s="607"/>
      <c r="I116" s="607"/>
      <c r="J116" s="607"/>
      <c r="K116" s="607"/>
    </row>
    <row r="117" spans="1:11" ht="12.75">
      <c r="A117" s="681"/>
      <c r="B117" s="681"/>
      <c r="C117" s="681"/>
      <c r="D117" s="681"/>
      <c r="E117" s="607"/>
      <c r="F117" s="606"/>
      <c r="G117" s="606"/>
      <c r="H117" s="607"/>
      <c r="I117" s="607"/>
      <c r="J117" s="607"/>
      <c r="K117" s="607"/>
    </row>
    <row r="118" spans="1:11" ht="12.75">
      <c r="A118" s="681"/>
      <c r="B118" s="681"/>
      <c r="C118" s="681"/>
      <c r="D118" s="681"/>
      <c r="E118" s="607"/>
      <c r="F118" s="606"/>
      <c r="G118" s="606"/>
      <c r="H118" s="607"/>
      <c r="I118" s="607"/>
      <c r="J118" s="607"/>
      <c r="K118" s="607"/>
    </row>
  </sheetData>
  <mergeCells count="4">
    <mergeCell ref="E107:F107"/>
    <mergeCell ref="G107:H107"/>
    <mergeCell ref="I107:J107"/>
    <mergeCell ref="B106:K106"/>
  </mergeCells>
  <printOptions gridLines="1" headings="1" horizontalCentered="1" verticalCentered="1"/>
  <pageMargins left="0.75" right="0.25" top="0.5" bottom="0.75" header="0.25" footer="0.25"/>
  <pageSetup fitToHeight="1" fitToWidth="1" horizontalDpi="600" verticalDpi="600" orientation="portrait" scale="45"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428"/>
  <sheetViews>
    <sheetView workbookViewId="0" topLeftCell="A62">
      <selection activeCell="A93" sqref="A93"/>
    </sheetView>
  </sheetViews>
  <sheetFormatPr defaultColWidth="9.140625" defaultRowHeight="12.75"/>
  <cols>
    <col min="1" max="1" width="10.28125" style="0" customWidth="1"/>
    <col min="2" max="2" width="50.8515625" style="0" customWidth="1"/>
    <col min="3" max="3" width="30.7109375" style="0" customWidth="1"/>
  </cols>
  <sheetData>
    <row r="1" spans="1:4" ht="12.75">
      <c r="A1" t="s">
        <v>903</v>
      </c>
      <c r="B1" t="s">
        <v>904</v>
      </c>
      <c r="C1" t="s">
        <v>905</v>
      </c>
      <c r="D1" t="s">
        <v>906</v>
      </c>
    </row>
    <row r="2" spans="1:2" ht="12.75">
      <c r="A2" s="481"/>
      <c r="B2" t="s">
        <v>386</v>
      </c>
    </row>
    <row r="3" spans="1:3" ht="13.5" thickBot="1">
      <c r="A3" s="482" t="s">
        <v>363</v>
      </c>
      <c r="B3" s="483"/>
      <c r="C3" s="483"/>
    </row>
    <row r="4" spans="1:4" ht="12.75">
      <c r="A4" s="521" t="s">
        <v>805</v>
      </c>
      <c r="B4" t="s">
        <v>803</v>
      </c>
      <c r="C4" t="s">
        <v>804</v>
      </c>
      <c r="D4" s="608">
        <v>37259</v>
      </c>
    </row>
    <row r="5" spans="1:4" ht="12.75">
      <c r="A5" s="521" t="s">
        <v>815</v>
      </c>
      <c r="B5" t="s">
        <v>803</v>
      </c>
      <c r="C5" t="s">
        <v>814</v>
      </c>
      <c r="D5" s="608">
        <v>37259</v>
      </c>
    </row>
    <row r="6" spans="1:4" ht="12.75">
      <c r="A6" s="521">
        <v>106</v>
      </c>
      <c r="B6" t="s">
        <v>806</v>
      </c>
      <c r="C6" t="s">
        <v>807</v>
      </c>
      <c r="D6" s="608">
        <v>37259</v>
      </c>
    </row>
    <row r="7" spans="1:4" ht="12.75">
      <c r="A7" s="521">
        <v>107</v>
      </c>
      <c r="B7" t="s">
        <v>806</v>
      </c>
      <c r="C7" t="s">
        <v>807</v>
      </c>
      <c r="D7" s="608">
        <v>37259</v>
      </c>
    </row>
    <row r="8" spans="1:4" ht="12.75">
      <c r="A8" s="521">
        <v>108</v>
      </c>
      <c r="B8" t="s">
        <v>806</v>
      </c>
      <c r="C8" t="s">
        <v>807</v>
      </c>
      <c r="D8" s="608">
        <v>37259</v>
      </c>
    </row>
    <row r="9" spans="1:4" ht="12.75">
      <c r="A9" s="521" t="s">
        <v>808</v>
      </c>
      <c r="B9" t="s">
        <v>803</v>
      </c>
      <c r="C9" t="s">
        <v>804</v>
      </c>
      <c r="D9" s="608">
        <v>37259</v>
      </c>
    </row>
    <row r="10" spans="1:4" ht="12.75">
      <c r="A10" s="521" t="s">
        <v>809</v>
      </c>
      <c r="B10" t="s">
        <v>803</v>
      </c>
      <c r="C10" t="s">
        <v>804</v>
      </c>
      <c r="D10" s="608">
        <v>37259</v>
      </c>
    </row>
    <row r="11" spans="1:4" ht="12.75">
      <c r="A11" s="521" t="s">
        <v>824</v>
      </c>
      <c r="B11" t="s">
        <v>825</v>
      </c>
      <c r="C11" t="s">
        <v>826</v>
      </c>
      <c r="D11" s="608">
        <v>37259</v>
      </c>
    </row>
    <row r="12" spans="1:4" ht="12.75">
      <c r="A12" s="521" t="s">
        <v>850</v>
      </c>
      <c r="B12" t="s">
        <v>847</v>
      </c>
      <c r="C12" t="s">
        <v>848</v>
      </c>
      <c r="D12" s="608">
        <v>37277</v>
      </c>
    </row>
    <row r="13" spans="1:4" ht="12.75">
      <c r="A13" s="521" t="s">
        <v>871</v>
      </c>
      <c r="B13" t="s">
        <v>873</v>
      </c>
      <c r="C13" t="s">
        <v>872</v>
      </c>
      <c r="D13" s="608">
        <v>37280</v>
      </c>
    </row>
    <row r="14" spans="1:4" ht="25.5">
      <c r="A14" s="521" t="s">
        <v>808</v>
      </c>
      <c r="B14" s="262" t="s">
        <v>859</v>
      </c>
      <c r="C14" t="s">
        <v>860</v>
      </c>
      <c r="D14" s="608">
        <v>37280</v>
      </c>
    </row>
    <row r="15" spans="1:4" ht="25.5">
      <c r="A15" s="632" t="s">
        <v>874</v>
      </c>
      <c r="B15" s="262" t="s">
        <v>863</v>
      </c>
      <c r="C15" t="s">
        <v>864</v>
      </c>
      <c r="D15" s="608">
        <v>37280</v>
      </c>
    </row>
    <row r="16" spans="1:4" ht="38.25">
      <c r="A16" s="521" t="s">
        <v>875</v>
      </c>
      <c r="B16" s="262" t="s">
        <v>876</v>
      </c>
      <c r="C16" s="262" t="s">
        <v>870</v>
      </c>
      <c r="D16" s="608">
        <v>37280</v>
      </c>
    </row>
    <row r="17" spans="1:4" ht="12.75">
      <c r="A17" s="521" t="s">
        <v>877</v>
      </c>
      <c r="B17" s="262" t="s">
        <v>878</v>
      </c>
      <c r="C17" s="262" t="s">
        <v>879</v>
      </c>
      <c r="D17" s="608">
        <v>37280</v>
      </c>
    </row>
    <row r="18" spans="1:4" ht="12.75">
      <c r="A18" s="521" t="s">
        <v>865</v>
      </c>
      <c r="B18" s="262" t="s">
        <v>866</v>
      </c>
      <c r="C18" t="s">
        <v>867</v>
      </c>
      <c r="D18" s="608">
        <v>37280</v>
      </c>
    </row>
    <row r="19" spans="1:4" ht="25.5">
      <c r="A19" s="632" t="s">
        <v>886</v>
      </c>
      <c r="B19" s="262" t="s">
        <v>887</v>
      </c>
      <c r="C19" t="s">
        <v>879</v>
      </c>
      <c r="D19" s="608">
        <v>37291</v>
      </c>
    </row>
    <row r="20" spans="1:4" ht="12.75">
      <c r="A20" s="632" t="s">
        <v>912</v>
      </c>
      <c r="B20" s="262" t="s">
        <v>671</v>
      </c>
      <c r="C20" t="s">
        <v>913</v>
      </c>
      <c r="D20" s="608">
        <v>37307</v>
      </c>
    </row>
    <row r="21" spans="1:4" ht="12.75">
      <c r="A21" s="632" t="s">
        <v>914</v>
      </c>
      <c r="B21" s="262" t="s">
        <v>671</v>
      </c>
      <c r="C21" t="s">
        <v>915</v>
      </c>
      <c r="D21" s="608">
        <v>37307</v>
      </c>
    </row>
    <row r="22" spans="1:4" ht="12.75">
      <c r="A22" s="632" t="s">
        <v>916</v>
      </c>
      <c r="B22" s="262" t="s">
        <v>917</v>
      </c>
      <c r="C22" t="s">
        <v>918</v>
      </c>
      <c r="D22" s="608">
        <v>37307</v>
      </c>
    </row>
    <row r="23" spans="1:4" ht="12.75">
      <c r="A23" s="632" t="s">
        <v>919</v>
      </c>
      <c r="B23" s="262" t="s">
        <v>917</v>
      </c>
      <c r="C23" t="s">
        <v>918</v>
      </c>
      <c r="D23" s="608">
        <v>37307</v>
      </c>
    </row>
    <row r="24" spans="1:4" ht="12.75">
      <c r="A24" s="632" t="s">
        <v>921</v>
      </c>
      <c r="B24" s="262" t="s">
        <v>917</v>
      </c>
      <c r="C24" t="s">
        <v>920</v>
      </c>
      <c r="D24" s="608">
        <v>37307</v>
      </c>
    </row>
    <row r="25" spans="1:4" ht="12.75">
      <c r="A25" s="632" t="s">
        <v>922</v>
      </c>
      <c r="B25" s="262" t="s">
        <v>917</v>
      </c>
      <c r="C25" t="s">
        <v>923</v>
      </c>
      <c r="D25" s="608">
        <v>37307</v>
      </c>
    </row>
    <row r="26" spans="1:4" ht="12.75">
      <c r="A26" s="632" t="s">
        <v>924</v>
      </c>
      <c r="B26" s="262" t="s">
        <v>917</v>
      </c>
      <c r="C26" t="s">
        <v>923</v>
      </c>
      <c r="D26" s="608">
        <v>37307</v>
      </c>
    </row>
    <row r="27" spans="1:4" ht="12.75">
      <c r="A27" s="632" t="s">
        <v>925</v>
      </c>
      <c r="B27" s="262" t="s">
        <v>917</v>
      </c>
      <c r="C27" t="s">
        <v>923</v>
      </c>
      <c r="D27" s="608">
        <v>37307</v>
      </c>
    </row>
    <row r="28" spans="1:4" ht="25.5">
      <c r="A28" s="632" t="s">
        <v>926</v>
      </c>
      <c r="B28" s="262" t="s">
        <v>927</v>
      </c>
      <c r="C28" t="s">
        <v>928</v>
      </c>
      <c r="D28" s="608">
        <v>37307</v>
      </c>
    </row>
    <row r="29" spans="1:4" ht="12.75">
      <c r="A29" s="632"/>
      <c r="B29" s="262"/>
      <c r="D29" s="608"/>
    </row>
    <row r="30" spans="1:4" ht="12.75">
      <c r="A30" s="632"/>
      <c r="B30" s="262"/>
      <c r="D30" s="608"/>
    </row>
    <row r="31" spans="1:4" ht="12.75">
      <c r="A31" s="632"/>
      <c r="B31" s="262"/>
      <c r="D31" s="608"/>
    </row>
    <row r="32" spans="1:3" ht="13.5" thickBot="1">
      <c r="A32" s="482" t="s">
        <v>200</v>
      </c>
      <c r="B32" s="483"/>
      <c r="C32" s="483"/>
    </row>
    <row r="33" spans="1:4" ht="12.75">
      <c r="A33" s="521" t="s">
        <v>810</v>
      </c>
      <c r="B33" t="s">
        <v>803</v>
      </c>
      <c r="C33" t="s">
        <v>804</v>
      </c>
      <c r="D33" s="608">
        <v>37259</v>
      </c>
    </row>
    <row r="34" spans="1:4" ht="12.75">
      <c r="A34" s="521" t="s">
        <v>816</v>
      </c>
      <c r="B34" t="s">
        <v>803</v>
      </c>
      <c r="C34" t="s">
        <v>814</v>
      </c>
      <c r="D34" s="608">
        <v>37259</v>
      </c>
    </row>
    <row r="35" spans="1:4" ht="12.75">
      <c r="A35" s="521">
        <v>105</v>
      </c>
      <c r="B35" t="s">
        <v>806</v>
      </c>
      <c r="C35" t="s">
        <v>807</v>
      </c>
      <c r="D35" s="608">
        <v>37259</v>
      </c>
    </row>
    <row r="36" spans="1:4" ht="12.75">
      <c r="A36" s="521">
        <v>106</v>
      </c>
      <c r="B36" t="s">
        <v>806</v>
      </c>
      <c r="C36" t="s">
        <v>807</v>
      </c>
      <c r="D36" s="608">
        <v>37259</v>
      </c>
    </row>
    <row r="37" spans="1:4" ht="12.75">
      <c r="A37" s="521">
        <v>107</v>
      </c>
      <c r="B37" t="s">
        <v>806</v>
      </c>
      <c r="C37" t="s">
        <v>807</v>
      </c>
      <c r="D37" s="608">
        <v>37259</v>
      </c>
    </row>
    <row r="38" spans="1:4" ht="12.75">
      <c r="A38" s="521" t="s">
        <v>808</v>
      </c>
      <c r="B38" t="s">
        <v>803</v>
      </c>
      <c r="C38" t="s">
        <v>804</v>
      </c>
      <c r="D38" s="608">
        <v>37259</v>
      </c>
    </row>
    <row r="39" spans="1:4" ht="12.75">
      <c r="A39" s="521" t="s">
        <v>827</v>
      </c>
      <c r="B39" t="s">
        <v>825</v>
      </c>
      <c r="C39" t="s">
        <v>828</v>
      </c>
      <c r="D39" s="608">
        <v>37259</v>
      </c>
    </row>
    <row r="40" spans="1:4" ht="12.75">
      <c r="A40" s="521" t="s">
        <v>865</v>
      </c>
      <c r="B40" s="262" t="s">
        <v>866</v>
      </c>
      <c r="C40" t="s">
        <v>867</v>
      </c>
      <c r="D40" s="608">
        <v>37280</v>
      </c>
    </row>
    <row r="41" spans="1:4" ht="25.5">
      <c r="A41" s="521" t="s">
        <v>888</v>
      </c>
      <c r="B41" s="262" t="s">
        <v>889</v>
      </c>
      <c r="C41" t="s">
        <v>890</v>
      </c>
      <c r="D41" s="608">
        <v>37291</v>
      </c>
    </row>
    <row r="42" spans="1:4" ht="51">
      <c r="A42" s="632" t="s">
        <v>886</v>
      </c>
      <c r="B42" s="262" t="s">
        <v>891</v>
      </c>
      <c r="C42" s="262" t="s">
        <v>892</v>
      </c>
      <c r="D42" s="608">
        <v>37291</v>
      </c>
    </row>
    <row r="43" spans="1:3" ht="13.5" thickBot="1">
      <c r="A43" s="482" t="s">
        <v>165</v>
      </c>
      <c r="B43" s="483"/>
      <c r="C43" s="483"/>
    </row>
    <row r="44" spans="1:4" ht="12.75">
      <c r="A44" s="521" t="s">
        <v>811</v>
      </c>
      <c r="B44" t="s">
        <v>803</v>
      </c>
      <c r="C44" t="s">
        <v>804</v>
      </c>
      <c r="D44" s="608">
        <v>37259</v>
      </c>
    </row>
    <row r="45" spans="1:4" ht="12.75">
      <c r="A45" s="521" t="s">
        <v>810</v>
      </c>
      <c r="B45" t="s">
        <v>803</v>
      </c>
      <c r="C45" t="s">
        <v>814</v>
      </c>
      <c r="D45" s="608">
        <v>37259</v>
      </c>
    </row>
    <row r="46" spans="1:4" ht="12.75">
      <c r="A46" s="521">
        <v>104</v>
      </c>
      <c r="B46" t="s">
        <v>806</v>
      </c>
      <c r="C46" t="s">
        <v>807</v>
      </c>
      <c r="D46" s="608">
        <v>37259</v>
      </c>
    </row>
    <row r="47" spans="1:4" ht="12.75">
      <c r="A47" s="521">
        <v>105</v>
      </c>
      <c r="B47" t="s">
        <v>806</v>
      </c>
      <c r="C47" t="s">
        <v>807</v>
      </c>
      <c r="D47" s="608">
        <v>37259</v>
      </c>
    </row>
    <row r="48" spans="1:4" ht="12.75">
      <c r="A48" s="521">
        <v>106</v>
      </c>
      <c r="B48" t="s">
        <v>806</v>
      </c>
      <c r="C48" t="s">
        <v>807</v>
      </c>
      <c r="D48" s="608">
        <v>37259</v>
      </c>
    </row>
    <row r="49" spans="1:4" ht="12.75">
      <c r="A49" s="521" t="s">
        <v>812</v>
      </c>
      <c r="B49" t="s">
        <v>803</v>
      </c>
      <c r="C49" t="s">
        <v>804</v>
      </c>
      <c r="D49" s="608">
        <v>37259</v>
      </c>
    </row>
    <row r="50" spans="1:4" ht="12.75">
      <c r="A50" s="521" t="s">
        <v>829</v>
      </c>
      <c r="B50" t="s">
        <v>825</v>
      </c>
      <c r="C50" t="s">
        <v>830</v>
      </c>
      <c r="D50" s="608">
        <v>37259</v>
      </c>
    </row>
    <row r="51" spans="1:4" ht="12.75">
      <c r="A51" s="521" t="s">
        <v>865</v>
      </c>
      <c r="B51" s="262" t="s">
        <v>866</v>
      </c>
      <c r="C51" t="s">
        <v>867</v>
      </c>
      <c r="D51" s="608">
        <v>37280</v>
      </c>
    </row>
    <row r="52" spans="1:4" ht="25.5">
      <c r="A52" s="521" t="s">
        <v>893</v>
      </c>
      <c r="B52" s="262" t="s">
        <v>889</v>
      </c>
      <c r="C52" t="s">
        <v>890</v>
      </c>
      <c r="D52" s="608">
        <v>37291</v>
      </c>
    </row>
    <row r="53" spans="1:4" ht="63.75">
      <c r="A53" s="632" t="s">
        <v>886</v>
      </c>
      <c r="B53" s="262" t="s">
        <v>894</v>
      </c>
      <c r="C53" s="262" t="s">
        <v>892</v>
      </c>
      <c r="D53" s="608">
        <v>37291</v>
      </c>
    </row>
    <row r="54" spans="1:3" ht="13.5" thickBot="1">
      <c r="A54" s="482" t="s">
        <v>170</v>
      </c>
      <c r="B54" s="482"/>
      <c r="C54" s="483"/>
    </row>
    <row r="55" spans="1:4" ht="12.75">
      <c r="A55" s="521" t="s">
        <v>811</v>
      </c>
      <c r="B55" t="s">
        <v>803</v>
      </c>
      <c r="C55" t="s">
        <v>804</v>
      </c>
      <c r="D55" s="608">
        <v>37259</v>
      </c>
    </row>
    <row r="56" spans="1:4" ht="12.75">
      <c r="A56" s="521" t="s">
        <v>810</v>
      </c>
      <c r="B56" t="s">
        <v>803</v>
      </c>
      <c r="C56" t="s">
        <v>814</v>
      </c>
      <c r="D56" s="608">
        <v>37259</v>
      </c>
    </row>
    <row r="57" spans="1:4" ht="12.75">
      <c r="A57" s="521">
        <v>104</v>
      </c>
      <c r="B57" t="s">
        <v>806</v>
      </c>
      <c r="C57" t="s">
        <v>807</v>
      </c>
      <c r="D57" s="608">
        <v>37259</v>
      </c>
    </row>
    <row r="58" spans="1:4" ht="12.75">
      <c r="A58" s="521">
        <v>105</v>
      </c>
      <c r="B58" t="s">
        <v>806</v>
      </c>
      <c r="C58" t="s">
        <v>807</v>
      </c>
      <c r="D58" s="608">
        <v>37259</v>
      </c>
    </row>
    <row r="59" spans="1:4" ht="12.75">
      <c r="A59" s="521">
        <v>106</v>
      </c>
      <c r="B59" t="s">
        <v>806</v>
      </c>
      <c r="C59" t="s">
        <v>807</v>
      </c>
      <c r="D59" s="608">
        <v>37259</v>
      </c>
    </row>
    <row r="60" spans="1:4" ht="12.75">
      <c r="A60" s="521" t="s">
        <v>812</v>
      </c>
      <c r="B60" t="s">
        <v>803</v>
      </c>
      <c r="C60" t="s">
        <v>804</v>
      </c>
      <c r="D60" s="608">
        <v>37259</v>
      </c>
    </row>
    <row r="61" spans="1:4" ht="12.75">
      <c r="A61" s="521" t="s">
        <v>829</v>
      </c>
      <c r="B61" t="s">
        <v>825</v>
      </c>
      <c r="C61" t="s">
        <v>830</v>
      </c>
      <c r="D61" s="608">
        <v>37259</v>
      </c>
    </row>
    <row r="62" spans="1:4" ht="12.75">
      <c r="A62" s="521" t="s">
        <v>865</v>
      </c>
      <c r="B62" s="262" t="s">
        <v>866</v>
      </c>
      <c r="C62" t="s">
        <v>867</v>
      </c>
      <c r="D62" s="608">
        <v>37280</v>
      </c>
    </row>
    <row r="63" spans="1:4" ht="25.5">
      <c r="A63" s="521" t="s">
        <v>888</v>
      </c>
      <c r="B63" s="262" t="s">
        <v>889</v>
      </c>
      <c r="C63" t="s">
        <v>890</v>
      </c>
      <c r="D63" s="608">
        <v>37291</v>
      </c>
    </row>
    <row r="64" spans="1:4" ht="51">
      <c r="A64" s="632" t="s">
        <v>886</v>
      </c>
      <c r="B64" s="262" t="s">
        <v>891</v>
      </c>
      <c r="C64" s="262" t="s">
        <v>892</v>
      </c>
      <c r="D64" s="608">
        <v>37291</v>
      </c>
    </row>
    <row r="65" spans="1:3" ht="13.5" thickBot="1">
      <c r="A65" s="482" t="s">
        <v>172</v>
      </c>
      <c r="B65" s="482"/>
      <c r="C65" s="483"/>
    </row>
    <row r="66" spans="1:4" ht="12.75">
      <c r="A66" s="521" t="s">
        <v>817</v>
      </c>
      <c r="B66" t="s">
        <v>803</v>
      </c>
      <c r="C66" t="s">
        <v>804</v>
      </c>
      <c r="D66" s="608">
        <v>37259</v>
      </c>
    </row>
    <row r="67" spans="1:4" ht="12.75">
      <c r="A67" s="521" t="s">
        <v>818</v>
      </c>
      <c r="B67" t="s">
        <v>803</v>
      </c>
      <c r="C67" t="s">
        <v>814</v>
      </c>
      <c r="D67" s="608">
        <v>37259</v>
      </c>
    </row>
    <row r="68" spans="1:4" ht="12.75">
      <c r="A68" s="521">
        <v>73</v>
      </c>
      <c r="B68" t="s">
        <v>806</v>
      </c>
      <c r="C68" t="s">
        <v>807</v>
      </c>
      <c r="D68" s="608">
        <v>37259</v>
      </c>
    </row>
    <row r="69" spans="1:4" ht="12.75">
      <c r="A69" s="521">
        <v>74</v>
      </c>
      <c r="B69" t="s">
        <v>806</v>
      </c>
      <c r="C69" t="s">
        <v>807</v>
      </c>
      <c r="D69" s="608">
        <v>37259</v>
      </c>
    </row>
    <row r="70" spans="1:4" ht="12.75">
      <c r="A70" s="521" t="s">
        <v>819</v>
      </c>
      <c r="B70" t="s">
        <v>803</v>
      </c>
      <c r="C70" t="s">
        <v>804</v>
      </c>
      <c r="D70" s="608">
        <v>37259</v>
      </c>
    </row>
    <row r="71" spans="1:4" ht="12.75">
      <c r="A71" s="521" t="s">
        <v>831</v>
      </c>
      <c r="B71" t="s">
        <v>825</v>
      </c>
      <c r="C71" t="s">
        <v>832</v>
      </c>
      <c r="D71" s="608">
        <v>37259</v>
      </c>
    </row>
    <row r="72" spans="1:4" ht="12.75">
      <c r="A72" s="521" t="s">
        <v>846</v>
      </c>
      <c r="B72" t="s">
        <v>847</v>
      </c>
      <c r="C72" t="s">
        <v>848</v>
      </c>
      <c r="D72" s="608">
        <v>37277</v>
      </c>
    </row>
    <row r="73" spans="1:4" ht="25.5">
      <c r="A73" s="521" t="s">
        <v>862</v>
      </c>
      <c r="B73" s="262" t="s">
        <v>859</v>
      </c>
      <c r="C73" t="s">
        <v>860</v>
      </c>
      <c r="D73" s="608">
        <v>37280</v>
      </c>
    </row>
    <row r="74" spans="1:4" ht="25.5">
      <c r="A74" s="521" t="s">
        <v>861</v>
      </c>
      <c r="B74" s="262" t="s">
        <v>863</v>
      </c>
      <c r="C74" t="s">
        <v>864</v>
      </c>
      <c r="D74" s="608">
        <v>37280</v>
      </c>
    </row>
    <row r="75" spans="1:4" ht="38.25">
      <c r="A75" s="521" t="s">
        <v>868</v>
      </c>
      <c r="B75" s="262" t="s">
        <v>869</v>
      </c>
      <c r="C75" s="262" t="s">
        <v>870</v>
      </c>
      <c r="D75" s="608">
        <v>37280</v>
      </c>
    </row>
    <row r="76" spans="1:4" ht="12.75">
      <c r="A76" s="521" t="s">
        <v>865</v>
      </c>
      <c r="B76" s="262" t="s">
        <v>866</v>
      </c>
      <c r="C76" t="s">
        <v>867</v>
      </c>
      <c r="D76" s="608">
        <v>37280</v>
      </c>
    </row>
    <row r="77" spans="1:4" ht="25.5">
      <c r="A77" s="632" t="s">
        <v>886</v>
      </c>
      <c r="B77" s="262" t="s">
        <v>887</v>
      </c>
      <c r="C77" t="s">
        <v>879</v>
      </c>
      <c r="D77" s="608">
        <v>37291</v>
      </c>
    </row>
    <row r="78" spans="1:4" ht="12.75">
      <c r="A78" s="632" t="s">
        <v>929</v>
      </c>
      <c r="B78" s="262" t="s">
        <v>930</v>
      </c>
      <c r="C78" t="s">
        <v>931</v>
      </c>
      <c r="D78" s="608">
        <v>37307</v>
      </c>
    </row>
    <row r="79" spans="1:4" ht="12.75">
      <c r="A79" s="632"/>
      <c r="B79" s="262"/>
      <c r="D79" s="608"/>
    </row>
    <row r="80" spans="1:3" ht="13.5" thickBot="1">
      <c r="A80" s="520" t="s">
        <v>176</v>
      </c>
      <c r="B80" s="483"/>
      <c r="C80" s="483"/>
    </row>
    <row r="81" spans="1:4" ht="12.75">
      <c r="A81" s="521" t="s">
        <v>811</v>
      </c>
      <c r="B81" t="s">
        <v>803</v>
      </c>
      <c r="C81" t="s">
        <v>804</v>
      </c>
      <c r="D81" s="608">
        <v>37259</v>
      </c>
    </row>
    <row r="82" spans="1:4" ht="12.75">
      <c r="A82" s="521" t="s">
        <v>810</v>
      </c>
      <c r="B82" t="s">
        <v>803</v>
      </c>
      <c r="C82" t="s">
        <v>814</v>
      </c>
      <c r="D82" s="608">
        <v>37259</v>
      </c>
    </row>
    <row r="83" spans="1:4" ht="12.75">
      <c r="A83" s="521">
        <v>104</v>
      </c>
      <c r="B83" t="s">
        <v>806</v>
      </c>
      <c r="C83" t="s">
        <v>807</v>
      </c>
      <c r="D83" s="608">
        <v>37259</v>
      </c>
    </row>
    <row r="84" spans="1:4" ht="12.75">
      <c r="A84" s="521">
        <v>105</v>
      </c>
      <c r="B84" t="s">
        <v>806</v>
      </c>
      <c r="C84" t="s">
        <v>807</v>
      </c>
      <c r="D84" s="608">
        <v>37259</v>
      </c>
    </row>
    <row r="85" spans="1:4" ht="12.75">
      <c r="A85" s="521">
        <v>106</v>
      </c>
      <c r="B85" t="s">
        <v>806</v>
      </c>
      <c r="C85" t="s">
        <v>807</v>
      </c>
      <c r="D85" s="608">
        <v>37259</v>
      </c>
    </row>
    <row r="86" spans="1:4" ht="12.75">
      <c r="A86" s="521" t="s">
        <v>812</v>
      </c>
      <c r="B86" t="s">
        <v>803</v>
      </c>
      <c r="C86" t="s">
        <v>804</v>
      </c>
      <c r="D86" s="608">
        <v>37259</v>
      </c>
    </row>
    <row r="87" spans="1:4" ht="12.75">
      <c r="A87" s="521" t="s">
        <v>829</v>
      </c>
      <c r="B87" t="s">
        <v>825</v>
      </c>
      <c r="C87" t="s">
        <v>830</v>
      </c>
      <c r="D87" s="608">
        <v>37259</v>
      </c>
    </row>
    <row r="88" spans="1:4" ht="12.75">
      <c r="A88" s="521" t="s">
        <v>849</v>
      </c>
      <c r="B88" t="s">
        <v>847</v>
      </c>
      <c r="C88" t="s">
        <v>848</v>
      </c>
      <c r="D88" s="608">
        <v>37277</v>
      </c>
    </row>
    <row r="89" spans="1:4" ht="12.75">
      <c r="A89" s="521" t="s">
        <v>865</v>
      </c>
      <c r="B89" s="262" t="s">
        <v>866</v>
      </c>
      <c r="C89" t="s">
        <v>867</v>
      </c>
      <c r="D89" s="608">
        <v>37280</v>
      </c>
    </row>
    <row r="90" spans="1:4" ht="25.5">
      <c r="A90" s="521" t="s">
        <v>893</v>
      </c>
      <c r="B90" s="262" t="s">
        <v>889</v>
      </c>
      <c r="C90" t="s">
        <v>890</v>
      </c>
      <c r="D90" s="608">
        <v>37291</v>
      </c>
    </row>
    <row r="91" spans="1:4" ht="63.75">
      <c r="A91" s="632" t="s">
        <v>886</v>
      </c>
      <c r="B91" s="262" t="s">
        <v>894</v>
      </c>
      <c r="C91" s="262" t="s">
        <v>892</v>
      </c>
      <c r="D91" s="608">
        <v>37291</v>
      </c>
    </row>
    <row r="92" spans="1:4" ht="12.75">
      <c r="A92" s="632">
        <v>107</v>
      </c>
      <c r="B92" s="262" t="s">
        <v>847</v>
      </c>
      <c r="C92" s="262" t="s">
        <v>932</v>
      </c>
      <c r="D92" s="608">
        <v>37310</v>
      </c>
    </row>
    <row r="93" spans="1:3" ht="13.5" thickBot="1">
      <c r="A93" s="482" t="s">
        <v>180</v>
      </c>
      <c r="B93" s="482"/>
      <c r="C93" s="483"/>
    </row>
    <row r="94" spans="1:4" ht="12.75">
      <c r="A94" s="521" t="s">
        <v>820</v>
      </c>
      <c r="B94" t="s">
        <v>803</v>
      </c>
      <c r="C94" t="s">
        <v>804</v>
      </c>
      <c r="D94" s="608">
        <v>37259</v>
      </c>
    </row>
    <row r="95" spans="1:4" ht="12.75">
      <c r="A95" s="521" t="s">
        <v>821</v>
      </c>
      <c r="B95" t="s">
        <v>803</v>
      </c>
      <c r="C95" t="s">
        <v>814</v>
      </c>
      <c r="D95" s="608">
        <v>37259</v>
      </c>
    </row>
    <row r="96" spans="1:4" ht="12.75">
      <c r="A96" s="521">
        <v>117</v>
      </c>
      <c r="B96" t="s">
        <v>806</v>
      </c>
      <c r="C96" t="s">
        <v>807</v>
      </c>
      <c r="D96" s="608">
        <v>37259</v>
      </c>
    </row>
    <row r="97" spans="1:4" ht="12.75">
      <c r="A97" s="521">
        <v>118</v>
      </c>
      <c r="B97" t="s">
        <v>806</v>
      </c>
      <c r="C97" t="s">
        <v>807</v>
      </c>
      <c r="D97" s="608">
        <v>37259</v>
      </c>
    </row>
    <row r="98" spans="1:4" ht="12.75">
      <c r="A98" s="521">
        <v>119</v>
      </c>
      <c r="B98" t="s">
        <v>806</v>
      </c>
      <c r="C98" t="s">
        <v>807</v>
      </c>
      <c r="D98" s="608">
        <v>37259</v>
      </c>
    </row>
    <row r="99" spans="1:4" ht="12.75">
      <c r="A99" s="521" t="s">
        <v>822</v>
      </c>
      <c r="B99" t="s">
        <v>803</v>
      </c>
      <c r="C99" t="s">
        <v>804</v>
      </c>
      <c r="D99" s="608">
        <v>37259</v>
      </c>
    </row>
    <row r="100" spans="1:4" ht="12.75">
      <c r="A100" s="521" t="s">
        <v>833</v>
      </c>
      <c r="B100" t="s">
        <v>825</v>
      </c>
      <c r="C100" t="s">
        <v>834</v>
      </c>
      <c r="D100" s="608">
        <v>37259</v>
      </c>
    </row>
    <row r="101" spans="1:4" ht="25.5">
      <c r="A101" s="632" t="s">
        <v>880</v>
      </c>
      <c r="B101" t="s">
        <v>881</v>
      </c>
      <c r="C101" s="262" t="s">
        <v>882</v>
      </c>
      <c r="D101" s="608">
        <v>37280</v>
      </c>
    </row>
    <row r="102" spans="1:4" ht="12.75">
      <c r="A102" s="521" t="s">
        <v>865</v>
      </c>
      <c r="B102" s="262" t="s">
        <v>866</v>
      </c>
      <c r="C102" t="s">
        <v>867</v>
      </c>
      <c r="D102" s="608">
        <v>37280</v>
      </c>
    </row>
    <row r="103" spans="1:4" ht="25.5">
      <c r="A103" s="521" t="s">
        <v>895</v>
      </c>
      <c r="B103" s="262" t="s">
        <v>889</v>
      </c>
      <c r="C103" t="s">
        <v>890</v>
      </c>
      <c r="D103" s="608">
        <v>37291</v>
      </c>
    </row>
    <row r="104" spans="1:4" ht="51">
      <c r="A104" s="632" t="s">
        <v>886</v>
      </c>
      <c r="B104" s="262" t="s">
        <v>897</v>
      </c>
      <c r="C104" s="262" t="s">
        <v>892</v>
      </c>
      <c r="D104" s="608">
        <v>37291</v>
      </c>
    </row>
    <row r="105" spans="1:3" ht="13.5" thickBot="1">
      <c r="A105" s="482" t="s">
        <v>188</v>
      </c>
      <c r="B105" s="482"/>
      <c r="C105" s="483"/>
    </row>
    <row r="106" spans="1:4" ht="12.75">
      <c r="A106" s="521" t="s">
        <v>816</v>
      </c>
      <c r="B106" t="s">
        <v>803</v>
      </c>
      <c r="C106" t="s">
        <v>804</v>
      </c>
      <c r="D106" s="608">
        <v>37259</v>
      </c>
    </row>
    <row r="107" spans="1:4" ht="12.75">
      <c r="A107" s="521" t="s">
        <v>820</v>
      </c>
      <c r="B107" t="s">
        <v>803</v>
      </c>
      <c r="C107" t="s">
        <v>814</v>
      </c>
      <c r="D107" s="608">
        <v>37259</v>
      </c>
    </row>
    <row r="108" spans="1:4" ht="12.75">
      <c r="A108" s="521">
        <v>109</v>
      </c>
      <c r="B108" t="s">
        <v>806</v>
      </c>
      <c r="C108" t="s">
        <v>807</v>
      </c>
      <c r="D108" s="608">
        <v>37259</v>
      </c>
    </row>
    <row r="109" spans="1:4" ht="12.75">
      <c r="A109" s="521">
        <v>110</v>
      </c>
      <c r="B109" t="s">
        <v>806</v>
      </c>
      <c r="C109" t="s">
        <v>807</v>
      </c>
      <c r="D109" s="608">
        <v>37259</v>
      </c>
    </row>
    <row r="110" spans="1:4" ht="12.75">
      <c r="A110" s="521">
        <v>111</v>
      </c>
      <c r="B110" t="s">
        <v>806</v>
      </c>
      <c r="C110" t="s">
        <v>807</v>
      </c>
      <c r="D110" s="608">
        <v>37259</v>
      </c>
    </row>
    <row r="111" spans="1:4" ht="12.75">
      <c r="A111" s="521" t="s">
        <v>823</v>
      </c>
      <c r="B111" t="s">
        <v>803</v>
      </c>
      <c r="C111" t="s">
        <v>804</v>
      </c>
      <c r="D111" s="608">
        <v>37259</v>
      </c>
    </row>
    <row r="112" spans="1:4" ht="12.75">
      <c r="A112" s="521" t="s">
        <v>835</v>
      </c>
      <c r="B112" t="s">
        <v>825</v>
      </c>
      <c r="C112" t="s">
        <v>836</v>
      </c>
      <c r="D112" s="608">
        <v>37259</v>
      </c>
    </row>
    <row r="113" spans="1:4" ht="25.5">
      <c r="A113" s="632" t="s">
        <v>883</v>
      </c>
      <c r="B113" t="s">
        <v>881</v>
      </c>
      <c r="C113" s="262" t="s">
        <v>882</v>
      </c>
      <c r="D113" s="608">
        <v>37280</v>
      </c>
    </row>
    <row r="114" spans="1:4" ht="12.75">
      <c r="A114" s="521" t="s">
        <v>865</v>
      </c>
      <c r="B114" s="262" t="s">
        <v>866</v>
      </c>
      <c r="C114" t="s">
        <v>867</v>
      </c>
      <c r="D114" s="608">
        <v>37280</v>
      </c>
    </row>
    <row r="115" spans="1:4" ht="25.5">
      <c r="A115" s="521" t="s">
        <v>899</v>
      </c>
      <c r="B115" s="262" t="s">
        <v>889</v>
      </c>
      <c r="C115" t="s">
        <v>890</v>
      </c>
      <c r="D115" s="608">
        <v>37291</v>
      </c>
    </row>
    <row r="116" spans="1:4" ht="51">
      <c r="A116" s="632" t="s">
        <v>886</v>
      </c>
      <c r="B116" s="262" t="s">
        <v>896</v>
      </c>
      <c r="C116" s="262" t="s">
        <v>892</v>
      </c>
      <c r="D116" s="608">
        <v>37291</v>
      </c>
    </row>
    <row r="117" spans="1:3" ht="13.5" thickBot="1">
      <c r="A117" s="482"/>
      <c r="B117" s="482"/>
      <c r="C117" s="483"/>
    </row>
    <row r="118" ht="12.75">
      <c r="A118" s="66"/>
    </row>
    <row r="119" spans="1:4" ht="12.75">
      <c r="A119" s="66" t="s">
        <v>844</v>
      </c>
      <c r="D119" s="616">
        <v>37264</v>
      </c>
    </row>
    <row r="120" spans="1:2" ht="12.75">
      <c r="A120" s="66"/>
      <c r="B120" t="s">
        <v>845</v>
      </c>
    </row>
    <row r="121" spans="1:4" ht="12.75">
      <c r="A121" s="66" t="s">
        <v>898</v>
      </c>
      <c r="D121" s="616">
        <v>37291</v>
      </c>
    </row>
    <row r="122" ht="12.75">
      <c r="A122" s="66"/>
    </row>
    <row r="123" ht="12.75">
      <c r="A123" s="66"/>
    </row>
    <row r="124" spans="1:3" ht="13.5" thickBot="1">
      <c r="A124" s="482" t="s">
        <v>902</v>
      </c>
      <c r="B124" s="482"/>
      <c r="C124" s="483"/>
    </row>
    <row r="125" spans="1:4" ht="12.75">
      <c r="A125" t="s">
        <v>907</v>
      </c>
      <c r="B125" t="s">
        <v>908</v>
      </c>
      <c r="C125" t="s">
        <v>909</v>
      </c>
      <c r="D125" s="608">
        <v>37307</v>
      </c>
    </row>
    <row r="126" spans="1:4" ht="12.75">
      <c r="A126" t="s">
        <v>910</v>
      </c>
      <c r="B126" t="s">
        <v>908</v>
      </c>
      <c r="C126" t="s">
        <v>909</v>
      </c>
      <c r="D126" s="608">
        <v>37307</v>
      </c>
    </row>
    <row r="127" spans="1:4" ht="12.75">
      <c r="A127" t="s">
        <v>911</v>
      </c>
      <c r="B127" t="s">
        <v>908</v>
      </c>
      <c r="C127" t="s">
        <v>909</v>
      </c>
      <c r="D127" s="608">
        <v>37307</v>
      </c>
    </row>
    <row r="131" spans="1:2" ht="12.75">
      <c r="A131" s="521"/>
      <c r="B131" s="504"/>
    </row>
    <row r="132" spans="1:2" ht="12.75">
      <c r="A132" s="521"/>
      <c r="B132" s="504"/>
    </row>
    <row r="133" spans="1:2" ht="12.75">
      <c r="A133" s="521"/>
      <c r="B133" s="504"/>
    </row>
    <row r="134" spans="1:2" ht="12.75">
      <c r="A134" s="521"/>
      <c r="B134" s="504"/>
    </row>
    <row r="135" spans="1:2" ht="12.75">
      <c r="A135" s="521"/>
      <c r="B135" s="504"/>
    </row>
    <row r="140" ht="12.75">
      <c r="B140" s="504"/>
    </row>
    <row r="157" ht="12.75">
      <c r="C157" s="504"/>
    </row>
    <row r="158" ht="12.75">
      <c r="C158" s="504"/>
    </row>
    <row r="159" ht="12.75">
      <c r="C159" s="504"/>
    </row>
    <row r="160" ht="12.75">
      <c r="C160" s="504"/>
    </row>
    <row r="164" ht="12.75">
      <c r="A164" s="66"/>
    </row>
    <row r="165" ht="12.75">
      <c r="A165" s="66"/>
    </row>
    <row r="166" ht="12.75">
      <c r="A166" s="66"/>
    </row>
    <row r="167" ht="12.75">
      <c r="A167" s="66"/>
    </row>
    <row r="168" ht="12.75">
      <c r="A168" s="66"/>
    </row>
    <row r="169" ht="12.75">
      <c r="A169" s="66"/>
    </row>
    <row r="170" ht="12.75">
      <c r="A170" s="66"/>
    </row>
    <row r="171" ht="12.75">
      <c r="A171" s="66"/>
    </row>
    <row r="172" ht="12.75">
      <c r="A172" s="66"/>
    </row>
    <row r="173" ht="12.75">
      <c r="A173" s="66"/>
    </row>
    <row r="174" ht="12.75">
      <c r="A174" s="66"/>
    </row>
    <row r="175" spans="1:3" ht="13.5" thickBot="1">
      <c r="A175" s="482"/>
      <c r="B175" s="483"/>
      <c r="C175" s="483"/>
    </row>
    <row r="176" spans="1:2" ht="12.75">
      <c r="A176" s="521"/>
      <c r="B176" s="504"/>
    </row>
    <row r="177" spans="1:2" ht="12.75">
      <c r="A177" s="521"/>
      <c r="B177" s="504"/>
    </row>
    <row r="178" spans="1:2" ht="12.75">
      <c r="A178" s="521"/>
      <c r="B178" s="504"/>
    </row>
    <row r="179" spans="1:2" ht="12.75">
      <c r="A179" s="521"/>
      <c r="B179" s="504"/>
    </row>
    <row r="180" spans="1:2" ht="12.75">
      <c r="A180" s="521"/>
      <c r="B180" s="504"/>
    </row>
    <row r="204" ht="12.75">
      <c r="A204" s="66"/>
    </row>
    <row r="205" ht="12.75">
      <c r="A205" s="66"/>
    </row>
    <row r="209" ht="12.75">
      <c r="A209" s="66"/>
    </row>
    <row r="210" ht="12.75">
      <c r="A210" s="66"/>
    </row>
    <row r="211" ht="12.75">
      <c r="A211" s="66"/>
    </row>
    <row r="212" ht="12.75">
      <c r="A212" s="66"/>
    </row>
    <row r="213" ht="12.75">
      <c r="A213" s="66"/>
    </row>
    <row r="214" ht="12.75">
      <c r="A214" s="66"/>
    </row>
    <row r="215" spans="1:3" ht="13.5" thickBot="1">
      <c r="A215" s="482"/>
      <c r="B215" s="482"/>
      <c r="C215" s="483"/>
    </row>
    <row r="216" spans="1:2" ht="12.75">
      <c r="A216" s="521"/>
      <c r="B216" s="504"/>
    </row>
    <row r="217" spans="1:2" ht="12.75">
      <c r="A217" s="521"/>
      <c r="B217" s="504"/>
    </row>
    <row r="218" spans="1:2" ht="12.75">
      <c r="A218" s="521"/>
      <c r="B218" s="504"/>
    </row>
    <row r="219" spans="1:2" ht="12.75">
      <c r="A219" s="521"/>
      <c r="B219" s="504"/>
    </row>
    <row r="220" spans="1:2" ht="12.75">
      <c r="A220" s="521"/>
      <c r="B220" s="504"/>
    </row>
    <row r="225" ht="12.75">
      <c r="B225" s="504"/>
    </row>
    <row r="242" ht="12.75">
      <c r="A242" s="66"/>
    </row>
    <row r="243" ht="12.75">
      <c r="A243" s="66"/>
    </row>
    <row r="247" ht="12.75">
      <c r="A247" s="66"/>
    </row>
    <row r="248" ht="12.75">
      <c r="A248" s="66"/>
    </row>
    <row r="249" ht="12.75">
      <c r="A249" s="66"/>
    </row>
    <row r="250" ht="12.75">
      <c r="A250" s="66"/>
    </row>
    <row r="251" ht="12.75">
      <c r="A251" s="66"/>
    </row>
    <row r="252" ht="12.75">
      <c r="A252" s="66"/>
    </row>
    <row r="253" spans="1:3" ht="13.5" thickBot="1">
      <c r="A253" s="482"/>
      <c r="B253" s="482"/>
      <c r="C253" s="483"/>
    </row>
    <row r="254" ht="12.75">
      <c r="A254" s="504"/>
    </row>
    <row r="255" ht="12.75">
      <c r="A255" s="504"/>
    </row>
    <row r="256" ht="12.75">
      <c r="A256" s="504"/>
    </row>
    <row r="257" ht="12.75">
      <c r="A257" s="504"/>
    </row>
    <row r="272" ht="12.75">
      <c r="A272" s="66"/>
    </row>
    <row r="273" ht="12.75">
      <c r="A273" s="66"/>
    </row>
    <row r="277" ht="12.75">
      <c r="A277" s="66"/>
    </row>
    <row r="278" ht="12.75">
      <c r="A278" s="66"/>
    </row>
    <row r="279" ht="12.75">
      <c r="A279" s="66"/>
    </row>
    <row r="280" ht="12.75">
      <c r="A280" s="66"/>
    </row>
    <row r="281" ht="12.75">
      <c r="A281" s="66"/>
    </row>
    <row r="282" spans="1:3" ht="13.5" thickBot="1">
      <c r="A282" s="520"/>
      <c r="B282" s="483"/>
      <c r="C282" s="483"/>
    </row>
    <row r="283" spans="1:2" ht="12.75">
      <c r="A283" s="521"/>
      <c r="B283" s="504"/>
    </row>
    <row r="284" spans="1:2" ht="12.75">
      <c r="A284" s="521"/>
      <c r="B284" s="504"/>
    </row>
    <row r="285" spans="1:2" ht="12.75">
      <c r="A285" s="521"/>
      <c r="B285" s="504"/>
    </row>
    <row r="286" spans="1:2" ht="12.75">
      <c r="A286" s="521"/>
      <c r="B286" s="504"/>
    </row>
    <row r="287" spans="1:2" ht="12.75">
      <c r="A287" s="521"/>
      <c r="B287" s="504"/>
    </row>
    <row r="288" spans="1:2" ht="12.75">
      <c r="A288" s="521"/>
      <c r="B288" s="504"/>
    </row>
    <row r="289" ht="12.75">
      <c r="A289" s="521"/>
    </row>
    <row r="290" ht="12.75">
      <c r="A290" s="521"/>
    </row>
    <row r="302" ht="12.75">
      <c r="A302" s="66"/>
    </row>
    <row r="303" ht="12.75">
      <c r="A303" s="66"/>
    </row>
    <row r="304" ht="12.75">
      <c r="A304" s="66"/>
    </row>
    <row r="305" ht="12.75">
      <c r="A305" s="66"/>
    </row>
    <row r="306" ht="12.75">
      <c r="A306" s="66"/>
    </row>
    <row r="307" ht="12.75">
      <c r="A307" s="66"/>
    </row>
    <row r="308" ht="12.75">
      <c r="A308" s="66"/>
    </row>
    <row r="309" ht="12.75">
      <c r="A309" s="66"/>
    </row>
    <row r="310" ht="12.75">
      <c r="A310" s="66"/>
    </row>
    <row r="311" spans="1:3" ht="12.75">
      <c r="A311" s="66"/>
      <c r="C311" s="504"/>
    </row>
    <row r="312" spans="1:3" ht="12.75">
      <c r="A312" s="66"/>
      <c r="C312" s="504"/>
    </row>
    <row r="313" spans="1:3" ht="12.75">
      <c r="A313" s="66"/>
      <c r="C313" s="504"/>
    </row>
    <row r="314" spans="1:3" ht="12.75">
      <c r="A314" s="66"/>
      <c r="C314" s="504"/>
    </row>
    <row r="315" spans="1:3" ht="12.75">
      <c r="A315" s="66"/>
      <c r="C315" s="504"/>
    </row>
    <row r="316" ht="12.75">
      <c r="A316" s="66"/>
    </row>
    <row r="317" ht="12.75">
      <c r="A317" s="66"/>
    </row>
    <row r="318" ht="12.75">
      <c r="A318" s="66"/>
    </row>
    <row r="319" ht="12.75">
      <c r="A319" s="66"/>
    </row>
    <row r="320" ht="12.75">
      <c r="A320" s="66"/>
    </row>
    <row r="321" ht="12.75">
      <c r="A321" s="66"/>
    </row>
    <row r="322" ht="12.75">
      <c r="A322" s="66"/>
    </row>
    <row r="323" ht="12.75">
      <c r="A323" s="66"/>
    </row>
    <row r="324" ht="12.75">
      <c r="A324" s="66"/>
    </row>
    <row r="325" ht="12.75">
      <c r="A325" s="66"/>
    </row>
    <row r="326" ht="12.75">
      <c r="A326" s="66"/>
    </row>
    <row r="327" spans="1:3" ht="13.5" thickBot="1">
      <c r="A327" s="482"/>
      <c r="B327" s="482"/>
      <c r="C327" s="483"/>
    </row>
    <row r="328" spans="1:3" ht="12.75">
      <c r="A328" s="504"/>
      <c r="B328" s="504"/>
      <c r="C328" s="504"/>
    </row>
    <row r="329" spans="1:3" ht="12.75">
      <c r="A329" s="504"/>
      <c r="B329" s="504"/>
      <c r="C329" s="504"/>
    </row>
    <row r="330" spans="1:3" ht="12.75">
      <c r="A330" s="504"/>
      <c r="B330" s="504"/>
      <c r="C330" s="504"/>
    </row>
    <row r="331" spans="1:3" ht="12.75">
      <c r="A331" s="504"/>
      <c r="B331" s="504"/>
      <c r="C331" s="504"/>
    </row>
    <row r="332" spans="1:3" ht="12.75">
      <c r="A332" s="504"/>
      <c r="B332" s="504"/>
      <c r="C332" s="504"/>
    </row>
    <row r="333" spans="1:3" ht="12.75">
      <c r="A333" s="504"/>
      <c r="B333" s="504"/>
      <c r="C333" s="504"/>
    </row>
    <row r="334" spans="1:3" ht="12.75">
      <c r="A334" s="504"/>
      <c r="B334" s="504"/>
      <c r="C334" s="504"/>
    </row>
    <row r="335" spans="1:3" ht="12.75">
      <c r="A335" s="504"/>
      <c r="B335" s="504"/>
      <c r="C335" s="504"/>
    </row>
    <row r="336" spans="1:3" ht="12.75">
      <c r="A336" s="504"/>
      <c r="B336" s="504"/>
      <c r="C336" s="504"/>
    </row>
    <row r="337" spans="1:3" ht="12.75">
      <c r="A337" s="504"/>
      <c r="B337" s="504"/>
      <c r="C337" s="504"/>
    </row>
    <row r="338" spans="1:3" ht="12.75">
      <c r="A338" s="504"/>
      <c r="B338" s="504"/>
      <c r="C338" s="504"/>
    </row>
    <row r="339" spans="1:3" ht="12.75">
      <c r="A339" s="504"/>
      <c r="B339" s="504"/>
      <c r="C339" s="504"/>
    </row>
    <row r="340" spans="1:3" ht="12.75">
      <c r="A340" s="504"/>
      <c r="B340" s="504"/>
      <c r="C340" s="504"/>
    </row>
    <row r="341" spans="1:2" ht="12.75">
      <c r="A341" s="504"/>
      <c r="B341" s="504"/>
    </row>
    <row r="342" spans="1:2" ht="12.75">
      <c r="A342" s="504"/>
      <c r="B342" s="504"/>
    </row>
    <row r="343" spans="1:2" ht="12.75">
      <c r="A343" s="504"/>
      <c r="B343" s="504"/>
    </row>
    <row r="344" spans="1:2" ht="12.75">
      <c r="A344" s="504"/>
      <c r="B344" s="504"/>
    </row>
    <row r="349" ht="12.75">
      <c r="B349" s="504"/>
    </row>
    <row r="356" ht="12.75">
      <c r="B356" s="504"/>
    </row>
    <row r="376" ht="12.75">
      <c r="C376" s="504"/>
    </row>
    <row r="377" ht="12.75">
      <c r="C377" s="504"/>
    </row>
    <row r="378" ht="12.75">
      <c r="A378" s="66"/>
    </row>
    <row r="379" ht="12.75">
      <c r="A379" s="66"/>
    </row>
    <row r="383" ht="12.75">
      <c r="A383" s="66"/>
    </row>
    <row r="384" ht="12.75">
      <c r="A384" s="66"/>
    </row>
    <row r="385" ht="12.75">
      <c r="A385" s="66"/>
    </row>
    <row r="386" ht="12.75">
      <c r="A386" s="66"/>
    </row>
    <row r="387" ht="12.75">
      <c r="A387" s="66"/>
    </row>
    <row r="388" ht="12.75">
      <c r="A388" s="66"/>
    </row>
    <row r="389" spans="1:3" ht="13.5" thickBot="1">
      <c r="A389" s="482"/>
      <c r="B389" s="482"/>
      <c r="C389" s="483"/>
    </row>
    <row r="390" spans="1:2" ht="12.75">
      <c r="A390" s="504"/>
      <c r="B390" s="504"/>
    </row>
    <row r="391" spans="1:2" ht="12.75">
      <c r="A391" s="504"/>
      <c r="B391" s="504"/>
    </row>
    <row r="396" ht="12.75">
      <c r="B396" s="504"/>
    </row>
    <row r="400" ht="12.75">
      <c r="B400" s="504"/>
    </row>
    <row r="401" ht="12.75">
      <c r="B401" s="504"/>
    </row>
    <row r="413" ht="12.75">
      <c r="C413" s="504"/>
    </row>
    <row r="414" ht="12.75">
      <c r="C414" s="504"/>
    </row>
    <row r="415" ht="12.75">
      <c r="C415" s="504"/>
    </row>
    <row r="416" ht="12.75">
      <c r="C416" s="504"/>
    </row>
    <row r="417" ht="12.75">
      <c r="C417" s="504"/>
    </row>
    <row r="418" ht="12.75">
      <c r="A418" s="66"/>
    </row>
    <row r="419" ht="12.75">
      <c r="A419" s="66"/>
    </row>
    <row r="423" ht="12.75">
      <c r="A423" s="66"/>
    </row>
    <row r="424" ht="12.75">
      <c r="A424" s="66"/>
    </row>
    <row r="425" ht="12.75">
      <c r="A425" s="66"/>
    </row>
    <row r="426" ht="12.75">
      <c r="A426" s="66"/>
    </row>
    <row r="427" ht="12.75">
      <c r="A427" s="66"/>
    </row>
    <row r="428" ht="12.75">
      <c r="A428" s="66"/>
    </row>
  </sheetData>
  <printOptions/>
  <pageMargins left="0.75" right="0.75" top="1" bottom="1" header="0.5" footer="0.5"/>
  <pageSetup fitToHeight="4" fitToWidth="1" horizontalDpi="300" verticalDpi="300" orientation="portrait" scale="90" r:id="rId1"/>
</worksheet>
</file>

<file path=xl/worksheets/sheet12.xml><?xml version="1.0" encoding="utf-8"?>
<worksheet xmlns="http://schemas.openxmlformats.org/spreadsheetml/2006/main" xmlns:r="http://schemas.openxmlformats.org/officeDocument/2006/relationships">
  <dimension ref="A1:D637"/>
  <sheetViews>
    <sheetView workbookViewId="0" topLeftCell="A1">
      <selection activeCell="A3" sqref="A3"/>
    </sheetView>
  </sheetViews>
  <sheetFormatPr defaultColWidth="9.140625" defaultRowHeight="12.75"/>
  <cols>
    <col min="1" max="1" width="10.421875" style="0" customWidth="1"/>
    <col min="2" max="2" width="50.8515625" style="0" bestFit="1" customWidth="1"/>
    <col min="3" max="3" width="29.8515625" style="0" customWidth="1"/>
  </cols>
  <sheetData>
    <row r="1" spans="1:2" ht="12.75">
      <c r="A1" s="548"/>
      <c r="B1" t="s">
        <v>575</v>
      </c>
    </row>
    <row r="2" spans="1:3" ht="13.5" thickBot="1">
      <c r="A2" s="482" t="s">
        <v>363</v>
      </c>
      <c r="B2" s="483"/>
      <c r="C2" s="483"/>
    </row>
    <row r="3" spans="1:3" ht="12.75">
      <c r="A3" s="504" t="s">
        <v>545</v>
      </c>
      <c r="B3" s="287" t="s">
        <v>546</v>
      </c>
      <c r="C3" s="504" t="s">
        <v>547</v>
      </c>
    </row>
    <row r="4" spans="1:4" ht="12.75">
      <c r="A4" s="504" t="s">
        <v>531</v>
      </c>
      <c r="B4" t="s">
        <v>532</v>
      </c>
      <c r="C4" t="s">
        <v>464</v>
      </c>
      <c r="D4" s="608">
        <v>37060</v>
      </c>
    </row>
    <row r="5" spans="1:4" ht="12.75">
      <c r="A5" s="504" t="s">
        <v>387</v>
      </c>
      <c r="B5" t="s">
        <v>533</v>
      </c>
      <c r="C5" t="s">
        <v>464</v>
      </c>
      <c r="D5" s="608">
        <v>37060</v>
      </c>
    </row>
    <row r="6" spans="1:4" ht="12.75">
      <c r="A6" s="504" t="s">
        <v>388</v>
      </c>
      <c r="B6" t="s">
        <v>534</v>
      </c>
      <c r="C6" t="s">
        <v>464</v>
      </c>
      <c r="D6" s="608">
        <v>37060</v>
      </c>
    </row>
    <row r="7" spans="1:4" ht="12.75">
      <c r="A7" s="504" t="s">
        <v>389</v>
      </c>
      <c r="B7" t="s">
        <v>535</v>
      </c>
      <c r="C7" t="s">
        <v>464</v>
      </c>
      <c r="D7" s="608">
        <v>37060</v>
      </c>
    </row>
    <row r="8" spans="1:3" ht="12.75">
      <c r="A8" s="504" t="s">
        <v>462</v>
      </c>
      <c r="B8" t="s">
        <v>548</v>
      </c>
      <c r="C8" t="s">
        <v>549</v>
      </c>
    </row>
    <row r="9" spans="1:4" ht="12.75">
      <c r="A9" s="504" t="s">
        <v>414</v>
      </c>
      <c r="B9" t="s">
        <v>590</v>
      </c>
      <c r="C9" t="s">
        <v>464</v>
      </c>
      <c r="D9" s="608">
        <v>37060</v>
      </c>
    </row>
    <row r="10" spans="1:3" ht="12.75">
      <c r="A10" s="504" t="s">
        <v>415</v>
      </c>
      <c r="B10" t="s">
        <v>550</v>
      </c>
      <c r="C10" t="s">
        <v>549</v>
      </c>
    </row>
    <row r="11" spans="1:4" ht="12.75">
      <c r="A11" s="504" t="s">
        <v>423</v>
      </c>
      <c r="B11" t="s">
        <v>591</v>
      </c>
      <c r="C11" t="s">
        <v>464</v>
      </c>
      <c r="D11" s="608">
        <v>37060</v>
      </c>
    </row>
    <row r="12" spans="1:4" ht="12.75">
      <c r="A12" s="504" t="s">
        <v>482</v>
      </c>
      <c r="B12" t="s">
        <v>592</v>
      </c>
      <c r="C12" t="s">
        <v>464</v>
      </c>
      <c r="D12" s="608">
        <v>37060</v>
      </c>
    </row>
    <row r="13" spans="1:4" ht="12.75">
      <c r="A13" t="s">
        <v>364</v>
      </c>
      <c r="B13" t="s">
        <v>365</v>
      </c>
      <c r="C13" t="s">
        <v>538</v>
      </c>
      <c r="D13" s="608">
        <v>37060</v>
      </c>
    </row>
    <row r="14" spans="1:4" ht="12.75">
      <c r="A14" t="s">
        <v>366</v>
      </c>
      <c r="B14" t="s">
        <v>382</v>
      </c>
      <c r="C14" t="s">
        <v>538</v>
      </c>
      <c r="D14" s="608">
        <v>37060</v>
      </c>
    </row>
    <row r="15" spans="1:4" ht="12.75">
      <c r="A15" t="s">
        <v>368</v>
      </c>
      <c r="B15" t="s">
        <v>383</v>
      </c>
      <c r="C15" t="s">
        <v>538</v>
      </c>
      <c r="D15" s="608">
        <v>37060</v>
      </c>
    </row>
    <row r="16" spans="1:4" ht="12.75">
      <c r="A16" t="s">
        <v>369</v>
      </c>
      <c r="B16" t="s">
        <v>370</v>
      </c>
      <c r="C16" t="s">
        <v>538</v>
      </c>
      <c r="D16" s="608">
        <v>37060</v>
      </c>
    </row>
    <row r="17" spans="1:4" ht="12.75">
      <c r="A17" t="s">
        <v>371</v>
      </c>
      <c r="B17" t="s">
        <v>372</v>
      </c>
      <c r="C17" t="s">
        <v>538</v>
      </c>
      <c r="D17" s="608">
        <v>37060</v>
      </c>
    </row>
    <row r="18" spans="1:4" ht="12.75">
      <c r="A18" t="s">
        <v>373</v>
      </c>
      <c r="B18" t="s">
        <v>374</v>
      </c>
      <c r="C18" t="s">
        <v>538</v>
      </c>
      <c r="D18" s="608">
        <v>37060</v>
      </c>
    </row>
    <row r="19" spans="1:4" ht="12.75">
      <c r="A19" t="s">
        <v>375</v>
      </c>
      <c r="B19" t="s">
        <v>376</v>
      </c>
      <c r="C19" t="s">
        <v>538</v>
      </c>
      <c r="D19" s="608">
        <v>37060</v>
      </c>
    </row>
    <row r="20" spans="1:4" ht="12.75">
      <c r="A20" t="s">
        <v>378</v>
      </c>
      <c r="B20" t="s">
        <v>379</v>
      </c>
      <c r="C20" t="s">
        <v>538</v>
      </c>
      <c r="D20" s="608">
        <v>37060</v>
      </c>
    </row>
    <row r="21" spans="1:4" ht="12.75">
      <c r="A21" t="s">
        <v>381</v>
      </c>
      <c r="B21" t="s">
        <v>380</v>
      </c>
      <c r="C21" t="s">
        <v>538</v>
      </c>
      <c r="D21" s="608">
        <v>37060</v>
      </c>
    </row>
    <row r="22" spans="1:3" ht="12.75">
      <c r="A22" t="s">
        <v>551</v>
      </c>
      <c r="B22" t="s">
        <v>552</v>
      </c>
      <c r="C22" t="s">
        <v>559</v>
      </c>
    </row>
    <row r="23" spans="1:3" ht="12.75">
      <c r="A23" t="s">
        <v>553</v>
      </c>
      <c r="B23" t="s">
        <v>556</v>
      </c>
      <c r="C23" t="s">
        <v>492</v>
      </c>
    </row>
    <row r="24" spans="1:3" ht="12.75">
      <c r="A24" t="s">
        <v>554</v>
      </c>
      <c r="B24" t="s">
        <v>557</v>
      </c>
      <c r="C24" t="s">
        <v>559</v>
      </c>
    </row>
    <row r="25" spans="1:3" ht="12.75">
      <c r="A25" t="s">
        <v>555</v>
      </c>
      <c r="B25" t="s">
        <v>558</v>
      </c>
      <c r="C25" t="s">
        <v>559</v>
      </c>
    </row>
    <row r="26" spans="1:3" ht="12.75">
      <c r="A26" t="s">
        <v>560</v>
      </c>
      <c r="B26" t="s">
        <v>561</v>
      </c>
      <c r="C26" t="s">
        <v>492</v>
      </c>
    </row>
    <row r="27" spans="1:3" ht="12.75">
      <c r="A27" t="s">
        <v>562</v>
      </c>
      <c r="B27" t="s">
        <v>563</v>
      </c>
      <c r="C27" t="s">
        <v>566</v>
      </c>
    </row>
    <row r="28" spans="1:3" ht="12.75">
      <c r="A28" t="s">
        <v>564</v>
      </c>
      <c r="B28" t="s">
        <v>565</v>
      </c>
      <c r="C28" t="s">
        <v>566</v>
      </c>
    </row>
    <row r="29" spans="1:3" ht="12.75">
      <c r="A29" t="s">
        <v>468</v>
      </c>
      <c r="B29" t="s">
        <v>563</v>
      </c>
      <c r="C29" t="s">
        <v>566</v>
      </c>
    </row>
    <row r="30" spans="1:3" ht="12.75">
      <c r="A30" t="s">
        <v>457</v>
      </c>
      <c r="B30" t="s">
        <v>565</v>
      </c>
      <c r="C30" t="s">
        <v>566</v>
      </c>
    </row>
    <row r="31" spans="1:3" ht="12.75">
      <c r="A31" t="s">
        <v>567</v>
      </c>
      <c r="B31" t="s">
        <v>563</v>
      </c>
      <c r="C31" t="s">
        <v>566</v>
      </c>
    </row>
    <row r="32" spans="1:3" ht="12.75">
      <c r="A32" t="s">
        <v>568</v>
      </c>
      <c r="B32" t="s">
        <v>565</v>
      </c>
      <c r="C32" t="s">
        <v>566</v>
      </c>
    </row>
    <row r="33" spans="1:3" ht="12.75">
      <c r="A33" t="s">
        <v>569</v>
      </c>
      <c r="B33" t="s">
        <v>563</v>
      </c>
      <c r="C33" t="s">
        <v>566</v>
      </c>
    </row>
    <row r="34" spans="1:3" ht="12.75">
      <c r="A34" t="s">
        <v>570</v>
      </c>
      <c r="B34" t="s">
        <v>565</v>
      </c>
      <c r="C34" t="s">
        <v>566</v>
      </c>
    </row>
    <row r="35" spans="1:3" ht="12.75">
      <c r="A35" t="s">
        <v>571</v>
      </c>
      <c r="B35" t="s">
        <v>563</v>
      </c>
      <c r="C35" t="s">
        <v>566</v>
      </c>
    </row>
    <row r="36" spans="1:3" ht="12.75">
      <c r="A36" t="s">
        <v>572</v>
      </c>
      <c r="B36" t="s">
        <v>565</v>
      </c>
      <c r="C36" t="s">
        <v>566</v>
      </c>
    </row>
    <row r="37" spans="1:3" ht="12.75">
      <c r="A37" s="66">
        <v>60</v>
      </c>
      <c r="B37" t="s">
        <v>573</v>
      </c>
      <c r="C37" t="s">
        <v>574</v>
      </c>
    </row>
    <row r="38" spans="1:4" ht="12.75">
      <c r="A38" s="66">
        <v>64</v>
      </c>
      <c r="B38" t="s">
        <v>757</v>
      </c>
      <c r="C38" t="s">
        <v>758</v>
      </c>
      <c r="D38" s="608">
        <v>37060</v>
      </c>
    </row>
    <row r="39" spans="1:4" ht="12.75">
      <c r="A39" s="66">
        <v>65</v>
      </c>
      <c r="B39" t="s">
        <v>759</v>
      </c>
      <c r="C39" t="s">
        <v>758</v>
      </c>
      <c r="D39" s="608">
        <v>37060</v>
      </c>
    </row>
    <row r="40" spans="1:3" ht="12.75">
      <c r="A40" s="66">
        <v>84</v>
      </c>
      <c r="B40" t="s">
        <v>573</v>
      </c>
      <c r="C40" t="s">
        <v>574</v>
      </c>
    </row>
    <row r="41" spans="1:4" ht="12.75">
      <c r="A41" s="66">
        <v>90</v>
      </c>
      <c r="B41" t="s">
        <v>757</v>
      </c>
      <c r="C41" t="s">
        <v>758</v>
      </c>
      <c r="D41" s="608">
        <v>37060</v>
      </c>
    </row>
    <row r="42" spans="1:4" ht="12.75">
      <c r="A42" s="521" t="s">
        <v>805</v>
      </c>
      <c r="B42" t="s">
        <v>803</v>
      </c>
      <c r="C42" t="s">
        <v>804</v>
      </c>
      <c r="D42" s="608">
        <v>37259</v>
      </c>
    </row>
    <row r="43" spans="1:4" ht="12.75">
      <c r="A43" s="66">
        <v>91</v>
      </c>
      <c r="B43" t="s">
        <v>759</v>
      </c>
      <c r="C43" t="s">
        <v>758</v>
      </c>
      <c r="D43" s="608">
        <v>37060</v>
      </c>
    </row>
    <row r="44" spans="1:4" ht="12.75">
      <c r="A44" s="521" t="s">
        <v>815</v>
      </c>
      <c r="B44" t="s">
        <v>803</v>
      </c>
      <c r="C44" t="s">
        <v>814</v>
      </c>
      <c r="D44" s="608">
        <v>37259</v>
      </c>
    </row>
    <row r="45" spans="1:4" ht="12.75">
      <c r="A45" s="66" t="s">
        <v>760</v>
      </c>
      <c r="B45" t="s">
        <v>757</v>
      </c>
      <c r="C45" t="s">
        <v>758</v>
      </c>
      <c r="D45" s="608">
        <v>37060</v>
      </c>
    </row>
    <row r="46" spans="1:4" ht="12.75">
      <c r="A46" s="66" t="s">
        <v>761</v>
      </c>
      <c r="B46" t="s">
        <v>757</v>
      </c>
      <c r="C46" t="s">
        <v>758</v>
      </c>
      <c r="D46" s="608">
        <v>37060</v>
      </c>
    </row>
    <row r="47" spans="1:4" ht="12.75">
      <c r="A47" s="66" t="s">
        <v>762</v>
      </c>
      <c r="B47" t="s">
        <v>757</v>
      </c>
      <c r="C47" t="s">
        <v>758</v>
      </c>
      <c r="D47" s="608">
        <v>37060</v>
      </c>
    </row>
    <row r="48" spans="1:4" ht="12.75">
      <c r="A48" s="66" t="s">
        <v>763</v>
      </c>
      <c r="B48" t="s">
        <v>757</v>
      </c>
      <c r="C48" t="s">
        <v>758</v>
      </c>
      <c r="D48" s="608">
        <v>37060</v>
      </c>
    </row>
    <row r="49" spans="1:4" ht="12.75">
      <c r="A49" s="66" t="s">
        <v>764</v>
      </c>
      <c r="B49" t="s">
        <v>757</v>
      </c>
      <c r="C49" t="s">
        <v>758</v>
      </c>
      <c r="D49" s="608">
        <v>37060</v>
      </c>
    </row>
    <row r="50" spans="1:4" ht="12.75">
      <c r="A50" s="66" t="s">
        <v>765</v>
      </c>
      <c r="B50" t="s">
        <v>757</v>
      </c>
      <c r="C50" t="s">
        <v>758</v>
      </c>
      <c r="D50" s="608">
        <v>37060</v>
      </c>
    </row>
    <row r="51" spans="1:4" ht="12.75">
      <c r="A51" s="66">
        <v>103</v>
      </c>
      <c r="B51" t="s">
        <v>434</v>
      </c>
      <c r="C51" t="s">
        <v>539</v>
      </c>
      <c r="D51" s="608">
        <v>37060</v>
      </c>
    </row>
    <row r="52" spans="1:4" ht="12.75">
      <c r="A52" s="66">
        <v>104</v>
      </c>
      <c r="B52" t="s">
        <v>434</v>
      </c>
      <c r="C52" t="s">
        <v>539</v>
      </c>
      <c r="D52" s="608">
        <v>37060</v>
      </c>
    </row>
    <row r="53" spans="1:4" ht="12.75">
      <c r="A53" s="66">
        <v>105</v>
      </c>
      <c r="B53" t="s">
        <v>434</v>
      </c>
      <c r="C53" t="s">
        <v>539</v>
      </c>
      <c r="D53" s="608">
        <v>37060</v>
      </c>
    </row>
    <row r="54" spans="1:4" ht="12.75">
      <c r="A54" s="66">
        <v>106</v>
      </c>
      <c r="B54" t="s">
        <v>434</v>
      </c>
      <c r="C54" t="s">
        <v>539</v>
      </c>
      <c r="D54" s="608">
        <v>37060</v>
      </c>
    </row>
    <row r="55" spans="1:4" ht="12.75">
      <c r="A55" s="521">
        <v>106</v>
      </c>
      <c r="B55" t="s">
        <v>806</v>
      </c>
      <c r="C55" t="s">
        <v>807</v>
      </c>
      <c r="D55" s="608">
        <v>37259</v>
      </c>
    </row>
    <row r="56" spans="1:4" ht="12.75">
      <c r="A56" s="66">
        <v>107</v>
      </c>
      <c r="B56" t="s">
        <v>434</v>
      </c>
      <c r="C56" t="s">
        <v>539</v>
      </c>
      <c r="D56" s="608">
        <v>37060</v>
      </c>
    </row>
    <row r="57" spans="1:4" ht="12.75">
      <c r="A57" s="521">
        <v>107</v>
      </c>
      <c r="B57" t="s">
        <v>806</v>
      </c>
      <c r="C57" t="s">
        <v>807</v>
      </c>
      <c r="D57" s="608">
        <v>37259</v>
      </c>
    </row>
    <row r="58" spans="1:4" ht="12.75">
      <c r="A58" s="521" t="s">
        <v>808</v>
      </c>
      <c r="B58" t="s">
        <v>803</v>
      </c>
      <c r="C58" t="s">
        <v>804</v>
      </c>
      <c r="D58" s="608">
        <v>37259</v>
      </c>
    </row>
    <row r="59" spans="1:4" ht="12.75">
      <c r="A59" s="66">
        <v>108</v>
      </c>
      <c r="B59" t="s">
        <v>434</v>
      </c>
      <c r="C59" t="s">
        <v>539</v>
      </c>
      <c r="D59" s="608">
        <v>37060</v>
      </c>
    </row>
    <row r="60" spans="1:4" ht="12.75">
      <c r="A60" s="521">
        <v>108</v>
      </c>
      <c r="B60" t="s">
        <v>806</v>
      </c>
      <c r="C60" t="s">
        <v>807</v>
      </c>
      <c r="D60" s="608">
        <v>37259</v>
      </c>
    </row>
    <row r="61" spans="1:4" ht="12.75">
      <c r="A61" s="521" t="s">
        <v>809</v>
      </c>
      <c r="B61" t="s">
        <v>803</v>
      </c>
      <c r="C61" t="s">
        <v>804</v>
      </c>
      <c r="D61" s="608">
        <v>37259</v>
      </c>
    </row>
    <row r="62" spans="1:4" ht="12.75">
      <c r="A62" s="521" t="s">
        <v>824</v>
      </c>
      <c r="B62" t="s">
        <v>825</v>
      </c>
      <c r="C62" t="s">
        <v>826</v>
      </c>
      <c r="D62" s="608">
        <v>37259</v>
      </c>
    </row>
    <row r="63" spans="1:3" ht="13.5" thickBot="1">
      <c r="A63" s="482" t="s">
        <v>200</v>
      </c>
      <c r="B63" s="482"/>
      <c r="C63" s="483"/>
    </row>
    <row r="64" spans="1:4" ht="12.75">
      <c r="A64" t="s">
        <v>414</v>
      </c>
      <c r="B64" t="s">
        <v>416</v>
      </c>
      <c r="C64" t="s">
        <v>540</v>
      </c>
      <c r="D64" s="608">
        <v>37060</v>
      </c>
    </row>
    <row r="65" spans="1:4" ht="12.75">
      <c r="A65" t="s">
        <v>415</v>
      </c>
      <c r="B65" t="s">
        <v>417</v>
      </c>
      <c r="C65" t="s">
        <v>540</v>
      </c>
      <c r="D65" s="608">
        <v>37060</v>
      </c>
    </row>
    <row r="66" spans="1:4" ht="12.75">
      <c r="A66" t="s">
        <v>423</v>
      </c>
      <c r="B66" t="s">
        <v>418</v>
      </c>
      <c r="C66" t="s">
        <v>540</v>
      </c>
      <c r="D66" s="608">
        <v>37060</v>
      </c>
    </row>
    <row r="67" spans="1:3" ht="12.75">
      <c r="A67" t="s">
        <v>576</v>
      </c>
      <c r="B67" t="s">
        <v>563</v>
      </c>
      <c r="C67" t="s">
        <v>566</v>
      </c>
    </row>
    <row r="68" spans="1:3" ht="12.75">
      <c r="A68" t="s">
        <v>577</v>
      </c>
      <c r="B68" t="s">
        <v>565</v>
      </c>
      <c r="C68" t="s">
        <v>566</v>
      </c>
    </row>
    <row r="69" spans="1:3" ht="12.75">
      <c r="A69" t="s">
        <v>578</v>
      </c>
      <c r="B69" t="s">
        <v>563</v>
      </c>
      <c r="C69" t="s">
        <v>566</v>
      </c>
    </row>
    <row r="70" spans="1:3" ht="12.75">
      <c r="A70" t="s">
        <v>579</v>
      </c>
      <c r="B70" t="s">
        <v>565</v>
      </c>
      <c r="C70" t="s">
        <v>566</v>
      </c>
    </row>
    <row r="71" spans="1:4" ht="12.75">
      <c r="A71" t="s">
        <v>419</v>
      </c>
      <c r="B71" t="s">
        <v>420</v>
      </c>
      <c r="C71" t="s">
        <v>540</v>
      </c>
      <c r="D71" s="608">
        <v>37060</v>
      </c>
    </row>
    <row r="72" spans="1:4" ht="12.75">
      <c r="A72" t="s">
        <v>421</v>
      </c>
      <c r="B72" t="s">
        <v>417</v>
      </c>
      <c r="C72" t="s">
        <v>540</v>
      </c>
      <c r="D72" s="608">
        <v>37060</v>
      </c>
    </row>
    <row r="73" spans="1:4" ht="12.75">
      <c r="A73" t="s">
        <v>422</v>
      </c>
      <c r="B73" t="s">
        <v>418</v>
      </c>
      <c r="C73" t="s">
        <v>540</v>
      </c>
      <c r="D73" s="608">
        <v>37060</v>
      </c>
    </row>
    <row r="74" spans="1:3" ht="12.75">
      <c r="A74" t="s">
        <v>580</v>
      </c>
      <c r="B74" t="s">
        <v>565</v>
      </c>
      <c r="C74" t="s">
        <v>566</v>
      </c>
    </row>
    <row r="75" spans="1:4" ht="12.75">
      <c r="A75" s="521" t="s">
        <v>488</v>
      </c>
      <c r="B75" s="504" t="s">
        <v>489</v>
      </c>
      <c r="C75" t="s">
        <v>465</v>
      </c>
      <c r="D75" s="608">
        <v>37060</v>
      </c>
    </row>
    <row r="76" spans="1:4" ht="12.75">
      <c r="A76" s="521" t="s">
        <v>490</v>
      </c>
      <c r="B76" s="504" t="s">
        <v>491</v>
      </c>
      <c r="C76" t="s">
        <v>492</v>
      </c>
      <c r="D76" s="608">
        <v>37060</v>
      </c>
    </row>
    <row r="77" spans="1:4" ht="12.75">
      <c r="A77" s="521" t="s">
        <v>493</v>
      </c>
      <c r="B77" s="504" t="s">
        <v>494</v>
      </c>
      <c r="C77" t="s">
        <v>465</v>
      </c>
      <c r="D77" s="608">
        <v>37060</v>
      </c>
    </row>
    <row r="78" spans="1:4" ht="12.75">
      <c r="A78" s="521" t="s">
        <v>454</v>
      </c>
      <c r="B78" s="504" t="s">
        <v>466</v>
      </c>
      <c r="C78" t="s">
        <v>465</v>
      </c>
      <c r="D78" s="608">
        <v>37060</v>
      </c>
    </row>
    <row r="79" spans="1:4" ht="12.75">
      <c r="A79" s="521" t="s">
        <v>456</v>
      </c>
      <c r="B79" s="504" t="s">
        <v>467</v>
      </c>
      <c r="C79" t="s">
        <v>465</v>
      </c>
      <c r="D79" s="608">
        <v>37060</v>
      </c>
    </row>
    <row r="80" spans="1:3" ht="12.75">
      <c r="A80" s="521" t="s">
        <v>468</v>
      </c>
      <c r="B80" t="s">
        <v>563</v>
      </c>
      <c r="C80" t="s">
        <v>566</v>
      </c>
    </row>
    <row r="81" spans="1:3" ht="12.75">
      <c r="A81" s="521" t="s">
        <v>457</v>
      </c>
      <c r="B81" t="s">
        <v>565</v>
      </c>
      <c r="C81" t="s">
        <v>566</v>
      </c>
    </row>
    <row r="82" spans="1:3" ht="12.75">
      <c r="A82" s="521" t="s">
        <v>639</v>
      </c>
      <c r="B82" t="s">
        <v>563</v>
      </c>
      <c r="C82" t="s">
        <v>566</v>
      </c>
    </row>
    <row r="83" spans="1:3" ht="12.75">
      <c r="A83" s="521" t="s">
        <v>640</v>
      </c>
      <c r="B83" t="s">
        <v>565</v>
      </c>
      <c r="C83" t="s">
        <v>566</v>
      </c>
    </row>
    <row r="84" spans="1:3" ht="12.75">
      <c r="A84" s="521" t="s">
        <v>581</v>
      </c>
      <c r="B84" t="s">
        <v>582</v>
      </c>
      <c r="C84" t="s">
        <v>549</v>
      </c>
    </row>
    <row r="85" spans="1:4" ht="12.75">
      <c r="A85" t="s">
        <v>442</v>
      </c>
      <c r="B85" t="s">
        <v>446</v>
      </c>
      <c r="C85" t="s">
        <v>464</v>
      </c>
      <c r="D85" s="608">
        <v>37060</v>
      </c>
    </row>
    <row r="86" spans="1:4" ht="12.75">
      <c r="A86" t="s">
        <v>443</v>
      </c>
      <c r="B86" t="s">
        <v>447</v>
      </c>
      <c r="C86" t="s">
        <v>464</v>
      </c>
      <c r="D86" s="608">
        <v>37060</v>
      </c>
    </row>
    <row r="87" spans="1:4" ht="12.75">
      <c r="A87" t="s">
        <v>444</v>
      </c>
      <c r="B87" t="s">
        <v>448</v>
      </c>
      <c r="C87" t="s">
        <v>464</v>
      </c>
      <c r="D87" s="608">
        <v>37060</v>
      </c>
    </row>
    <row r="88" spans="1:4" ht="12.75">
      <c r="A88" t="s">
        <v>445</v>
      </c>
      <c r="B88" t="s">
        <v>449</v>
      </c>
      <c r="C88" t="s">
        <v>464</v>
      </c>
      <c r="D88" s="608">
        <v>37060</v>
      </c>
    </row>
    <row r="89" spans="1:3" ht="12.75">
      <c r="A89" t="s">
        <v>583</v>
      </c>
      <c r="B89" s="287" t="s">
        <v>584</v>
      </c>
      <c r="C89" s="504" t="s">
        <v>547</v>
      </c>
    </row>
    <row r="90" spans="1:4" ht="12.75">
      <c r="A90" t="s">
        <v>503</v>
      </c>
      <c r="B90" s="504" t="s">
        <v>507</v>
      </c>
      <c r="C90" t="s">
        <v>464</v>
      </c>
      <c r="D90" s="608">
        <v>37060</v>
      </c>
    </row>
    <row r="91" spans="1:4" ht="12.75">
      <c r="A91" t="s">
        <v>504</v>
      </c>
      <c r="B91" t="s">
        <v>508</v>
      </c>
      <c r="C91" t="s">
        <v>464</v>
      </c>
      <c r="D91" s="608">
        <v>37060</v>
      </c>
    </row>
    <row r="92" spans="1:4" ht="12.75">
      <c r="A92" t="s">
        <v>505</v>
      </c>
      <c r="B92" t="s">
        <v>509</v>
      </c>
      <c r="C92" t="s">
        <v>464</v>
      </c>
      <c r="D92" s="608">
        <v>37060</v>
      </c>
    </row>
    <row r="93" spans="1:4" ht="12.75">
      <c r="A93" t="s">
        <v>506</v>
      </c>
      <c r="B93" t="s">
        <v>510</v>
      </c>
      <c r="C93" t="s">
        <v>464</v>
      </c>
      <c r="D93" s="608">
        <v>37060</v>
      </c>
    </row>
    <row r="94" spans="1:3" ht="12.75">
      <c r="A94" t="s">
        <v>527</v>
      </c>
      <c r="B94" t="s">
        <v>585</v>
      </c>
      <c r="C94" t="s">
        <v>549</v>
      </c>
    </row>
    <row r="95" spans="1:4" ht="12.75">
      <c r="A95" t="s">
        <v>587</v>
      </c>
      <c r="B95" t="s">
        <v>593</v>
      </c>
      <c r="C95" t="s">
        <v>596</v>
      </c>
      <c r="D95" s="608">
        <v>37060</v>
      </c>
    </row>
    <row r="96" spans="1:3" ht="12.75">
      <c r="A96" t="s">
        <v>528</v>
      </c>
      <c r="B96" t="s">
        <v>586</v>
      </c>
      <c r="C96" t="s">
        <v>549</v>
      </c>
    </row>
    <row r="97" spans="1:4" ht="12.75">
      <c r="A97" t="s">
        <v>588</v>
      </c>
      <c r="B97" t="s">
        <v>594</v>
      </c>
      <c r="C97" t="s">
        <v>596</v>
      </c>
      <c r="D97" s="608">
        <v>37060</v>
      </c>
    </row>
    <row r="98" spans="1:4" ht="12.75">
      <c r="A98" t="s">
        <v>589</v>
      </c>
      <c r="B98" t="s">
        <v>595</v>
      </c>
      <c r="C98" t="s">
        <v>596</v>
      </c>
      <c r="D98" s="608">
        <v>37060</v>
      </c>
    </row>
    <row r="99" spans="1:4" ht="12.75">
      <c r="A99" t="s">
        <v>405</v>
      </c>
      <c r="B99" t="s">
        <v>365</v>
      </c>
      <c r="C99" t="s">
        <v>538</v>
      </c>
      <c r="D99" s="608">
        <v>37060</v>
      </c>
    </row>
    <row r="100" spans="1:4" ht="12.75">
      <c r="A100" t="s">
        <v>406</v>
      </c>
      <c r="B100" t="s">
        <v>382</v>
      </c>
      <c r="C100" t="s">
        <v>538</v>
      </c>
      <c r="D100" s="608">
        <v>37060</v>
      </c>
    </row>
    <row r="101" spans="1:4" ht="12.75">
      <c r="A101" t="s">
        <v>407</v>
      </c>
      <c r="B101" t="s">
        <v>383</v>
      </c>
      <c r="C101" t="s">
        <v>538</v>
      </c>
      <c r="D101" s="608">
        <v>37060</v>
      </c>
    </row>
    <row r="102" spans="1:4" ht="12.75">
      <c r="A102" t="s">
        <v>408</v>
      </c>
      <c r="B102" t="s">
        <v>370</v>
      </c>
      <c r="C102" t="s">
        <v>538</v>
      </c>
      <c r="D102" s="608">
        <v>37060</v>
      </c>
    </row>
    <row r="103" spans="1:4" ht="12.75">
      <c r="A103" t="s">
        <v>409</v>
      </c>
      <c r="B103" t="s">
        <v>372</v>
      </c>
      <c r="C103" t="s">
        <v>538</v>
      </c>
      <c r="D103" s="608">
        <v>37060</v>
      </c>
    </row>
    <row r="104" spans="1:4" ht="12.75">
      <c r="A104" t="s">
        <v>410</v>
      </c>
      <c r="B104" t="s">
        <v>374</v>
      </c>
      <c r="C104" t="s">
        <v>538</v>
      </c>
      <c r="D104" s="608">
        <v>37060</v>
      </c>
    </row>
    <row r="105" spans="1:4" ht="12.75">
      <c r="A105" t="s">
        <v>411</v>
      </c>
      <c r="B105" t="s">
        <v>376</v>
      </c>
      <c r="C105" t="s">
        <v>538</v>
      </c>
      <c r="D105" s="608">
        <v>37060</v>
      </c>
    </row>
    <row r="106" spans="1:4" ht="12.75">
      <c r="A106" t="s">
        <v>412</v>
      </c>
      <c r="B106" t="s">
        <v>379</v>
      </c>
      <c r="C106" t="s">
        <v>538</v>
      </c>
      <c r="D106" s="608">
        <v>37060</v>
      </c>
    </row>
    <row r="107" spans="1:4" ht="12.75">
      <c r="A107" t="s">
        <v>413</v>
      </c>
      <c r="B107" t="s">
        <v>380</v>
      </c>
      <c r="C107" t="s">
        <v>538</v>
      </c>
      <c r="D107" s="608">
        <v>37060</v>
      </c>
    </row>
    <row r="108" spans="1:3" ht="12.75">
      <c r="A108" t="s">
        <v>478</v>
      </c>
      <c r="B108" t="s">
        <v>597</v>
      </c>
      <c r="C108" t="s">
        <v>598</v>
      </c>
    </row>
    <row r="109" spans="1:4" ht="12.75">
      <c r="A109" t="s">
        <v>599</v>
      </c>
      <c r="B109" t="s">
        <v>600</v>
      </c>
      <c r="C109" t="s">
        <v>492</v>
      </c>
      <c r="D109" s="608">
        <v>37060</v>
      </c>
    </row>
    <row r="110" spans="1:3" ht="12.75">
      <c r="A110" t="s">
        <v>601</v>
      </c>
      <c r="B110" t="s">
        <v>563</v>
      </c>
      <c r="C110" t="s">
        <v>566</v>
      </c>
    </row>
    <row r="111" spans="1:3" ht="12.75">
      <c r="A111" t="s">
        <v>602</v>
      </c>
      <c r="B111" t="s">
        <v>565</v>
      </c>
      <c r="C111" t="s">
        <v>566</v>
      </c>
    </row>
    <row r="112" spans="1:3" ht="12.75">
      <c r="A112" t="s">
        <v>603</v>
      </c>
      <c r="B112" t="s">
        <v>563</v>
      </c>
      <c r="C112" t="s">
        <v>566</v>
      </c>
    </row>
    <row r="113" spans="1:3" ht="12.75">
      <c r="A113" t="s">
        <v>604</v>
      </c>
      <c r="B113" t="s">
        <v>565</v>
      </c>
      <c r="C113" t="s">
        <v>566</v>
      </c>
    </row>
    <row r="114" spans="1:4" ht="12.75">
      <c r="A114" t="s">
        <v>790</v>
      </c>
      <c r="B114" t="s">
        <v>799</v>
      </c>
      <c r="C114" s="504" t="s">
        <v>783</v>
      </c>
      <c r="D114" s="608">
        <v>37060</v>
      </c>
    </row>
    <row r="115" spans="1:4" ht="12.75">
      <c r="A115" t="s">
        <v>791</v>
      </c>
      <c r="B115" t="s">
        <v>795</v>
      </c>
      <c r="C115" s="504" t="s">
        <v>783</v>
      </c>
      <c r="D115" s="608">
        <v>37060</v>
      </c>
    </row>
    <row r="116" spans="1:4" ht="12.75">
      <c r="A116" t="s">
        <v>792</v>
      </c>
      <c r="B116" t="s">
        <v>796</v>
      </c>
      <c r="C116" s="504" t="s">
        <v>783</v>
      </c>
      <c r="D116" s="608">
        <v>37060</v>
      </c>
    </row>
    <row r="117" spans="1:4" ht="12.75">
      <c r="A117" t="s">
        <v>605</v>
      </c>
      <c r="B117" t="s">
        <v>795</v>
      </c>
      <c r="C117" s="504" t="s">
        <v>783</v>
      </c>
      <c r="D117" s="608">
        <v>37060</v>
      </c>
    </row>
    <row r="118" spans="1:4" ht="12.75">
      <c r="A118" t="s">
        <v>425</v>
      </c>
      <c r="B118" t="s">
        <v>427</v>
      </c>
      <c r="C118" t="s">
        <v>540</v>
      </c>
      <c r="D118" s="608">
        <v>37060</v>
      </c>
    </row>
    <row r="119" spans="1:4" ht="12.75">
      <c r="A119" t="s">
        <v>424</v>
      </c>
      <c r="B119" t="s">
        <v>417</v>
      </c>
      <c r="C119" t="s">
        <v>540</v>
      </c>
      <c r="D119" s="608">
        <v>37060</v>
      </c>
    </row>
    <row r="120" spans="1:4" ht="12.75">
      <c r="A120" t="s">
        <v>426</v>
      </c>
      <c r="B120" t="s">
        <v>418</v>
      </c>
      <c r="C120" t="s">
        <v>540</v>
      </c>
      <c r="D120" s="608">
        <v>37060</v>
      </c>
    </row>
    <row r="121" spans="1:3" ht="12.75">
      <c r="A121" t="s">
        <v>606</v>
      </c>
      <c r="B121" t="s">
        <v>565</v>
      </c>
      <c r="C121" t="s">
        <v>566</v>
      </c>
    </row>
    <row r="122" spans="1:3" ht="12.75">
      <c r="A122" t="s">
        <v>607</v>
      </c>
      <c r="B122" t="s">
        <v>563</v>
      </c>
      <c r="C122" t="s">
        <v>566</v>
      </c>
    </row>
    <row r="123" spans="1:3" ht="12.75">
      <c r="A123" t="s">
        <v>608</v>
      </c>
      <c r="B123" t="s">
        <v>565</v>
      </c>
      <c r="C123" t="s">
        <v>566</v>
      </c>
    </row>
    <row r="124" spans="1:3" ht="12.75">
      <c r="A124" t="s">
        <v>609</v>
      </c>
      <c r="B124" t="s">
        <v>563</v>
      </c>
      <c r="C124" t="s">
        <v>566</v>
      </c>
    </row>
    <row r="125" spans="1:3" ht="12.75">
      <c r="A125" t="s">
        <v>610</v>
      </c>
      <c r="B125" t="s">
        <v>565</v>
      </c>
      <c r="C125" t="s">
        <v>566</v>
      </c>
    </row>
    <row r="126" spans="1:3" ht="12.75">
      <c r="A126" t="s">
        <v>611</v>
      </c>
      <c r="B126" t="s">
        <v>563</v>
      </c>
      <c r="C126" t="s">
        <v>566</v>
      </c>
    </row>
    <row r="127" spans="1:3" ht="12.75">
      <c r="A127" t="s">
        <v>612</v>
      </c>
      <c r="B127" t="s">
        <v>565</v>
      </c>
      <c r="C127" t="s">
        <v>566</v>
      </c>
    </row>
    <row r="128" spans="1:4" ht="12.75">
      <c r="A128" s="66">
        <v>93</v>
      </c>
      <c r="B128" t="s">
        <v>757</v>
      </c>
      <c r="C128" t="s">
        <v>758</v>
      </c>
      <c r="D128" s="608">
        <v>37060</v>
      </c>
    </row>
    <row r="129" spans="1:4" ht="12.75">
      <c r="A129" s="521" t="s">
        <v>810</v>
      </c>
      <c r="B129" t="s">
        <v>803</v>
      </c>
      <c r="C129" t="s">
        <v>804</v>
      </c>
      <c r="D129" s="608">
        <v>37259</v>
      </c>
    </row>
    <row r="130" spans="1:4" ht="12.75">
      <c r="A130" s="66">
        <v>94</v>
      </c>
      <c r="B130" t="s">
        <v>759</v>
      </c>
      <c r="C130" t="s">
        <v>758</v>
      </c>
      <c r="D130" s="608">
        <v>37060</v>
      </c>
    </row>
    <row r="131" spans="1:4" ht="12.75">
      <c r="A131" s="521" t="s">
        <v>816</v>
      </c>
      <c r="B131" t="s">
        <v>803</v>
      </c>
      <c r="C131" t="s">
        <v>814</v>
      </c>
      <c r="D131" s="608">
        <v>37259</v>
      </c>
    </row>
    <row r="132" spans="1:4" ht="12.75">
      <c r="A132" s="66" t="s">
        <v>766</v>
      </c>
      <c r="B132" t="s">
        <v>757</v>
      </c>
      <c r="C132" t="s">
        <v>758</v>
      </c>
      <c r="D132" s="608">
        <v>37060</v>
      </c>
    </row>
    <row r="133" spans="1:4" ht="12.75">
      <c r="A133" s="66" t="s">
        <v>763</v>
      </c>
      <c r="B133" t="s">
        <v>757</v>
      </c>
      <c r="C133" t="s">
        <v>758</v>
      </c>
      <c r="D133" s="608">
        <v>37060</v>
      </c>
    </row>
    <row r="134" spans="1:4" ht="12.75">
      <c r="A134" s="66" t="s">
        <v>764</v>
      </c>
      <c r="B134" t="s">
        <v>757</v>
      </c>
      <c r="C134" t="s">
        <v>758</v>
      </c>
      <c r="D134" s="608">
        <v>37060</v>
      </c>
    </row>
    <row r="135" spans="1:4" ht="12.75">
      <c r="A135" s="66">
        <v>102</v>
      </c>
      <c r="B135" t="s">
        <v>434</v>
      </c>
      <c r="C135" t="s">
        <v>539</v>
      </c>
      <c r="D135" s="608">
        <v>37060</v>
      </c>
    </row>
    <row r="136" spans="1:4" ht="12.75">
      <c r="A136" s="66">
        <v>103</v>
      </c>
      <c r="B136" t="s">
        <v>434</v>
      </c>
      <c r="C136" t="s">
        <v>539</v>
      </c>
      <c r="D136" s="608">
        <v>37060</v>
      </c>
    </row>
    <row r="137" spans="1:4" ht="12.75">
      <c r="A137" s="66">
        <v>104</v>
      </c>
      <c r="B137" t="s">
        <v>434</v>
      </c>
      <c r="C137" t="s">
        <v>539</v>
      </c>
      <c r="D137" s="608">
        <v>37060</v>
      </c>
    </row>
    <row r="138" spans="1:4" ht="12.75">
      <c r="A138" s="66">
        <v>105</v>
      </c>
      <c r="B138" t="s">
        <v>434</v>
      </c>
      <c r="C138" t="s">
        <v>539</v>
      </c>
      <c r="D138" s="608">
        <v>37060</v>
      </c>
    </row>
    <row r="139" spans="1:4" ht="12.75">
      <c r="A139" s="521">
        <v>105</v>
      </c>
      <c r="B139" t="s">
        <v>806</v>
      </c>
      <c r="C139" t="s">
        <v>807</v>
      </c>
      <c r="D139" s="608">
        <v>37259</v>
      </c>
    </row>
    <row r="140" spans="1:4" ht="12.75">
      <c r="A140" s="66">
        <v>106</v>
      </c>
      <c r="B140" t="s">
        <v>434</v>
      </c>
      <c r="C140" t="s">
        <v>539</v>
      </c>
      <c r="D140" s="608">
        <v>37060</v>
      </c>
    </row>
    <row r="141" spans="1:4" ht="12.75">
      <c r="A141" s="521">
        <v>106</v>
      </c>
      <c r="B141" t="s">
        <v>806</v>
      </c>
      <c r="C141" t="s">
        <v>807</v>
      </c>
      <c r="D141" s="608">
        <v>37259</v>
      </c>
    </row>
    <row r="142" spans="1:4" ht="12.75">
      <c r="A142" s="66">
        <v>107</v>
      </c>
      <c r="B142" t="s">
        <v>434</v>
      </c>
      <c r="C142" t="s">
        <v>539</v>
      </c>
      <c r="D142" s="608">
        <v>37060</v>
      </c>
    </row>
    <row r="143" spans="1:4" ht="12.75">
      <c r="A143" s="521">
        <v>107</v>
      </c>
      <c r="B143" t="s">
        <v>806</v>
      </c>
      <c r="C143" t="s">
        <v>807</v>
      </c>
      <c r="D143" s="608">
        <v>37259</v>
      </c>
    </row>
    <row r="144" spans="1:4" ht="12.75">
      <c r="A144" s="521" t="s">
        <v>808</v>
      </c>
      <c r="B144" t="s">
        <v>803</v>
      </c>
      <c r="C144" t="s">
        <v>804</v>
      </c>
      <c r="D144" s="608">
        <v>37259</v>
      </c>
    </row>
    <row r="145" spans="1:4" ht="12.75">
      <c r="A145" s="521" t="s">
        <v>827</v>
      </c>
      <c r="B145" t="s">
        <v>825</v>
      </c>
      <c r="C145" t="s">
        <v>828</v>
      </c>
      <c r="D145" s="608">
        <v>37259</v>
      </c>
    </row>
    <row r="146" spans="1:3" ht="13.5" thickBot="1">
      <c r="A146" s="482" t="s">
        <v>165</v>
      </c>
      <c r="B146" s="483"/>
      <c r="C146" s="483"/>
    </row>
    <row r="147" spans="1:3" ht="12.75">
      <c r="A147" s="504" t="s">
        <v>423</v>
      </c>
      <c r="B147" t="s">
        <v>563</v>
      </c>
      <c r="C147" t="s">
        <v>566</v>
      </c>
    </row>
    <row r="148" spans="1:3" ht="12.75">
      <c r="A148" s="504" t="s">
        <v>482</v>
      </c>
      <c r="B148" t="s">
        <v>565</v>
      </c>
      <c r="C148" t="s">
        <v>566</v>
      </c>
    </row>
    <row r="149" spans="1:3" ht="12.75">
      <c r="A149" s="504" t="s">
        <v>576</v>
      </c>
      <c r="B149" t="s">
        <v>563</v>
      </c>
      <c r="C149" t="s">
        <v>566</v>
      </c>
    </row>
    <row r="150" spans="1:3" ht="12.75">
      <c r="A150" s="504" t="s">
        <v>577</v>
      </c>
      <c r="B150" t="s">
        <v>565</v>
      </c>
      <c r="C150" t="s">
        <v>566</v>
      </c>
    </row>
    <row r="151" spans="1:3" ht="12.75">
      <c r="A151" s="504" t="s">
        <v>578</v>
      </c>
      <c r="B151" t="s">
        <v>563</v>
      </c>
      <c r="C151" t="s">
        <v>566</v>
      </c>
    </row>
    <row r="152" spans="1:3" ht="12.75">
      <c r="A152" s="504" t="s">
        <v>579</v>
      </c>
      <c r="B152" t="s">
        <v>565</v>
      </c>
      <c r="C152" t="s">
        <v>566</v>
      </c>
    </row>
    <row r="153" spans="1:3" ht="12.75">
      <c r="A153" s="504" t="s">
        <v>422</v>
      </c>
      <c r="B153" t="s">
        <v>563</v>
      </c>
      <c r="C153" t="s">
        <v>566</v>
      </c>
    </row>
    <row r="154" spans="1:3" ht="12.75">
      <c r="A154" s="504" t="s">
        <v>580</v>
      </c>
      <c r="B154" t="s">
        <v>565</v>
      </c>
      <c r="C154" t="s">
        <v>566</v>
      </c>
    </row>
    <row r="155" spans="1:4" ht="12.75">
      <c r="A155" s="521" t="s">
        <v>488</v>
      </c>
      <c r="B155" s="504" t="s">
        <v>489</v>
      </c>
      <c r="C155" t="s">
        <v>465</v>
      </c>
      <c r="D155" s="608">
        <v>37060</v>
      </c>
    </row>
    <row r="156" spans="1:4" ht="12.75">
      <c r="A156" s="521" t="s">
        <v>490</v>
      </c>
      <c r="B156" s="504" t="s">
        <v>491</v>
      </c>
      <c r="C156" t="s">
        <v>492</v>
      </c>
      <c r="D156" s="608">
        <v>37060</v>
      </c>
    </row>
    <row r="157" spans="1:4" ht="12.75">
      <c r="A157" s="521" t="s">
        <v>493</v>
      </c>
      <c r="B157" s="504" t="s">
        <v>494</v>
      </c>
      <c r="C157" t="s">
        <v>465</v>
      </c>
      <c r="D157" s="608">
        <v>37060</v>
      </c>
    </row>
    <row r="158" spans="1:4" ht="12.75">
      <c r="A158" s="521" t="s">
        <v>454</v>
      </c>
      <c r="B158" s="504" t="s">
        <v>466</v>
      </c>
      <c r="C158" t="s">
        <v>465</v>
      </c>
      <c r="D158" s="608">
        <v>37060</v>
      </c>
    </row>
    <row r="159" spans="1:4" ht="12.75">
      <c r="A159" s="521" t="s">
        <v>456</v>
      </c>
      <c r="B159" s="504" t="s">
        <v>467</v>
      </c>
      <c r="C159" t="s">
        <v>465</v>
      </c>
      <c r="D159" s="608">
        <v>37060</v>
      </c>
    </row>
    <row r="160" spans="1:3" ht="12.75">
      <c r="A160" s="521" t="s">
        <v>641</v>
      </c>
      <c r="B160" s="504" t="s">
        <v>642</v>
      </c>
      <c r="C160" t="s">
        <v>566</v>
      </c>
    </row>
    <row r="161" spans="1:3" ht="12.75">
      <c r="A161" s="521" t="s">
        <v>639</v>
      </c>
      <c r="B161" t="s">
        <v>563</v>
      </c>
      <c r="C161" t="s">
        <v>566</v>
      </c>
    </row>
    <row r="162" spans="1:3" ht="12.75">
      <c r="A162" s="521" t="s">
        <v>640</v>
      </c>
      <c r="B162" t="s">
        <v>565</v>
      </c>
      <c r="C162" t="s">
        <v>566</v>
      </c>
    </row>
    <row r="163" spans="1:3" ht="12.75">
      <c r="A163" s="521" t="s">
        <v>581</v>
      </c>
      <c r="B163" s="504" t="s">
        <v>617</v>
      </c>
      <c r="C163" t="s">
        <v>549</v>
      </c>
    </row>
    <row r="164" spans="1:4" ht="12.75">
      <c r="A164" t="s">
        <v>442</v>
      </c>
      <c r="B164" t="s">
        <v>446</v>
      </c>
      <c r="C164" t="s">
        <v>464</v>
      </c>
      <c r="D164" s="608">
        <v>37060</v>
      </c>
    </row>
    <row r="165" spans="1:4" ht="12.75">
      <c r="A165" t="s">
        <v>443</v>
      </c>
      <c r="B165" t="s">
        <v>447</v>
      </c>
      <c r="C165" t="s">
        <v>464</v>
      </c>
      <c r="D165" s="608">
        <v>37060</v>
      </c>
    </row>
    <row r="166" spans="1:4" ht="12.75">
      <c r="A166" t="s">
        <v>444</v>
      </c>
      <c r="B166" t="s">
        <v>448</v>
      </c>
      <c r="C166" t="s">
        <v>464</v>
      </c>
      <c r="D166" s="608">
        <v>37060</v>
      </c>
    </row>
    <row r="167" spans="1:4" ht="12.75">
      <c r="A167" t="s">
        <v>445</v>
      </c>
      <c r="B167" t="s">
        <v>449</v>
      </c>
      <c r="C167" t="s">
        <v>464</v>
      </c>
      <c r="D167" s="608">
        <v>37060</v>
      </c>
    </row>
    <row r="168" spans="1:3" ht="12.75">
      <c r="A168" t="s">
        <v>583</v>
      </c>
      <c r="B168" t="s">
        <v>618</v>
      </c>
      <c r="C168" t="s">
        <v>492</v>
      </c>
    </row>
    <row r="169" spans="1:3" ht="12.75">
      <c r="A169" t="s">
        <v>619</v>
      </c>
      <c r="B169" t="s">
        <v>624</v>
      </c>
      <c r="C169" t="s">
        <v>629</v>
      </c>
    </row>
    <row r="170" spans="1:3" ht="12.75">
      <c r="A170" t="s">
        <v>620</v>
      </c>
      <c r="B170" t="s">
        <v>625</v>
      </c>
      <c r="C170" t="s">
        <v>629</v>
      </c>
    </row>
    <row r="171" spans="1:3" ht="12.75">
      <c r="A171" t="s">
        <v>621</v>
      </c>
      <c r="B171" t="s">
        <v>626</v>
      </c>
      <c r="C171" t="s">
        <v>629</v>
      </c>
    </row>
    <row r="172" spans="1:3" ht="12.75">
      <c r="A172" t="s">
        <v>622</v>
      </c>
      <c r="B172" t="s">
        <v>627</v>
      </c>
      <c r="C172" t="s">
        <v>629</v>
      </c>
    </row>
    <row r="173" spans="1:3" ht="12.75">
      <c r="A173" t="s">
        <v>623</v>
      </c>
      <c r="B173" t="s">
        <v>628</v>
      </c>
      <c r="C173" t="s">
        <v>629</v>
      </c>
    </row>
    <row r="174" spans="1:4" ht="12.75">
      <c r="A174" t="s">
        <v>503</v>
      </c>
      <c r="B174" t="s">
        <v>630</v>
      </c>
      <c r="C174" t="s">
        <v>464</v>
      </c>
      <c r="D174" s="608">
        <v>37060</v>
      </c>
    </row>
    <row r="175" spans="1:4" ht="12.75">
      <c r="A175" t="s">
        <v>504</v>
      </c>
      <c r="B175" t="s">
        <v>631</v>
      </c>
      <c r="C175" t="s">
        <v>464</v>
      </c>
      <c r="D175" s="608">
        <v>37060</v>
      </c>
    </row>
    <row r="176" spans="1:4" ht="12.75">
      <c r="A176" t="s">
        <v>505</v>
      </c>
      <c r="B176" t="s">
        <v>632</v>
      </c>
      <c r="C176" t="s">
        <v>464</v>
      </c>
      <c r="D176" s="608">
        <v>37060</v>
      </c>
    </row>
    <row r="177" spans="1:4" ht="12.75">
      <c r="A177" t="s">
        <v>506</v>
      </c>
      <c r="B177" t="s">
        <v>633</v>
      </c>
      <c r="C177" t="s">
        <v>464</v>
      </c>
      <c r="D177" s="608">
        <v>37060</v>
      </c>
    </row>
    <row r="178" spans="1:3" ht="12.75">
      <c r="A178" t="s">
        <v>527</v>
      </c>
      <c r="B178" t="s">
        <v>634</v>
      </c>
      <c r="C178" t="s">
        <v>549</v>
      </c>
    </row>
    <row r="179" spans="1:3" ht="12.75">
      <c r="A179" t="s">
        <v>587</v>
      </c>
      <c r="B179" t="s">
        <v>593</v>
      </c>
      <c r="C179" t="s">
        <v>636</v>
      </c>
    </row>
    <row r="180" spans="1:3" ht="12.75">
      <c r="A180" t="s">
        <v>528</v>
      </c>
      <c r="B180" t="s">
        <v>635</v>
      </c>
      <c r="C180" t="s">
        <v>549</v>
      </c>
    </row>
    <row r="181" spans="1:3" ht="12.75">
      <c r="A181" t="s">
        <v>588</v>
      </c>
      <c r="B181" t="s">
        <v>594</v>
      </c>
      <c r="C181" t="s">
        <v>636</v>
      </c>
    </row>
    <row r="182" spans="1:3" ht="12.75">
      <c r="A182" t="s">
        <v>589</v>
      </c>
      <c r="B182" t="s">
        <v>595</v>
      </c>
      <c r="C182" t="s">
        <v>636</v>
      </c>
    </row>
    <row r="183" spans="1:4" ht="12.75">
      <c r="A183" t="s">
        <v>405</v>
      </c>
      <c r="B183" t="s">
        <v>365</v>
      </c>
      <c r="C183" t="s">
        <v>538</v>
      </c>
      <c r="D183" s="608">
        <v>37060</v>
      </c>
    </row>
    <row r="184" spans="1:4" ht="12.75">
      <c r="A184" t="s">
        <v>406</v>
      </c>
      <c r="B184" t="s">
        <v>382</v>
      </c>
      <c r="C184" t="s">
        <v>538</v>
      </c>
      <c r="D184" s="608">
        <v>37060</v>
      </c>
    </row>
    <row r="185" spans="1:4" ht="12.75">
      <c r="A185" t="s">
        <v>407</v>
      </c>
      <c r="B185" t="s">
        <v>383</v>
      </c>
      <c r="C185" t="s">
        <v>538</v>
      </c>
      <c r="D185" s="608">
        <v>37060</v>
      </c>
    </row>
    <row r="186" spans="1:4" ht="12.75">
      <c r="A186" t="s">
        <v>408</v>
      </c>
      <c r="B186" t="s">
        <v>370</v>
      </c>
      <c r="C186" t="s">
        <v>538</v>
      </c>
      <c r="D186" s="608">
        <v>37060</v>
      </c>
    </row>
    <row r="187" spans="1:4" ht="12.75">
      <c r="A187" t="s">
        <v>409</v>
      </c>
      <c r="B187" t="s">
        <v>372</v>
      </c>
      <c r="C187" t="s">
        <v>538</v>
      </c>
      <c r="D187" s="608">
        <v>37060</v>
      </c>
    </row>
    <row r="188" spans="1:4" ht="12.75">
      <c r="A188" t="s">
        <v>410</v>
      </c>
      <c r="B188" t="s">
        <v>374</v>
      </c>
      <c r="C188" t="s">
        <v>538</v>
      </c>
      <c r="D188" s="608">
        <v>37060</v>
      </c>
    </row>
    <row r="189" spans="1:4" ht="12.75">
      <c r="A189" t="s">
        <v>411</v>
      </c>
      <c r="B189" t="s">
        <v>376</v>
      </c>
      <c r="C189" t="s">
        <v>538</v>
      </c>
      <c r="D189" s="608">
        <v>37060</v>
      </c>
    </row>
    <row r="190" spans="1:4" ht="12.75">
      <c r="A190" t="s">
        <v>412</v>
      </c>
      <c r="B190" t="s">
        <v>379</v>
      </c>
      <c r="C190" t="s">
        <v>538</v>
      </c>
      <c r="D190" s="608">
        <v>37060</v>
      </c>
    </row>
    <row r="191" spans="1:4" ht="12.75">
      <c r="A191" t="s">
        <v>413</v>
      </c>
      <c r="B191" t="s">
        <v>380</v>
      </c>
      <c r="C191" t="s">
        <v>538</v>
      </c>
      <c r="D191" s="608">
        <v>37060</v>
      </c>
    </row>
    <row r="192" spans="1:4" ht="12.75">
      <c r="A192" t="s">
        <v>463</v>
      </c>
      <c r="B192" t="s">
        <v>536</v>
      </c>
      <c r="C192" t="s">
        <v>465</v>
      </c>
      <c r="D192" s="608">
        <v>37060</v>
      </c>
    </row>
    <row r="193" spans="1:4" ht="12.75">
      <c r="A193" t="s">
        <v>479</v>
      </c>
      <c r="B193" t="s">
        <v>473</v>
      </c>
      <c r="C193" t="s">
        <v>464</v>
      </c>
      <c r="D193" s="608">
        <v>37060</v>
      </c>
    </row>
    <row r="194" spans="1:4" ht="12.75">
      <c r="A194" t="s">
        <v>478</v>
      </c>
      <c r="B194" t="s">
        <v>486</v>
      </c>
      <c r="C194" t="s">
        <v>465</v>
      </c>
      <c r="D194" s="608">
        <v>37060</v>
      </c>
    </row>
    <row r="195" spans="1:4" ht="12.75">
      <c r="A195" t="s">
        <v>480</v>
      </c>
      <c r="B195" t="s">
        <v>476</v>
      </c>
      <c r="C195" t="s">
        <v>464</v>
      </c>
      <c r="D195" s="608">
        <v>37060</v>
      </c>
    </row>
    <row r="196" spans="1:4" ht="12.75">
      <c r="A196" t="s">
        <v>481</v>
      </c>
      <c r="B196" t="s">
        <v>477</v>
      </c>
      <c r="C196" t="s">
        <v>464</v>
      </c>
      <c r="D196" s="608">
        <v>37060</v>
      </c>
    </row>
    <row r="197" spans="1:4" ht="12.75">
      <c r="A197" t="s">
        <v>599</v>
      </c>
      <c r="B197" t="s">
        <v>600</v>
      </c>
      <c r="C197" t="s">
        <v>492</v>
      </c>
      <c r="D197" s="608">
        <v>37060</v>
      </c>
    </row>
    <row r="198" spans="1:3" ht="12.75">
      <c r="A198" t="s">
        <v>601</v>
      </c>
      <c r="B198" t="s">
        <v>563</v>
      </c>
      <c r="C198" t="s">
        <v>566</v>
      </c>
    </row>
    <row r="199" spans="1:3" ht="12.75">
      <c r="A199" t="s">
        <v>602</v>
      </c>
      <c r="B199" t="s">
        <v>565</v>
      </c>
      <c r="C199" t="s">
        <v>566</v>
      </c>
    </row>
    <row r="200" spans="1:3" ht="12.75">
      <c r="A200" t="s">
        <v>603</v>
      </c>
      <c r="B200" t="s">
        <v>563</v>
      </c>
      <c r="C200" t="s">
        <v>566</v>
      </c>
    </row>
    <row r="201" spans="1:3" ht="12.75">
      <c r="A201" t="s">
        <v>604</v>
      </c>
      <c r="B201" t="s">
        <v>565</v>
      </c>
      <c r="C201" t="s">
        <v>566</v>
      </c>
    </row>
    <row r="202" spans="1:3" ht="12.75">
      <c r="A202" t="s">
        <v>637</v>
      </c>
      <c r="B202" t="s">
        <v>563</v>
      </c>
      <c r="C202" t="s">
        <v>566</v>
      </c>
    </row>
    <row r="203" spans="1:3" ht="12.75">
      <c r="A203" t="s">
        <v>638</v>
      </c>
      <c r="B203" t="s">
        <v>565</v>
      </c>
      <c r="C203" t="s">
        <v>566</v>
      </c>
    </row>
    <row r="204" spans="1:3" ht="12.75">
      <c r="A204" t="s">
        <v>426</v>
      </c>
      <c r="B204" t="s">
        <v>563</v>
      </c>
      <c r="C204" t="s">
        <v>566</v>
      </c>
    </row>
    <row r="205" spans="1:3" ht="12.75">
      <c r="A205" t="s">
        <v>606</v>
      </c>
      <c r="B205" t="s">
        <v>565</v>
      </c>
      <c r="C205" t="s">
        <v>566</v>
      </c>
    </row>
    <row r="206" spans="1:3" ht="12.75">
      <c r="A206" t="s">
        <v>607</v>
      </c>
      <c r="B206" t="s">
        <v>563</v>
      </c>
      <c r="C206" t="s">
        <v>566</v>
      </c>
    </row>
    <row r="207" spans="1:3" ht="12.75">
      <c r="A207" t="s">
        <v>608</v>
      </c>
      <c r="B207" t="s">
        <v>565</v>
      </c>
      <c r="C207" t="s">
        <v>566</v>
      </c>
    </row>
    <row r="208" spans="1:3" ht="12.75">
      <c r="A208" t="s">
        <v>609</v>
      </c>
      <c r="B208" t="s">
        <v>563</v>
      </c>
      <c r="C208" t="s">
        <v>566</v>
      </c>
    </row>
    <row r="209" spans="1:3" ht="12.75">
      <c r="A209" t="s">
        <v>610</v>
      </c>
      <c r="B209" t="s">
        <v>565</v>
      </c>
      <c r="C209" t="s">
        <v>566</v>
      </c>
    </row>
    <row r="210" spans="1:3" ht="12.75">
      <c r="A210" t="s">
        <v>611</v>
      </c>
      <c r="B210" t="s">
        <v>563</v>
      </c>
      <c r="C210" t="s">
        <v>566</v>
      </c>
    </row>
    <row r="211" spans="1:3" ht="12.75">
      <c r="A211" t="s">
        <v>612</v>
      </c>
      <c r="B211" t="s">
        <v>565</v>
      </c>
      <c r="C211" t="s">
        <v>566</v>
      </c>
    </row>
    <row r="212" spans="1:4" ht="12.75">
      <c r="A212" s="66">
        <v>92</v>
      </c>
      <c r="B212" t="s">
        <v>757</v>
      </c>
      <c r="C212" t="s">
        <v>758</v>
      </c>
      <c r="D212" s="608">
        <v>37060</v>
      </c>
    </row>
    <row r="213" spans="1:4" ht="12.75">
      <c r="A213" s="521" t="s">
        <v>811</v>
      </c>
      <c r="B213" t="s">
        <v>803</v>
      </c>
      <c r="C213" t="s">
        <v>804</v>
      </c>
      <c r="D213" s="608">
        <v>37259</v>
      </c>
    </row>
    <row r="214" spans="1:4" ht="12.75">
      <c r="A214" s="66">
        <v>93</v>
      </c>
      <c r="B214" t="s">
        <v>759</v>
      </c>
      <c r="C214" t="s">
        <v>758</v>
      </c>
      <c r="D214" s="608">
        <v>37060</v>
      </c>
    </row>
    <row r="215" spans="1:4" ht="12.75">
      <c r="A215" s="521" t="s">
        <v>810</v>
      </c>
      <c r="B215" t="s">
        <v>803</v>
      </c>
      <c r="C215" t="s">
        <v>814</v>
      </c>
      <c r="D215" s="608">
        <v>37259</v>
      </c>
    </row>
    <row r="216" spans="1:4" ht="12.75">
      <c r="A216" t="s">
        <v>762</v>
      </c>
      <c r="B216" t="s">
        <v>757</v>
      </c>
      <c r="C216" t="s">
        <v>758</v>
      </c>
      <c r="D216" s="608">
        <v>37060</v>
      </c>
    </row>
    <row r="217" spans="1:4" ht="12.75">
      <c r="A217" t="s">
        <v>766</v>
      </c>
      <c r="B217" t="s">
        <v>757</v>
      </c>
      <c r="C217" t="s">
        <v>758</v>
      </c>
      <c r="D217" s="608">
        <v>37060</v>
      </c>
    </row>
    <row r="218" spans="1:4" ht="12.75">
      <c r="A218" t="s">
        <v>763</v>
      </c>
      <c r="B218" t="s">
        <v>757</v>
      </c>
      <c r="C218" t="s">
        <v>758</v>
      </c>
      <c r="D218" s="608">
        <v>37060</v>
      </c>
    </row>
    <row r="219" spans="1:4" ht="12.75">
      <c r="A219" s="66">
        <v>101</v>
      </c>
      <c r="B219" t="s">
        <v>434</v>
      </c>
      <c r="C219" t="s">
        <v>539</v>
      </c>
      <c r="D219" s="608">
        <v>37060</v>
      </c>
    </row>
    <row r="220" spans="1:4" ht="12.75">
      <c r="A220" s="66">
        <v>102</v>
      </c>
      <c r="B220" t="s">
        <v>434</v>
      </c>
      <c r="C220" t="s">
        <v>539</v>
      </c>
      <c r="D220" s="608">
        <v>37060</v>
      </c>
    </row>
    <row r="221" spans="1:4" ht="12.75">
      <c r="A221" s="66">
        <v>103</v>
      </c>
      <c r="B221" t="s">
        <v>434</v>
      </c>
      <c r="C221" t="s">
        <v>539</v>
      </c>
      <c r="D221" s="608">
        <v>37060</v>
      </c>
    </row>
    <row r="222" spans="1:4" ht="12.75">
      <c r="A222" s="66">
        <v>104</v>
      </c>
      <c r="B222" t="s">
        <v>434</v>
      </c>
      <c r="C222" t="s">
        <v>539</v>
      </c>
      <c r="D222" s="608">
        <v>37060</v>
      </c>
    </row>
    <row r="223" spans="1:4" ht="12.75">
      <c r="A223" s="521">
        <v>104</v>
      </c>
      <c r="B223" t="s">
        <v>806</v>
      </c>
      <c r="C223" t="s">
        <v>807</v>
      </c>
      <c r="D223" s="608">
        <v>37259</v>
      </c>
    </row>
    <row r="224" spans="1:4" ht="12.75">
      <c r="A224" s="66">
        <v>105</v>
      </c>
      <c r="B224" t="s">
        <v>434</v>
      </c>
      <c r="C224" t="s">
        <v>539</v>
      </c>
      <c r="D224" s="608">
        <v>37060</v>
      </c>
    </row>
    <row r="225" spans="1:4" ht="12.75">
      <c r="A225" s="521">
        <v>105</v>
      </c>
      <c r="B225" t="s">
        <v>806</v>
      </c>
      <c r="C225" t="s">
        <v>807</v>
      </c>
      <c r="D225" s="608">
        <v>37259</v>
      </c>
    </row>
    <row r="226" spans="1:4" ht="12.75">
      <c r="A226" s="66">
        <v>106</v>
      </c>
      <c r="B226" t="s">
        <v>434</v>
      </c>
      <c r="C226" t="s">
        <v>539</v>
      </c>
      <c r="D226" s="608">
        <v>37060</v>
      </c>
    </row>
    <row r="227" spans="1:4" ht="12.75">
      <c r="A227" s="521">
        <v>106</v>
      </c>
      <c r="B227" t="s">
        <v>806</v>
      </c>
      <c r="C227" t="s">
        <v>807</v>
      </c>
      <c r="D227" s="608">
        <v>37259</v>
      </c>
    </row>
    <row r="228" spans="1:4" ht="12.75">
      <c r="A228" s="521" t="s">
        <v>812</v>
      </c>
      <c r="B228" t="s">
        <v>803</v>
      </c>
      <c r="C228" t="s">
        <v>804</v>
      </c>
      <c r="D228" s="608">
        <v>37259</v>
      </c>
    </row>
    <row r="229" spans="1:4" ht="12.75">
      <c r="A229" s="521" t="s">
        <v>829</v>
      </c>
      <c r="B229" t="s">
        <v>825</v>
      </c>
      <c r="C229" t="s">
        <v>830</v>
      </c>
      <c r="D229" s="608">
        <v>37259</v>
      </c>
    </row>
    <row r="230" spans="1:3" ht="13.5" thickBot="1">
      <c r="A230" s="482" t="s">
        <v>170</v>
      </c>
      <c r="B230" s="482"/>
      <c r="C230" s="483"/>
    </row>
    <row r="231" spans="1:3" ht="12.75">
      <c r="A231" s="504" t="s">
        <v>423</v>
      </c>
      <c r="B231" t="s">
        <v>563</v>
      </c>
      <c r="C231" t="s">
        <v>566</v>
      </c>
    </row>
    <row r="232" spans="1:3" ht="12.75">
      <c r="A232" s="504" t="s">
        <v>482</v>
      </c>
      <c r="B232" t="s">
        <v>565</v>
      </c>
      <c r="C232" t="s">
        <v>566</v>
      </c>
    </row>
    <row r="233" spans="1:3" ht="12.75">
      <c r="A233" t="s">
        <v>576</v>
      </c>
      <c r="B233" t="s">
        <v>563</v>
      </c>
      <c r="C233" t="s">
        <v>566</v>
      </c>
    </row>
    <row r="234" spans="1:3" ht="12.75">
      <c r="A234" t="s">
        <v>577</v>
      </c>
      <c r="B234" t="s">
        <v>565</v>
      </c>
      <c r="C234" t="s">
        <v>566</v>
      </c>
    </row>
    <row r="235" spans="1:3" ht="12.75">
      <c r="A235" t="s">
        <v>578</v>
      </c>
      <c r="B235" t="s">
        <v>563</v>
      </c>
      <c r="C235" t="s">
        <v>566</v>
      </c>
    </row>
    <row r="236" spans="1:3" ht="12.75">
      <c r="A236" t="s">
        <v>579</v>
      </c>
      <c r="B236" t="s">
        <v>565</v>
      </c>
      <c r="C236" t="s">
        <v>566</v>
      </c>
    </row>
    <row r="237" spans="1:3" ht="12.75">
      <c r="A237" t="s">
        <v>422</v>
      </c>
      <c r="B237" t="s">
        <v>563</v>
      </c>
      <c r="C237" t="s">
        <v>566</v>
      </c>
    </row>
    <row r="238" spans="1:3" ht="12.75">
      <c r="A238" t="s">
        <v>580</v>
      </c>
      <c r="B238" t="s">
        <v>565</v>
      </c>
      <c r="C238" t="s">
        <v>566</v>
      </c>
    </row>
    <row r="239" spans="1:4" ht="12.75">
      <c r="A239" s="521" t="s">
        <v>488</v>
      </c>
      <c r="B239" s="504" t="s">
        <v>489</v>
      </c>
      <c r="C239" t="s">
        <v>465</v>
      </c>
      <c r="D239" s="608">
        <v>37060</v>
      </c>
    </row>
    <row r="240" spans="1:4" ht="12.75">
      <c r="A240" s="521" t="s">
        <v>490</v>
      </c>
      <c r="B240" s="504" t="s">
        <v>491</v>
      </c>
      <c r="C240" t="s">
        <v>492</v>
      </c>
      <c r="D240" s="608">
        <v>37060</v>
      </c>
    </row>
    <row r="241" spans="1:4" ht="12.75">
      <c r="A241" s="521" t="s">
        <v>493</v>
      </c>
      <c r="B241" s="504" t="s">
        <v>494</v>
      </c>
      <c r="C241" t="s">
        <v>465</v>
      </c>
      <c r="D241" s="608">
        <v>37060</v>
      </c>
    </row>
    <row r="242" spans="1:4" ht="12.75">
      <c r="A242" s="521" t="s">
        <v>454</v>
      </c>
      <c r="B242" s="504" t="s">
        <v>466</v>
      </c>
      <c r="C242" t="s">
        <v>465</v>
      </c>
      <c r="D242" s="608">
        <v>37060</v>
      </c>
    </row>
    <row r="243" spans="1:4" ht="12.75">
      <c r="A243" s="521" t="s">
        <v>456</v>
      </c>
      <c r="B243" s="504" t="s">
        <v>467</v>
      </c>
      <c r="C243" t="s">
        <v>465</v>
      </c>
      <c r="D243" s="608">
        <v>37060</v>
      </c>
    </row>
    <row r="244" spans="1:3" ht="12.75">
      <c r="A244" s="521" t="s">
        <v>639</v>
      </c>
      <c r="B244" t="s">
        <v>563</v>
      </c>
      <c r="C244" t="s">
        <v>566</v>
      </c>
    </row>
    <row r="245" spans="1:3" ht="12.75">
      <c r="A245" s="521" t="s">
        <v>640</v>
      </c>
      <c r="B245" t="s">
        <v>565</v>
      </c>
      <c r="C245" t="s">
        <v>566</v>
      </c>
    </row>
    <row r="246" spans="1:3" ht="12.75">
      <c r="A246" s="521" t="s">
        <v>581</v>
      </c>
      <c r="B246" t="s">
        <v>582</v>
      </c>
      <c r="C246" t="s">
        <v>549</v>
      </c>
    </row>
    <row r="247" spans="1:4" ht="12.75">
      <c r="A247" t="s">
        <v>442</v>
      </c>
      <c r="B247" t="s">
        <v>446</v>
      </c>
      <c r="C247" t="s">
        <v>464</v>
      </c>
      <c r="D247" s="608">
        <v>37060</v>
      </c>
    </row>
    <row r="248" spans="1:4" ht="12.75">
      <c r="A248" t="s">
        <v>443</v>
      </c>
      <c r="B248" t="s">
        <v>447</v>
      </c>
      <c r="C248" t="s">
        <v>464</v>
      </c>
      <c r="D248" s="608">
        <v>37060</v>
      </c>
    </row>
    <row r="249" spans="1:4" ht="12.75">
      <c r="A249" t="s">
        <v>444</v>
      </c>
      <c r="B249" t="s">
        <v>448</v>
      </c>
      <c r="C249" t="s">
        <v>464</v>
      </c>
      <c r="D249" s="608">
        <v>37060</v>
      </c>
    </row>
    <row r="250" spans="1:4" ht="12.75">
      <c r="A250" t="s">
        <v>445</v>
      </c>
      <c r="B250" t="s">
        <v>449</v>
      </c>
      <c r="C250" t="s">
        <v>464</v>
      </c>
      <c r="D250" s="608">
        <v>37060</v>
      </c>
    </row>
    <row r="251" spans="1:3" ht="12.75">
      <c r="A251" t="s">
        <v>643</v>
      </c>
      <c r="B251" t="s">
        <v>644</v>
      </c>
      <c r="C251" t="s">
        <v>645</v>
      </c>
    </row>
    <row r="252" spans="1:3" ht="12.75">
      <c r="A252" t="s">
        <v>583</v>
      </c>
      <c r="B252" t="s">
        <v>646</v>
      </c>
      <c r="C252" t="s">
        <v>645</v>
      </c>
    </row>
    <row r="253" spans="1:3" ht="12.75">
      <c r="A253" t="s">
        <v>619</v>
      </c>
      <c r="B253" t="s">
        <v>647</v>
      </c>
      <c r="C253" t="s">
        <v>645</v>
      </c>
    </row>
    <row r="254" spans="1:3" ht="12.75">
      <c r="A254" t="s">
        <v>620</v>
      </c>
      <c r="B254" t="s">
        <v>648</v>
      </c>
      <c r="C254" t="s">
        <v>645</v>
      </c>
    </row>
    <row r="255" spans="1:3" ht="12.75">
      <c r="A255" t="s">
        <v>621</v>
      </c>
      <c r="B255" t="s">
        <v>649</v>
      </c>
      <c r="C255" t="s">
        <v>645</v>
      </c>
    </row>
    <row r="256" spans="1:3" ht="12.75">
      <c r="A256" t="s">
        <v>622</v>
      </c>
      <c r="B256" t="s">
        <v>650</v>
      </c>
      <c r="C256" t="s">
        <v>645</v>
      </c>
    </row>
    <row r="257" spans="1:3" ht="12.75">
      <c r="A257" t="s">
        <v>623</v>
      </c>
      <c r="B257" t="s">
        <v>651</v>
      </c>
      <c r="C257" t="s">
        <v>645</v>
      </c>
    </row>
    <row r="258" spans="1:4" ht="12.75">
      <c r="A258" t="s">
        <v>503</v>
      </c>
      <c r="B258" s="504" t="s">
        <v>511</v>
      </c>
      <c r="C258" t="s">
        <v>464</v>
      </c>
      <c r="D258" s="608">
        <v>37060</v>
      </c>
    </row>
    <row r="259" spans="1:4" ht="12.75">
      <c r="A259" t="s">
        <v>504</v>
      </c>
      <c r="B259" t="s">
        <v>512</v>
      </c>
      <c r="C259" t="s">
        <v>464</v>
      </c>
      <c r="D259" s="608">
        <v>37060</v>
      </c>
    </row>
    <row r="260" spans="1:4" ht="12.75">
      <c r="A260" t="s">
        <v>505</v>
      </c>
      <c r="B260" t="s">
        <v>513</v>
      </c>
      <c r="C260" t="s">
        <v>464</v>
      </c>
      <c r="D260" s="608">
        <v>37060</v>
      </c>
    </row>
    <row r="261" spans="1:4" ht="12.75">
      <c r="A261" t="s">
        <v>506</v>
      </c>
      <c r="B261" t="s">
        <v>514</v>
      </c>
      <c r="C261" t="s">
        <v>464</v>
      </c>
      <c r="D261" s="608">
        <v>37060</v>
      </c>
    </row>
    <row r="262" spans="1:3" ht="12.75">
      <c r="A262" t="s">
        <v>527</v>
      </c>
      <c r="B262" t="s">
        <v>652</v>
      </c>
      <c r="C262" t="s">
        <v>549</v>
      </c>
    </row>
    <row r="263" spans="1:4" ht="12.75">
      <c r="A263" t="s">
        <v>587</v>
      </c>
      <c r="B263" t="s">
        <v>613</v>
      </c>
      <c r="C263" t="s">
        <v>596</v>
      </c>
      <c r="D263" s="608">
        <v>37060</v>
      </c>
    </row>
    <row r="264" spans="1:4" ht="12.75">
      <c r="A264" t="s">
        <v>528</v>
      </c>
      <c r="B264" t="s">
        <v>614</v>
      </c>
      <c r="C264" t="s">
        <v>596</v>
      </c>
      <c r="D264" s="608">
        <v>37060</v>
      </c>
    </row>
    <row r="265" spans="1:4" ht="12.75">
      <c r="A265" t="s">
        <v>588</v>
      </c>
      <c r="B265" t="s">
        <v>615</v>
      </c>
      <c r="C265" t="s">
        <v>596</v>
      </c>
      <c r="D265" s="608">
        <v>37060</v>
      </c>
    </row>
    <row r="266" spans="1:4" ht="12.75">
      <c r="A266" t="s">
        <v>589</v>
      </c>
      <c r="B266" t="s">
        <v>616</v>
      </c>
      <c r="C266" t="s">
        <v>596</v>
      </c>
      <c r="D266" s="608">
        <v>37060</v>
      </c>
    </row>
    <row r="267" spans="1:4" ht="12.75">
      <c r="A267" t="s">
        <v>405</v>
      </c>
      <c r="B267" t="s">
        <v>365</v>
      </c>
      <c r="C267" t="s">
        <v>538</v>
      </c>
      <c r="D267" s="608">
        <v>37060</v>
      </c>
    </row>
    <row r="268" spans="1:4" ht="12.75">
      <c r="A268" t="s">
        <v>406</v>
      </c>
      <c r="B268" t="s">
        <v>382</v>
      </c>
      <c r="C268" t="s">
        <v>538</v>
      </c>
      <c r="D268" s="608">
        <v>37060</v>
      </c>
    </row>
    <row r="269" spans="1:4" ht="12.75">
      <c r="A269" t="s">
        <v>407</v>
      </c>
      <c r="B269" t="s">
        <v>383</v>
      </c>
      <c r="C269" t="s">
        <v>538</v>
      </c>
      <c r="D269" s="608">
        <v>37060</v>
      </c>
    </row>
    <row r="270" spans="1:4" ht="12.75">
      <c r="A270" t="s">
        <v>408</v>
      </c>
      <c r="B270" t="s">
        <v>370</v>
      </c>
      <c r="C270" t="s">
        <v>538</v>
      </c>
      <c r="D270" s="608">
        <v>37060</v>
      </c>
    </row>
    <row r="271" spans="1:4" ht="12.75">
      <c r="A271" t="s">
        <v>409</v>
      </c>
      <c r="B271" t="s">
        <v>372</v>
      </c>
      <c r="C271" t="s">
        <v>538</v>
      </c>
      <c r="D271" s="608">
        <v>37060</v>
      </c>
    </row>
    <row r="272" spans="1:4" ht="12.75">
      <c r="A272" t="s">
        <v>410</v>
      </c>
      <c r="B272" t="s">
        <v>374</v>
      </c>
      <c r="C272" t="s">
        <v>538</v>
      </c>
      <c r="D272" s="608">
        <v>37060</v>
      </c>
    </row>
    <row r="273" spans="1:4" ht="12.75">
      <c r="A273" t="s">
        <v>411</v>
      </c>
      <c r="B273" t="s">
        <v>376</v>
      </c>
      <c r="C273" t="s">
        <v>538</v>
      </c>
      <c r="D273" s="608">
        <v>37060</v>
      </c>
    </row>
    <row r="274" spans="1:4" ht="12.75">
      <c r="A274" t="s">
        <v>412</v>
      </c>
      <c r="B274" t="s">
        <v>379</v>
      </c>
      <c r="C274" t="s">
        <v>538</v>
      </c>
      <c r="D274" s="608">
        <v>37060</v>
      </c>
    </row>
    <row r="275" spans="1:4" ht="12.75">
      <c r="A275" t="s">
        <v>413</v>
      </c>
      <c r="B275" t="s">
        <v>380</v>
      </c>
      <c r="C275" t="s">
        <v>538</v>
      </c>
      <c r="D275" s="608">
        <v>37060</v>
      </c>
    </row>
    <row r="276" spans="1:3" ht="12.75">
      <c r="A276" t="s">
        <v>478</v>
      </c>
      <c r="B276" t="s">
        <v>597</v>
      </c>
      <c r="C276" s="504" t="s">
        <v>653</v>
      </c>
    </row>
    <row r="277" spans="1:3" ht="12.75">
      <c r="A277" t="s">
        <v>599</v>
      </c>
      <c r="B277" t="s">
        <v>600</v>
      </c>
      <c r="C277" s="504" t="s">
        <v>492</v>
      </c>
    </row>
    <row r="278" spans="1:3" ht="12.75">
      <c r="A278" t="s">
        <v>601</v>
      </c>
      <c r="B278" t="s">
        <v>563</v>
      </c>
      <c r="C278" t="s">
        <v>566</v>
      </c>
    </row>
    <row r="279" spans="1:3" ht="12.75">
      <c r="A279" t="s">
        <v>602</v>
      </c>
      <c r="B279" t="s">
        <v>565</v>
      </c>
      <c r="C279" t="s">
        <v>566</v>
      </c>
    </row>
    <row r="280" spans="1:3" ht="12.75">
      <c r="A280" t="s">
        <v>603</v>
      </c>
      <c r="B280" t="s">
        <v>563</v>
      </c>
      <c r="C280" t="s">
        <v>566</v>
      </c>
    </row>
    <row r="281" spans="1:3" ht="12.75">
      <c r="A281" t="s">
        <v>604</v>
      </c>
      <c r="B281" t="s">
        <v>565</v>
      </c>
      <c r="C281" t="s">
        <v>566</v>
      </c>
    </row>
    <row r="282" spans="1:3" ht="12.75">
      <c r="A282" t="s">
        <v>609</v>
      </c>
      <c r="B282" t="s">
        <v>563</v>
      </c>
      <c r="C282" t="s">
        <v>566</v>
      </c>
    </row>
    <row r="283" spans="1:3" ht="12.75">
      <c r="A283" t="s">
        <v>610</v>
      </c>
      <c r="B283" t="s">
        <v>565</v>
      </c>
      <c r="C283" t="s">
        <v>566</v>
      </c>
    </row>
    <row r="284" spans="1:3" ht="12.75">
      <c r="A284" t="s">
        <v>611</v>
      </c>
      <c r="B284" t="s">
        <v>563</v>
      </c>
      <c r="C284" t="s">
        <v>566</v>
      </c>
    </row>
    <row r="285" spans="1:3" ht="12.75">
      <c r="A285" t="s">
        <v>612</v>
      </c>
      <c r="B285" t="s">
        <v>565</v>
      </c>
      <c r="C285" t="s">
        <v>566</v>
      </c>
    </row>
    <row r="286" spans="1:4" ht="12.75">
      <c r="A286" s="66">
        <v>92</v>
      </c>
      <c r="B286" t="s">
        <v>757</v>
      </c>
      <c r="C286" t="s">
        <v>758</v>
      </c>
      <c r="D286" s="608">
        <v>37060</v>
      </c>
    </row>
    <row r="287" spans="1:4" ht="12.75">
      <c r="A287" s="521" t="s">
        <v>811</v>
      </c>
      <c r="B287" t="s">
        <v>803</v>
      </c>
      <c r="C287" t="s">
        <v>804</v>
      </c>
      <c r="D287" s="608">
        <v>37060</v>
      </c>
    </row>
    <row r="288" spans="1:4" ht="12.75">
      <c r="A288" s="66">
        <v>93</v>
      </c>
      <c r="B288" t="s">
        <v>759</v>
      </c>
      <c r="C288" t="s">
        <v>758</v>
      </c>
      <c r="D288" s="608">
        <v>37259</v>
      </c>
    </row>
    <row r="289" spans="1:4" ht="12.75">
      <c r="A289" s="521" t="s">
        <v>810</v>
      </c>
      <c r="B289" t="s">
        <v>803</v>
      </c>
      <c r="C289" t="s">
        <v>814</v>
      </c>
      <c r="D289" s="608">
        <v>37259</v>
      </c>
    </row>
    <row r="290" spans="1:4" ht="12.75">
      <c r="A290" t="s">
        <v>762</v>
      </c>
      <c r="B290" t="s">
        <v>757</v>
      </c>
      <c r="C290" t="s">
        <v>758</v>
      </c>
      <c r="D290" s="608">
        <v>37060</v>
      </c>
    </row>
    <row r="291" spans="1:4" ht="12.75">
      <c r="A291" t="s">
        <v>766</v>
      </c>
      <c r="B291" t="s">
        <v>757</v>
      </c>
      <c r="C291" t="s">
        <v>758</v>
      </c>
      <c r="D291" s="608">
        <v>37060</v>
      </c>
    </row>
    <row r="292" spans="1:4" ht="12.75">
      <c r="A292" t="s">
        <v>763</v>
      </c>
      <c r="B292" t="s">
        <v>757</v>
      </c>
      <c r="C292" t="s">
        <v>758</v>
      </c>
      <c r="D292" s="608">
        <v>37060</v>
      </c>
    </row>
    <row r="293" spans="1:4" ht="12.75">
      <c r="A293" s="66">
        <v>101</v>
      </c>
      <c r="B293" t="s">
        <v>434</v>
      </c>
      <c r="C293" t="s">
        <v>539</v>
      </c>
      <c r="D293" s="608">
        <v>37060</v>
      </c>
    </row>
    <row r="294" spans="1:4" ht="12.75">
      <c r="A294" s="66">
        <v>102</v>
      </c>
      <c r="B294" t="s">
        <v>434</v>
      </c>
      <c r="C294" t="s">
        <v>539</v>
      </c>
      <c r="D294" s="608">
        <v>37060</v>
      </c>
    </row>
    <row r="295" spans="1:4" ht="12.75">
      <c r="A295" s="66">
        <v>103</v>
      </c>
      <c r="B295" t="s">
        <v>434</v>
      </c>
      <c r="C295" t="s">
        <v>539</v>
      </c>
      <c r="D295" s="608">
        <v>37060</v>
      </c>
    </row>
    <row r="296" spans="1:4" ht="12.75">
      <c r="A296" s="66">
        <v>104</v>
      </c>
      <c r="B296" t="s">
        <v>434</v>
      </c>
      <c r="C296" t="s">
        <v>539</v>
      </c>
      <c r="D296" s="608">
        <v>37060</v>
      </c>
    </row>
    <row r="297" spans="1:4" ht="12.75">
      <c r="A297" s="521">
        <v>104</v>
      </c>
      <c r="B297" t="s">
        <v>806</v>
      </c>
      <c r="C297" t="s">
        <v>807</v>
      </c>
      <c r="D297" s="608">
        <v>37259</v>
      </c>
    </row>
    <row r="298" spans="1:4" ht="12.75">
      <c r="A298" s="66">
        <v>105</v>
      </c>
      <c r="B298" t="s">
        <v>434</v>
      </c>
      <c r="C298" t="s">
        <v>539</v>
      </c>
      <c r="D298" s="608">
        <v>37060</v>
      </c>
    </row>
    <row r="299" spans="1:4" ht="12.75">
      <c r="A299" s="521">
        <v>105</v>
      </c>
      <c r="B299" t="s">
        <v>806</v>
      </c>
      <c r="C299" t="s">
        <v>807</v>
      </c>
      <c r="D299" s="608">
        <v>37259</v>
      </c>
    </row>
    <row r="300" spans="1:4" ht="12.75">
      <c r="A300" s="66">
        <v>106</v>
      </c>
      <c r="B300" t="s">
        <v>434</v>
      </c>
      <c r="C300" t="s">
        <v>539</v>
      </c>
      <c r="D300" s="608">
        <v>37060</v>
      </c>
    </row>
    <row r="301" spans="1:4" ht="12.75">
      <c r="A301" s="521">
        <v>106</v>
      </c>
      <c r="B301" t="s">
        <v>806</v>
      </c>
      <c r="C301" t="s">
        <v>807</v>
      </c>
      <c r="D301" s="608">
        <v>37259</v>
      </c>
    </row>
    <row r="302" spans="1:4" ht="12.75">
      <c r="A302" s="521" t="s">
        <v>812</v>
      </c>
      <c r="B302" t="s">
        <v>803</v>
      </c>
      <c r="C302" t="s">
        <v>804</v>
      </c>
      <c r="D302" s="608">
        <v>37259</v>
      </c>
    </row>
    <row r="303" spans="1:4" ht="12.75">
      <c r="A303" s="521" t="s">
        <v>829</v>
      </c>
      <c r="B303" t="s">
        <v>825</v>
      </c>
      <c r="C303" t="s">
        <v>830</v>
      </c>
      <c r="D303" s="608">
        <v>37259</v>
      </c>
    </row>
    <row r="304" spans="1:3" ht="13.5" thickBot="1">
      <c r="A304" s="482" t="s">
        <v>172</v>
      </c>
      <c r="B304" s="482"/>
      <c r="C304" s="483"/>
    </row>
    <row r="305" spans="1:3" ht="12.75">
      <c r="A305" s="504" t="s">
        <v>654</v>
      </c>
      <c r="B305" s="504" t="s">
        <v>655</v>
      </c>
      <c r="C305" s="504" t="s">
        <v>547</v>
      </c>
    </row>
    <row r="306" spans="1:4" s="522" customFormat="1" ht="12.75">
      <c r="A306" s="504" t="s">
        <v>495</v>
      </c>
      <c r="B306" t="s">
        <v>499</v>
      </c>
      <c r="C306" t="s">
        <v>464</v>
      </c>
      <c r="D306" s="608">
        <v>37060</v>
      </c>
    </row>
    <row r="307" spans="1:4" s="522" customFormat="1" ht="12.75">
      <c r="A307" s="504" t="s">
        <v>496</v>
      </c>
      <c r="B307" t="s">
        <v>500</v>
      </c>
      <c r="C307" t="s">
        <v>464</v>
      </c>
      <c r="D307" s="608">
        <v>37060</v>
      </c>
    </row>
    <row r="308" spans="1:4" s="522" customFormat="1" ht="12.75">
      <c r="A308" s="504" t="s">
        <v>497</v>
      </c>
      <c r="B308" t="s">
        <v>501</v>
      </c>
      <c r="C308" t="s">
        <v>464</v>
      </c>
      <c r="D308" s="608">
        <v>37060</v>
      </c>
    </row>
    <row r="309" spans="1:4" s="522" customFormat="1" ht="12.75">
      <c r="A309" s="504" t="s">
        <v>498</v>
      </c>
      <c r="B309" t="s">
        <v>502</v>
      </c>
      <c r="C309" t="s">
        <v>464</v>
      </c>
      <c r="D309" s="608">
        <v>37060</v>
      </c>
    </row>
    <row r="310" spans="1:3" s="522" customFormat="1" ht="12.75">
      <c r="A310" s="504" t="s">
        <v>656</v>
      </c>
      <c r="B310" t="s">
        <v>661</v>
      </c>
      <c r="C310" t="s">
        <v>549</v>
      </c>
    </row>
    <row r="311" spans="1:3" s="522" customFormat="1" ht="12.75">
      <c r="A311" s="504" t="s">
        <v>657</v>
      </c>
      <c r="B311" t="s">
        <v>662</v>
      </c>
      <c r="C311" t="s">
        <v>464</v>
      </c>
    </row>
    <row r="312" spans="1:3" s="522" customFormat="1" ht="12.75">
      <c r="A312" s="504" t="s">
        <v>658</v>
      </c>
      <c r="B312" t="s">
        <v>663</v>
      </c>
      <c r="C312" t="s">
        <v>549</v>
      </c>
    </row>
    <row r="313" spans="1:3" s="522" customFormat="1" ht="12.75">
      <c r="A313" s="504" t="s">
        <v>659</v>
      </c>
      <c r="B313" t="s">
        <v>664</v>
      </c>
      <c r="C313" t="s">
        <v>596</v>
      </c>
    </row>
    <row r="314" spans="1:3" s="522" customFormat="1" ht="12.75">
      <c r="A314" s="504" t="s">
        <v>660</v>
      </c>
      <c r="B314" t="s">
        <v>665</v>
      </c>
      <c r="C314" t="s">
        <v>596</v>
      </c>
    </row>
    <row r="315" spans="1:4" ht="12.75">
      <c r="A315" t="s">
        <v>387</v>
      </c>
      <c r="B315" t="s">
        <v>365</v>
      </c>
      <c r="C315" t="s">
        <v>538</v>
      </c>
      <c r="D315" s="608">
        <v>37060</v>
      </c>
    </row>
    <row r="316" spans="1:4" ht="12.75">
      <c r="A316" t="s">
        <v>388</v>
      </c>
      <c r="B316" t="s">
        <v>382</v>
      </c>
      <c r="C316" t="s">
        <v>538</v>
      </c>
      <c r="D316" s="608">
        <v>37060</v>
      </c>
    </row>
    <row r="317" spans="1:4" ht="12.75">
      <c r="A317" t="s">
        <v>389</v>
      </c>
      <c r="B317" t="s">
        <v>383</v>
      </c>
      <c r="C317" t="s">
        <v>538</v>
      </c>
      <c r="D317" s="608">
        <v>37060</v>
      </c>
    </row>
    <row r="318" spans="1:4" ht="12.75">
      <c r="A318" t="s">
        <v>390</v>
      </c>
      <c r="B318" t="s">
        <v>370</v>
      </c>
      <c r="C318" t="s">
        <v>538</v>
      </c>
      <c r="D318" s="608">
        <v>37060</v>
      </c>
    </row>
    <row r="319" spans="1:4" ht="12.75">
      <c r="A319" t="s">
        <v>391</v>
      </c>
      <c r="B319" t="s">
        <v>372</v>
      </c>
      <c r="C319" t="s">
        <v>538</v>
      </c>
      <c r="D319" s="608">
        <v>37060</v>
      </c>
    </row>
    <row r="320" spans="1:4" ht="12.75">
      <c r="A320" t="s">
        <v>392</v>
      </c>
      <c r="B320" t="s">
        <v>374</v>
      </c>
      <c r="C320" t="s">
        <v>538</v>
      </c>
      <c r="D320" s="608">
        <v>37060</v>
      </c>
    </row>
    <row r="321" spans="1:4" ht="12.75">
      <c r="A321" t="s">
        <v>393</v>
      </c>
      <c r="B321" t="s">
        <v>376</v>
      </c>
      <c r="C321" t="s">
        <v>538</v>
      </c>
      <c r="D321" s="608">
        <v>37060</v>
      </c>
    </row>
    <row r="322" spans="1:4" ht="12.75">
      <c r="A322" t="s">
        <v>394</v>
      </c>
      <c r="B322" t="s">
        <v>379</v>
      </c>
      <c r="C322" t="s">
        <v>538</v>
      </c>
      <c r="D322" s="608">
        <v>37060</v>
      </c>
    </row>
    <row r="323" spans="1:4" ht="12.75">
      <c r="A323" t="s">
        <v>395</v>
      </c>
      <c r="B323" t="s">
        <v>380</v>
      </c>
      <c r="C323" t="s">
        <v>538</v>
      </c>
      <c r="D323" s="608">
        <v>37060</v>
      </c>
    </row>
    <row r="324" spans="1:4" ht="12.75">
      <c r="A324" t="s">
        <v>462</v>
      </c>
      <c r="B324" t="s">
        <v>483</v>
      </c>
      <c r="C324" t="s">
        <v>465</v>
      </c>
      <c r="D324" s="608">
        <v>37060</v>
      </c>
    </row>
    <row r="325" spans="1:4" ht="12.75">
      <c r="A325" t="s">
        <v>414</v>
      </c>
      <c r="B325" t="s">
        <v>473</v>
      </c>
      <c r="C325" t="s">
        <v>464</v>
      </c>
      <c r="D325" s="608">
        <v>37060</v>
      </c>
    </row>
    <row r="326" spans="1:4" ht="12.75">
      <c r="A326" t="s">
        <v>415</v>
      </c>
      <c r="B326" t="s">
        <v>541</v>
      </c>
      <c r="C326" t="s">
        <v>465</v>
      </c>
      <c r="D326" s="608">
        <v>37060</v>
      </c>
    </row>
    <row r="327" spans="1:4" ht="12.75">
      <c r="A327" t="s">
        <v>423</v>
      </c>
      <c r="B327" t="s">
        <v>476</v>
      </c>
      <c r="C327" t="s">
        <v>464</v>
      </c>
      <c r="D327" s="608">
        <v>37060</v>
      </c>
    </row>
    <row r="328" spans="1:4" ht="12.75">
      <c r="A328" t="s">
        <v>482</v>
      </c>
      <c r="B328" t="s">
        <v>477</v>
      </c>
      <c r="C328" t="s">
        <v>464</v>
      </c>
      <c r="D328" s="608">
        <v>37060</v>
      </c>
    </row>
    <row r="329" spans="1:3" ht="12.75">
      <c r="A329" t="s">
        <v>666</v>
      </c>
      <c r="B329" t="s">
        <v>667</v>
      </c>
      <c r="C329" t="s">
        <v>492</v>
      </c>
    </row>
    <row r="330" spans="1:3" ht="12.75">
      <c r="A330" t="s">
        <v>668</v>
      </c>
      <c r="B330" t="s">
        <v>563</v>
      </c>
      <c r="C330" t="s">
        <v>566</v>
      </c>
    </row>
    <row r="331" spans="1:3" ht="12.75">
      <c r="A331" t="s">
        <v>668</v>
      </c>
      <c r="B331" t="s">
        <v>565</v>
      </c>
      <c r="C331" t="s">
        <v>566</v>
      </c>
    </row>
    <row r="332" spans="1:3" ht="12.75">
      <c r="A332" t="s">
        <v>669</v>
      </c>
      <c r="B332" t="s">
        <v>563</v>
      </c>
      <c r="C332" t="s">
        <v>566</v>
      </c>
    </row>
    <row r="333" spans="1:3" ht="12.75">
      <c r="A333" t="s">
        <v>670</v>
      </c>
      <c r="B333" t="s">
        <v>565</v>
      </c>
      <c r="C333" t="s">
        <v>566</v>
      </c>
    </row>
    <row r="334" spans="1:3" ht="12.75">
      <c r="A334" t="s">
        <v>472</v>
      </c>
      <c r="B334" t="s">
        <v>563</v>
      </c>
      <c r="C334" t="s">
        <v>566</v>
      </c>
    </row>
    <row r="335" spans="1:3" ht="12.75">
      <c r="A335" t="s">
        <v>461</v>
      </c>
      <c r="B335" t="s">
        <v>565</v>
      </c>
      <c r="C335" t="s">
        <v>566</v>
      </c>
    </row>
    <row r="336" spans="1:3" ht="12.75">
      <c r="A336" t="s">
        <v>569</v>
      </c>
      <c r="B336" t="s">
        <v>563</v>
      </c>
      <c r="C336" t="s">
        <v>566</v>
      </c>
    </row>
    <row r="337" spans="1:3" ht="12.75">
      <c r="A337" t="s">
        <v>570</v>
      </c>
      <c r="B337" t="s">
        <v>565</v>
      </c>
      <c r="C337" t="s">
        <v>566</v>
      </c>
    </row>
    <row r="338" spans="1:3" ht="12.75">
      <c r="A338" s="66">
        <v>57</v>
      </c>
      <c r="B338" t="s">
        <v>671</v>
      </c>
      <c r="C338" t="s">
        <v>672</v>
      </c>
    </row>
    <row r="339" spans="1:4" ht="12.75">
      <c r="A339" s="66">
        <v>61</v>
      </c>
      <c r="B339" t="s">
        <v>757</v>
      </c>
      <c r="C339" t="s">
        <v>758</v>
      </c>
      <c r="D339" s="608">
        <v>37060</v>
      </c>
    </row>
    <row r="340" spans="1:4" ht="12.75">
      <c r="A340" s="521" t="s">
        <v>817</v>
      </c>
      <c r="B340" t="s">
        <v>803</v>
      </c>
      <c r="C340" t="s">
        <v>804</v>
      </c>
      <c r="D340" s="608">
        <v>37259</v>
      </c>
    </row>
    <row r="341" spans="1:4" ht="12.75">
      <c r="A341" s="66">
        <v>62</v>
      </c>
      <c r="B341" t="s">
        <v>759</v>
      </c>
      <c r="C341" t="s">
        <v>758</v>
      </c>
      <c r="D341" s="608">
        <v>37060</v>
      </c>
    </row>
    <row r="342" spans="1:4" ht="12.75">
      <c r="A342" s="521" t="s">
        <v>818</v>
      </c>
      <c r="B342" t="s">
        <v>803</v>
      </c>
      <c r="C342" t="s">
        <v>814</v>
      </c>
      <c r="D342" s="608">
        <v>37259</v>
      </c>
    </row>
    <row r="343" spans="1:4" ht="12.75">
      <c r="A343" t="s">
        <v>769</v>
      </c>
      <c r="B343" t="s">
        <v>757</v>
      </c>
      <c r="C343" t="s">
        <v>758</v>
      </c>
      <c r="D343" s="608">
        <v>37060</v>
      </c>
    </row>
    <row r="344" spans="1:4" ht="12.75">
      <c r="A344" t="s">
        <v>770</v>
      </c>
      <c r="B344" t="s">
        <v>757</v>
      </c>
      <c r="C344" t="s">
        <v>758</v>
      </c>
      <c r="D344" s="608">
        <v>37060</v>
      </c>
    </row>
    <row r="345" spans="1:4" ht="12.75">
      <c r="A345" t="s">
        <v>745</v>
      </c>
      <c r="B345" t="s">
        <v>757</v>
      </c>
      <c r="C345" t="s">
        <v>758</v>
      </c>
      <c r="D345" s="608">
        <v>37060</v>
      </c>
    </row>
    <row r="346" spans="1:4" ht="12.75">
      <c r="A346" s="66">
        <v>70</v>
      </c>
      <c r="B346" t="s">
        <v>434</v>
      </c>
      <c r="C346" t="s">
        <v>539</v>
      </c>
      <c r="D346" s="608">
        <v>37060</v>
      </c>
    </row>
    <row r="347" spans="1:4" ht="12.75">
      <c r="A347" s="66">
        <v>71</v>
      </c>
      <c r="B347" t="s">
        <v>434</v>
      </c>
      <c r="C347" t="s">
        <v>539</v>
      </c>
      <c r="D347" s="608">
        <v>37060</v>
      </c>
    </row>
    <row r="348" spans="1:4" ht="12.75">
      <c r="A348" s="66">
        <v>72</v>
      </c>
      <c r="B348" t="s">
        <v>434</v>
      </c>
      <c r="C348" t="s">
        <v>539</v>
      </c>
      <c r="D348" s="608">
        <v>37060</v>
      </c>
    </row>
    <row r="349" spans="1:4" ht="12.75">
      <c r="A349" s="66">
        <v>73</v>
      </c>
      <c r="B349" t="s">
        <v>434</v>
      </c>
      <c r="C349" t="s">
        <v>539</v>
      </c>
      <c r="D349" s="608">
        <v>37060</v>
      </c>
    </row>
    <row r="350" spans="1:4" ht="12.75">
      <c r="A350" s="521">
        <v>73</v>
      </c>
      <c r="B350" t="s">
        <v>806</v>
      </c>
      <c r="C350" t="s">
        <v>807</v>
      </c>
      <c r="D350" s="608">
        <v>37259</v>
      </c>
    </row>
    <row r="351" spans="1:4" ht="12.75">
      <c r="A351" s="66">
        <v>74</v>
      </c>
      <c r="B351" t="s">
        <v>434</v>
      </c>
      <c r="C351" t="s">
        <v>539</v>
      </c>
      <c r="D351" s="608">
        <v>37060</v>
      </c>
    </row>
    <row r="352" spans="1:4" ht="12.75">
      <c r="A352" s="521">
        <v>74</v>
      </c>
      <c r="B352" t="s">
        <v>806</v>
      </c>
      <c r="C352" t="s">
        <v>807</v>
      </c>
      <c r="D352" s="608">
        <v>37259</v>
      </c>
    </row>
    <row r="353" spans="1:4" ht="12.75">
      <c r="A353" s="521" t="s">
        <v>819</v>
      </c>
      <c r="B353" t="s">
        <v>803</v>
      </c>
      <c r="C353" t="s">
        <v>804</v>
      </c>
      <c r="D353" s="608">
        <v>37259</v>
      </c>
    </row>
    <row r="354" spans="1:4" ht="12.75">
      <c r="A354" s="521" t="s">
        <v>831</v>
      </c>
      <c r="B354" t="s">
        <v>825</v>
      </c>
      <c r="C354" t="s">
        <v>832</v>
      </c>
      <c r="D354" s="608">
        <v>37259</v>
      </c>
    </row>
    <row r="355" spans="1:3" ht="13.5" thickBot="1">
      <c r="A355" s="520" t="s">
        <v>176</v>
      </c>
      <c r="B355" s="483"/>
      <c r="C355" s="483"/>
    </row>
    <row r="356" spans="1:3" ht="12.75">
      <c r="A356" s="521" t="s">
        <v>388</v>
      </c>
      <c r="B356" t="s">
        <v>563</v>
      </c>
      <c r="C356" t="s">
        <v>566</v>
      </c>
    </row>
    <row r="357" spans="1:3" ht="12.75">
      <c r="A357" s="521" t="s">
        <v>389</v>
      </c>
      <c r="B357" t="s">
        <v>565</v>
      </c>
      <c r="C357" t="s">
        <v>566</v>
      </c>
    </row>
    <row r="358" spans="1:3" ht="12.75">
      <c r="A358" s="521" t="s">
        <v>423</v>
      </c>
      <c r="B358" t="s">
        <v>563</v>
      </c>
      <c r="C358" t="s">
        <v>566</v>
      </c>
    </row>
    <row r="359" spans="1:3" ht="12.75">
      <c r="A359" s="521" t="s">
        <v>482</v>
      </c>
      <c r="B359" t="s">
        <v>565</v>
      </c>
      <c r="C359" t="s">
        <v>566</v>
      </c>
    </row>
    <row r="360" spans="1:3" ht="12.75">
      <c r="A360" s="521" t="s">
        <v>576</v>
      </c>
      <c r="B360" t="s">
        <v>563</v>
      </c>
      <c r="C360" t="s">
        <v>566</v>
      </c>
    </row>
    <row r="361" spans="1:3" ht="12.75">
      <c r="A361" s="521" t="s">
        <v>577</v>
      </c>
      <c r="B361" t="s">
        <v>565</v>
      </c>
      <c r="C361" t="s">
        <v>566</v>
      </c>
    </row>
    <row r="362" spans="1:3" ht="12.75">
      <c r="A362" s="521" t="s">
        <v>578</v>
      </c>
      <c r="B362" t="s">
        <v>563</v>
      </c>
      <c r="C362" t="s">
        <v>566</v>
      </c>
    </row>
    <row r="363" spans="1:3" ht="12.75">
      <c r="A363" s="521" t="s">
        <v>579</v>
      </c>
      <c r="B363" t="s">
        <v>565</v>
      </c>
      <c r="C363" t="s">
        <v>566</v>
      </c>
    </row>
    <row r="364" spans="1:3" ht="12.75">
      <c r="A364" s="521" t="s">
        <v>422</v>
      </c>
      <c r="B364" t="s">
        <v>563</v>
      </c>
      <c r="C364" t="s">
        <v>566</v>
      </c>
    </row>
    <row r="365" spans="1:3" ht="12.75">
      <c r="A365" s="521" t="s">
        <v>580</v>
      </c>
      <c r="B365" t="s">
        <v>565</v>
      </c>
      <c r="C365" t="s">
        <v>566</v>
      </c>
    </row>
    <row r="366" spans="1:4" ht="12.75">
      <c r="A366" s="521" t="s">
        <v>488</v>
      </c>
      <c r="B366" s="504" t="s">
        <v>489</v>
      </c>
      <c r="C366" t="s">
        <v>465</v>
      </c>
      <c r="D366" s="608">
        <v>37060</v>
      </c>
    </row>
    <row r="367" spans="1:4" ht="12.75">
      <c r="A367" s="521" t="s">
        <v>490</v>
      </c>
      <c r="B367" s="504" t="s">
        <v>491</v>
      </c>
      <c r="C367" t="s">
        <v>492</v>
      </c>
      <c r="D367" s="608">
        <v>37060</v>
      </c>
    </row>
    <row r="368" spans="1:4" ht="12.75">
      <c r="A368" s="521" t="s">
        <v>493</v>
      </c>
      <c r="B368" s="504" t="s">
        <v>494</v>
      </c>
      <c r="C368" t="s">
        <v>465</v>
      </c>
      <c r="D368" s="608">
        <v>37060</v>
      </c>
    </row>
    <row r="369" spans="1:4" ht="12.75">
      <c r="A369" s="521" t="s">
        <v>454</v>
      </c>
      <c r="B369" s="504" t="s">
        <v>466</v>
      </c>
      <c r="C369" t="s">
        <v>465</v>
      </c>
      <c r="D369" s="608">
        <v>37060</v>
      </c>
    </row>
    <row r="370" spans="1:4" ht="12.75">
      <c r="A370" s="521" t="s">
        <v>455</v>
      </c>
      <c r="B370" s="504" t="s">
        <v>471</v>
      </c>
      <c r="C370" t="s">
        <v>464</v>
      </c>
      <c r="D370" s="608">
        <v>37060</v>
      </c>
    </row>
    <row r="371" spans="1:4" ht="12.75">
      <c r="A371" s="521" t="s">
        <v>456</v>
      </c>
      <c r="B371" s="504" t="s">
        <v>467</v>
      </c>
      <c r="C371" t="s">
        <v>465</v>
      </c>
      <c r="D371" s="608">
        <v>37060</v>
      </c>
    </row>
    <row r="372" spans="1:4" ht="12.75">
      <c r="A372" s="521" t="s">
        <v>468</v>
      </c>
      <c r="B372" t="s">
        <v>469</v>
      </c>
      <c r="C372" t="s">
        <v>464</v>
      </c>
      <c r="D372" s="608">
        <v>37060</v>
      </c>
    </row>
    <row r="373" spans="1:4" ht="12.75">
      <c r="A373" s="521" t="s">
        <v>457</v>
      </c>
      <c r="B373" t="s">
        <v>470</v>
      </c>
      <c r="C373" t="s">
        <v>464</v>
      </c>
      <c r="D373" s="608">
        <v>37060</v>
      </c>
    </row>
    <row r="374" spans="1:3" ht="12.75">
      <c r="A374" s="521" t="s">
        <v>581</v>
      </c>
      <c r="B374" t="s">
        <v>582</v>
      </c>
      <c r="C374" t="s">
        <v>549</v>
      </c>
    </row>
    <row r="375" spans="1:4" ht="12.75">
      <c r="A375" t="s">
        <v>442</v>
      </c>
      <c r="B375" t="s">
        <v>446</v>
      </c>
      <c r="C375" t="s">
        <v>464</v>
      </c>
      <c r="D375" s="608">
        <v>37060</v>
      </c>
    </row>
    <row r="376" spans="1:4" ht="12.75">
      <c r="A376" t="s">
        <v>443</v>
      </c>
      <c r="B376" t="s">
        <v>447</v>
      </c>
      <c r="C376" t="s">
        <v>464</v>
      </c>
      <c r="D376" s="608">
        <v>37060</v>
      </c>
    </row>
    <row r="377" spans="1:4" ht="12.75">
      <c r="A377" t="s">
        <v>444</v>
      </c>
      <c r="B377" t="s">
        <v>448</v>
      </c>
      <c r="C377" t="s">
        <v>464</v>
      </c>
      <c r="D377" s="608">
        <v>37060</v>
      </c>
    </row>
    <row r="378" spans="1:4" ht="12.75">
      <c r="A378" t="s">
        <v>445</v>
      </c>
      <c r="B378" t="s">
        <v>449</v>
      </c>
      <c r="C378" t="s">
        <v>464</v>
      </c>
      <c r="D378" s="608">
        <v>37060</v>
      </c>
    </row>
    <row r="379" spans="1:4" ht="12.75">
      <c r="A379" t="s">
        <v>643</v>
      </c>
      <c r="B379" t="s">
        <v>775</v>
      </c>
      <c r="C379" t="s">
        <v>779</v>
      </c>
      <c r="D379" s="608">
        <v>37060</v>
      </c>
    </row>
    <row r="380" spans="1:4" ht="12.75">
      <c r="A380" t="s">
        <v>583</v>
      </c>
      <c r="B380" t="s">
        <v>778</v>
      </c>
      <c r="C380" t="s">
        <v>779</v>
      </c>
      <c r="D380" s="608">
        <v>37060</v>
      </c>
    </row>
    <row r="381" spans="1:4" ht="12.75">
      <c r="A381" t="s">
        <v>619</v>
      </c>
      <c r="B381" t="s">
        <v>774</v>
      </c>
      <c r="C381" t="s">
        <v>779</v>
      </c>
      <c r="D381" s="608">
        <v>37060</v>
      </c>
    </row>
    <row r="382" spans="1:4" ht="12.75">
      <c r="A382" t="s">
        <v>620</v>
      </c>
      <c r="B382" t="s">
        <v>776</v>
      </c>
      <c r="C382" t="s">
        <v>779</v>
      </c>
      <c r="D382" s="608">
        <v>37060</v>
      </c>
    </row>
    <row r="383" spans="1:4" ht="12.75">
      <c r="A383" t="s">
        <v>621</v>
      </c>
      <c r="B383" t="s">
        <v>777</v>
      </c>
      <c r="C383" t="s">
        <v>779</v>
      </c>
      <c r="D383" s="608">
        <v>37060</v>
      </c>
    </row>
    <row r="384" spans="1:4" ht="12.75">
      <c r="A384" t="s">
        <v>622</v>
      </c>
      <c r="B384" t="s">
        <v>780</v>
      </c>
      <c r="C384" t="s">
        <v>779</v>
      </c>
      <c r="D384" s="608">
        <v>37060</v>
      </c>
    </row>
    <row r="385" spans="1:4" ht="12.75">
      <c r="A385" t="s">
        <v>623</v>
      </c>
      <c r="B385" t="s">
        <v>781</v>
      </c>
      <c r="C385" t="s">
        <v>779</v>
      </c>
      <c r="D385" s="608">
        <v>37060</v>
      </c>
    </row>
    <row r="386" spans="1:3" ht="12.75">
      <c r="A386" t="s">
        <v>505</v>
      </c>
      <c r="B386" t="s">
        <v>563</v>
      </c>
      <c r="C386" t="s">
        <v>566</v>
      </c>
    </row>
    <row r="387" spans="1:3" ht="12.75">
      <c r="A387" t="s">
        <v>506</v>
      </c>
      <c r="B387" t="s">
        <v>565</v>
      </c>
      <c r="C387" t="s">
        <v>566</v>
      </c>
    </row>
    <row r="388" spans="1:3" ht="12.75">
      <c r="A388" t="s">
        <v>527</v>
      </c>
      <c r="B388" t="s">
        <v>675</v>
      </c>
      <c r="C388" t="s">
        <v>549</v>
      </c>
    </row>
    <row r="389" spans="1:3" ht="12.75">
      <c r="A389" t="s">
        <v>587</v>
      </c>
      <c r="B389" t="s">
        <v>676</v>
      </c>
      <c r="C389" t="s">
        <v>636</v>
      </c>
    </row>
    <row r="390" spans="1:3" ht="12.75">
      <c r="A390" t="s">
        <v>528</v>
      </c>
      <c r="B390" t="s">
        <v>677</v>
      </c>
      <c r="C390" t="s">
        <v>549</v>
      </c>
    </row>
    <row r="391" spans="1:3" ht="12.75">
      <c r="A391" t="s">
        <v>588</v>
      </c>
      <c r="B391" t="s">
        <v>678</v>
      </c>
      <c r="C391" t="s">
        <v>636</v>
      </c>
    </row>
    <row r="392" spans="1:3" ht="12.75">
      <c r="A392" t="s">
        <v>589</v>
      </c>
      <c r="B392" t="s">
        <v>679</v>
      </c>
      <c r="C392" t="s">
        <v>636</v>
      </c>
    </row>
    <row r="393" spans="1:4" ht="12.75">
      <c r="A393" s="66" t="s">
        <v>405</v>
      </c>
      <c r="B393" t="s">
        <v>365</v>
      </c>
      <c r="C393" t="s">
        <v>538</v>
      </c>
      <c r="D393" s="608">
        <v>37060</v>
      </c>
    </row>
    <row r="394" spans="1:4" ht="12.75">
      <c r="A394" s="66" t="s">
        <v>406</v>
      </c>
      <c r="B394" t="s">
        <v>382</v>
      </c>
      <c r="C394" t="s">
        <v>538</v>
      </c>
      <c r="D394" s="608">
        <v>37060</v>
      </c>
    </row>
    <row r="395" spans="1:4" ht="12.75">
      <c r="A395" s="66" t="s">
        <v>407</v>
      </c>
      <c r="B395" t="s">
        <v>383</v>
      </c>
      <c r="C395" t="s">
        <v>538</v>
      </c>
      <c r="D395" s="608">
        <v>37060</v>
      </c>
    </row>
    <row r="396" spans="1:4" ht="12.75">
      <c r="A396" s="66" t="s">
        <v>408</v>
      </c>
      <c r="B396" t="s">
        <v>370</v>
      </c>
      <c r="C396" t="s">
        <v>538</v>
      </c>
      <c r="D396" s="608">
        <v>37060</v>
      </c>
    </row>
    <row r="397" spans="1:4" ht="12.75">
      <c r="A397" s="66" t="s">
        <v>409</v>
      </c>
      <c r="B397" t="s">
        <v>372</v>
      </c>
      <c r="C397" t="s">
        <v>538</v>
      </c>
      <c r="D397" s="608">
        <v>37060</v>
      </c>
    </row>
    <row r="398" spans="1:4" ht="12.75">
      <c r="A398" s="66" t="s">
        <v>410</v>
      </c>
      <c r="B398" t="s">
        <v>374</v>
      </c>
      <c r="C398" t="s">
        <v>538</v>
      </c>
      <c r="D398" s="608">
        <v>37060</v>
      </c>
    </row>
    <row r="399" spans="1:4" ht="12.75">
      <c r="A399" s="66" t="s">
        <v>411</v>
      </c>
      <c r="B399" t="s">
        <v>376</v>
      </c>
      <c r="C399" t="s">
        <v>538</v>
      </c>
      <c r="D399" s="608">
        <v>37060</v>
      </c>
    </row>
    <row r="400" spans="1:4" ht="12.75">
      <c r="A400" s="66" t="s">
        <v>412</v>
      </c>
      <c r="B400" t="s">
        <v>379</v>
      </c>
      <c r="C400" t="s">
        <v>538</v>
      </c>
      <c r="D400" s="608">
        <v>37060</v>
      </c>
    </row>
    <row r="401" spans="1:4" ht="12.75">
      <c r="A401" s="66" t="s">
        <v>413</v>
      </c>
      <c r="B401" t="s">
        <v>380</v>
      </c>
      <c r="C401" t="s">
        <v>538</v>
      </c>
      <c r="D401" s="608">
        <v>37060</v>
      </c>
    </row>
    <row r="402" spans="1:3" ht="12.75">
      <c r="A402" s="66" t="s">
        <v>479</v>
      </c>
      <c r="B402" t="s">
        <v>680</v>
      </c>
      <c r="C402" t="s">
        <v>464</v>
      </c>
    </row>
    <row r="403" spans="1:3" ht="12.75">
      <c r="A403" s="66" t="s">
        <v>480</v>
      </c>
      <c r="B403" t="s">
        <v>681</v>
      </c>
      <c r="C403" t="s">
        <v>464</v>
      </c>
    </row>
    <row r="404" spans="1:3" ht="12.75">
      <c r="A404" s="66" t="s">
        <v>481</v>
      </c>
      <c r="B404" t="s">
        <v>682</v>
      </c>
      <c r="C404" t="s">
        <v>464</v>
      </c>
    </row>
    <row r="405" spans="1:3" ht="12.75">
      <c r="A405" s="66" t="s">
        <v>599</v>
      </c>
      <c r="B405" t="s">
        <v>600</v>
      </c>
      <c r="C405" t="s">
        <v>492</v>
      </c>
    </row>
    <row r="406" spans="1:3" ht="12.75">
      <c r="A406" s="66" t="s">
        <v>569</v>
      </c>
      <c r="B406" t="s">
        <v>563</v>
      </c>
      <c r="C406" t="s">
        <v>566</v>
      </c>
    </row>
    <row r="407" spans="1:3" ht="12.75">
      <c r="A407" s="66" t="s">
        <v>570</v>
      </c>
      <c r="B407" t="s">
        <v>565</v>
      </c>
      <c r="C407" t="s">
        <v>566</v>
      </c>
    </row>
    <row r="408" spans="1:3" ht="12.75">
      <c r="A408" s="66" t="s">
        <v>601</v>
      </c>
      <c r="B408" t="s">
        <v>563</v>
      </c>
      <c r="C408" t="s">
        <v>566</v>
      </c>
    </row>
    <row r="409" spans="1:3" ht="12.75">
      <c r="A409" s="66" t="s">
        <v>602</v>
      </c>
      <c r="B409" t="s">
        <v>565</v>
      </c>
      <c r="C409" t="s">
        <v>566</v>
      </c>
    </row>
    <row r="410" spans="1:3" ht="12.75">
      <c r="A410" s="66" t="s">
        <v>603</v>
      </c>
      <c r="B410" t="s">
        <v>563</v>
      </c>
      <c r="C410" t="s">
        <v>566</v>
      </c>
    </row>
    <row r="411" spans="1:3" ht="12.75">
      <c r="A411" s="66" t="s">
        <v>604</v>
      </c>
      <c r="B411" t="s">
        <v>565</v>
      </c>
      <c r="C411" t="s">
        <v>566</v>
      </c>
    </row>
    <row r="412" spans="1:4" ht="12.75">
      <c r="A412" s="66" t="s">
        <v>789</v>
      </c>
      <c r="B412" t="s">
        <v>793</v>
      </c>
      <c r="C412" s="504" t="s">
        <v>783</v>
      </c>
      <c r="D412" s="608">
        <v>37060</v>
      </c>
    </row>
    <row r="413" spans="1:4" ht="12.75">
      <c r="A413" s="66" t="s">
        <v>790</v>
      </c>
      <c r="B413" t="s">
        <v>794</v>
      </c>
      <c r="C413" s="504" t="s">
        <v>783</v>
      </c>
      <c r="D413" s="608">
        <v>37060</v>
      </c>
    </row>
    <row r="414" spans="1:4" ht="12.75">
      <c r="A414" s="66" t="s">
        <v>791</v>
      </c>
      <c r="B414" t="s">
        <v>795</v>
      </c>
      <c r="C414" s="504" t="s">
        <v>783</v>
      </c>
      <c r="D414" s="608">
        <v>37060</v>
      </c>
    </row>
    <row r="415" spans="1:4" ht="12.75">
      <c r="A415" s="66" t="s">
        <v>792</v>
      </c>
      <c r="B415" t="s">
        <v>796</v>
      </c>
      <c r="C415" s="504" t="s">
        <v>783</v>
      </c>
      <c r="D415" s="608">
        <v>37060</v>
      </c>
    </row>
    <row r="416" spans="1:4" ht="12.75">
      <c r="A416" s="66" t="s">
        <v>605</v>
      </c>
      <c r="B416" t="s">
        <v>795</v>
      </c>
      <c r="C416" s="504" t="s">
        <v>783</v>
      </c>
      <c r="D416" s="608">
        <v>37060</v>
      </c>
    </row>
    <row r="417" spans="1:3" ht="12.75">
      <c r="A417" s="66" t="s">
        <v>426</v>
      </c>
      <c r="B417" t="s">
        <v>563</v>
      </c>
      <c r="C417" t="s">
        <v>566</v>
      </c>
    </row>
    <row r="418" spans="1:3" ht="12.75">
      <c r="A418" s="66" t="s">
        <v>606</v>
      </c>
      <c r="B418" t="s">
        <v>565</v>
      </c>
      <c r="C418" t="s">
        <v>566</v>
      </c>
    </row>
    <row r="419" spans="1:3" ht="12.75">
      <c r="A419" s="66" t="s">
        <v>607</v>
      </c>
      <c r="B419" t="s">
        <v>563</v>
      </c>
      <c r="C419" t="s">
        <v>566</v>
      </c>
    </row>
    <row r="420" spans="1:3" ht="12.75">
      <c r="A420" s="66" t="s">
        <v>608</v>
      </c>
      <c r="B420" t="s">
        <v>565</v>
      </c>
      <c r="C420" t="s">
        <v>566</v>
      </c>
    </row>
    <row r="421" spans="1:3" ht="12.75">
      <c r="A421" s="66" t="s">
        <v>609</v>
      </c>
      <c r="B421" t="s">
        <v>563</v>
      </c>
      <c r="C421" t="s">
        <v>566</v>
      </c>
    </row>
    <row r="422" spans="1:3" ht="12.75">
      <c r="A422" s="66" t="s">
        <v>610</v>
      </c>
      <c r="B422" t="s">
        <v>565</v>
      </c>
      <c r="C422" t="s">
        <v>566</v>
      </c>
    </row>
    <row r="423" spans="1:3" ht="12.75">
      <c r="A423" s="66" t="s">
        <v>611</v>
      </c>
      <c r="B423" t="s">
        <v>563</v>
      </c>
      <c r="C423" t="s">
        <v>566</v>
      </c>
    </row>
    <row r="424" spans="1:3" ht="12.75">
      <c r="A424" s="66" t="s">
        <v>612</v>
      </c>
      <c r="B424" t="s">
        <v>565</v>
      </c>
      <c r="C424" t="s">
        <v>566</v>
      </c>
    </row>
    <row r="425" spans="1:4" ht="12.75">
      <c r="A425" s="66">
        <v>92</v>
      </c>
      <c r="B425" t="s">
        <v>757</v>
      </c>
      <c r="C425" t="s">
        <v>758</v>
      </c>
      <c r="D425" s="608">
        <v>37060</v>
      </c>
    </row>
    <row r="426" spans="1:4" ht="12.75">
      <c r="A426" s="521" t="s">
        <v>811</v>
      </c>
      <c r="B426" t="s">
        <v>803</v>
      </c>
      <c r="C426" t="s">
        <v>804</v>
      </c>
      <c r="D426" s="608">
        <v>37259</v>
      </c>
    </row>
    <row r="427" spans="1:4" ht="12.75">
      <c r="A427" s="66">
        <v>93</v>
      </c>
      <c r="B427" t="s">
        <v>759</v>
      </c>
      <c r="C427" t="s">
        <v>758</v>
      </c>
      <c r="D427" s="608">
        <v>37060</v>
      </c>
    </row>
    <row r="428" spans="1:4" ht="12.75">
      <c r="A428" s="521" t="s">
        <v>810</v>
      </c>
      <c r="B428" t="s">
        <v>803</v>
      </c>
      <c r="C428" t="s">
        <v>814</v>
      </c>
      <c r="D428" s="608">
        <v>37259</v>
      </c>
    </row>
    <row r="429" spans="1:4" ht="12.75">
      <c r="A429" s="66" t="s">
        <v>762</v>
      </c>
      <c r="B429" t="s">
        <v>757</v>
      </c>
      <c r="C429" t="s">
        <v>758</v>
      </c>
      <c r="D429" s="608">
        <v>37060</v>
      </c>
    </row>
    <row r="430" spans="1:4" ht="12.75">
      <c r="A430" s="66" t="s">
        <v>766</v>
      </c>
      <c r="B430" t="s">
        <v>757</v>
      </c>
      <c r="C430" t="s">
        <v>758</v>
      </c>
      <c r="D430" s="608">
        <v>37060</v>
      </c>
    </row>
    <row r="431" spans="1:4" ht="12.75">
      <c r="A431" s="66" t="s">
        <v>763</v>
      </c>
      <c r="B431" t="s">
        <v>757</v>
      </c>
      <c r="C431" t="s">
        <v>758</v>
      </c>
      <c r="D431" s="608">
        <v>37060</v>
      </c>
    </row>
    <row r="432" spans="1:4" ht="12.75">
      <c r="A432" s="66">
        <v>101</v>
      </c>
      <c r="B432" t="s">
        <v>434</v>
      </c>
      <c r="C432" t="s">
        <v>539</v>
      </c>
      <c r="D432" s="608">
        <v>37060</v>
      </c>
    </row>
    <row r="433" spans="1:4" ht="12.75">
      <c r="A433" s="66">
        <v>102</v>
      </c>
      <c r="B433" t="s">
        <v>434</v>
      </c>
      <c r="C433" t="s">
        <v>539</v>
      </c>
      <c r="D433" s="608">
        <v>37060</v>
      </c>
    </row>
    <row r="434" spans="1:4" ht="12.75">
      <c r="A434" s="66">
        <v>103</v>
      </c>
      <c r="B434" t="s">
        <v>434</v>
      </c>
      <c r="C434" t="s">
        <v>539</v>
      </c>
      <c r="D434" s="608">
        <v>37060</v>
      </c>
    </row>
    <row r="435" spans="1:4" ht="12.75">
      <c r="A435" s="66">
        <v>104</v>
      </c>
      <c r="B435" t="s">
        <v>434</v>
      </c>
      <c r="C435" t="s">
        <v>539</v>
      </c>
      <c r="D435" s="608">
        <v>37060</v>
      </c>
    </row>
    <row r="436" spans="1:4" ht="12.75">
      <c r="A436" s="521">
        <v>104</v>
      </c>
      <c r="B436" t="s">
        <v>806</v>
      </c>
      <c r="C436" t="s">
        <v>807</v>
      </c>
      <c r="D436" s="608">
        <v>37259</v>
      </c>
    </row>
    <row r="437" spans="1:4" ht="12.75">
      <c r="A437" s="66">
        <v>105</v>
      </c>
      <c r="B437" t="s">
        <v>434</v>
      </c>
      <c r="C437" t="s">
        <v>539</v>
      </c>
      <c r="D437" s="608">
        <v>37060</v>
      </c>
    </row>
    <row r="438" spans="1:4" ht="12.75">
      <c r="A438" s="521">
        <v>105</v>
      </c>
      <c r="B438" t="s">
        <v>806</v>
      </c>
      <c r="C438" t="s">
        <v>807</v>
      </c>
      <c r="D438" s="608">
        <v>37259</v>
      </c>
    </row>
    <row r="439" spans="1:4" ht="12.75">
      <c r="A439" s="66">
        <v>106</v>
      </c>
      <c r="B439" t="s">
        <v>434</v>
      </c>
      <c r="C439" t="s">
        <v>539</v>
      </c>
      <c r="D439" s="608">
        <v>37060</v>
      </c>
    </row>
    <row r="440" spans="1:4" ht="12.75">
      <c r="A440" s="521">
        <v>106</v>
      </c>
      <c r="B440" t="s">
        <v>806</v>
      </c>
      <c r="C440" t="s">
        <v>807</v>
      </c>
      <c r="D440" s="608">
        <v>37259</v>
      </c>
    </row>
    <row r="441" spans="1:4" ht="12.75">
      <c r="A441" s="521" t="s">
        <v>812</v>
      </c>
      <c r="B441" t="s">
        <v>803</v>
      </c>
      <c r="C441" t="s">
        <v>804</v>
      </c>
      <c r="D441" s="608">
        <v>37259</v>
      </c>
    </row>
    <row r="442" spans="1:4" ht="12.75">
      <c r="A442" s="521" t="s">
        <v>829</v>
      </c>
      <c r="B442" t="s">
        <v>825</v>
      </c>
      <c r="C442" t="s">
        <v>830</v>
      </c>
      <c r="D442" s="608">
        <v>37259</v>
      </c>
    </row>
    <row r="443" spans="1:3" ht="13.5" thickBot="1">
      <c r="A443" s="482" t="s">
        <v>180</v>
      </c>
      <c r="B443" s="482"/>
      <c r="C443" s="483"/>
    </row>
    <row r="444" spans="1:3" s="522" customFormat="1" ht="12.75">
      <c r="A444" s="504" t="s">
        <v>683</v>
      </c>
      <c r="B444" s="504" t="s">
        <v>684</v>
      </c>
      <c r="C444" s="504" t="s">
        <v>686</v>
      </c>
    </row>
    <row r="445" spans="1:3" s="522" customFormat="1" ht="12.75">
      <c r="A445" s="504" t="s">
        <v>389</v>
      </c>
      <c r="B445" s="504" t="s">
        <v>685</v>
      </c>
      <c r="C445" s="504" t="s">
        <v>686</v>
      </c>
    </row>
    <row r="446" spans="1:4" s="522" customFormat="1" ht="12.75">
      <c r="A446" s="504" t="s">
        <v>390</v>
      </c>
      <c r="B446" s="504" t="s">
        <v>688</v>
      </c>
      <c r="C446" s="504" t="s">
        <v>686</v>
      </c>
      <c r="D446" s="608">
        <v>37060</v>
      </c>
    </row>
    <row r="447" spans="1:4" s="522" customFormat="1" ht="12.75">
      <c r="A447" s="504" t="s">
        <v>391</v>
      </c>
      <c r="B447" s="504" t="s">
        <v>687</v>
      </c>
      <c r="C447" s="504" t="s">
        <v>686</v>
      </c>
      <c r="D447" s="608">
        <v>37060</v>
      </c>
    </row>
    <row r="448" spans="1:4" s="522" customFormat="1" ht="12.75">
      <c r="A448" s="504" t="s">
        <v>462</v>
      </c>
      <c r="B448" s="504" t="s">
        <v>793</v>
      </c>
      <c r="C448" s="504" t="s">
        <v>783</v>
      </c>
      <c r="D448" s="608">
        <v>37060</v>
      </c>
    </row>
    <row r="449" spans="1:4" s="522" customFormat="1" ht="12.75">
      <c r="A449" s="504" t="s">
        <v>414</v>
      </c>
      <c r="B449" s="504" t="s">
        <v>793</v>
      </c>
      <c r="C449" s="504" t="s">
        <v>783</v>
      </c>
      <c r="D449" s="608">
        <v>37060</v>
      </c>
    </row>
    <row r="450" spans="1:4" s="522" customFormat="1" ht="12.75">
      <c r="A450" s="504" t="s">
        <v>415</v>
      </c>
      <c r="B450" s="504" t="s">
        <v>793</v>
      </c>
      <c r="C450" s="504" t="s">
        <v>783</v>
      </c>
      <c r="D450" s="608">
        <v>37060</v>
      </c>
    </row>
    <row r="451" spans="1:4" s="522" customFormat="1" ht="12.75">
      <c r="A451" s="504" t="s">
        <v>423</v>
      </c>
      <c r="B451" s="504" t="s">
        <v>799</v>
      </c>
      <c r="C451" s="504" t="s">
        <v>783</v>
      </c>
      <c r="D451" s="608">
        <v>37060</v>
      </c>
    </row>
    <row r="452" spans="1:4" s="522" customFormat="1" ht="12.75">
      <c r="A452" s="504" t="s">
        <v>482</v>
      </c>
      <c r="B452" s="504" t="s">
        <v>795</v>
      </c>
      <c r="C452" s="504" t="s">
        <v>783</v>
      </c>
      <c r="D452" s="608">
        <v>37060</v>
      </c>
    </row>
    <row r="453" spans="1:4" s="522" customFormat="1" ht="12.75">
      <c r="A453" s="504" t="s">
        <v>797</v>
      </c>
      <c r="B453" s="504" t="s">
        <v>796</v>
      </c>
      <c r="C453" s="504" t="s">
        <v>783</v>
      </c>
      <c r="D453" s="608">
        <v>37060</v>
      </c>
    </row>
    <row r="454" spans="1:4" s="522" customFormat="1" ht="12.75">
      <c r="A454" s="504" t="s">
        <v>798</v>
      </c>
      <c r="B454" s="504" t="s">
        <v>795</v>
      </c>
      <c r="C454" s="504" t="s">
        <v>783</v>
      </c>
      <c r="D454" s="608">
        <v>37060</v>
      </c>
    </row>
    <row r="455" spans="1:3" s="522" customFormat="1" ht="12.75">
      <c r="A455" s="504" t="s">
        <v>689</v>
      </c>
      <c r="B455" t="s">
        <v>563</v>
      </c>
      <c r="C455" t="s">
        <v>566</v>
      </c>
    </row>
    <row r="456" spans="1:3" s="522" customFormat="1" ht="12.75">
      <c r="A456" s="504" t="s">
        <v>690</v>
      </c>
      <c r="B456" t="s">
        <v>565</v>
      </c>
      <c r="C456" t="s">
        <v>566</v>
      </c>
    </row>
    <row r="457" spans="1:3" s="522" customFormat="1" ht="12.75">
      <c r="A457" s="504" t="s">
        <v>691</v>
      </c>
      <c r="B457" t="s">
        <v>563</v>
      </c>
      <c r="C457" t="s">
        <v>566</v>
      </c>
    </row>
    <row r="458" spans="1:3" s="522" customFormat="1" ht="12.75">
      <c r="A458" s="504" t="s">
        <v>692</v>
      </c>
      <c r="B458" t="s">
        <v>565</v>
      </c>
      <c r="C458" t="s">
        <v>566</v>
      </c>
    </row>
    <row r="459" spans="1:4" s="522" customFormat="1" ht="12.75">
      <c r="A459" s="504" t="s">
        <v>669</v>
      </c>
      <c r="B459" s="504" t="s">
        <v>782</v>
      </c>
      <c r="C459" s="504" t="s">
        <v>783</v>
      </c>
      <c r="D459" s="608">
        <v>37060</v>
      </c>
    </row>
    <row r="460" spans="1:4" s="522" customFormat="1" ht="12.75">
      <c r="A460" s="504" t="s">
        <v>670</v>
      </c>
      <c r="B460" s="504" t="s">
        <v>784</v>
      </c>
      <c r="C460" s="504" t="s">
        <v>783</v>
      </c>
      <c r="D460" s="608">
        <v>37060</v>
      </c>
    </row>
    <row r="461" spans="1:4" s="522" customFormat="1" ht="12.75">
      <c r="A461" s="504" t="s">
        <v>785</v>
      </c>
      <c r="B461" s="504" t="s">
        <v>786</v>
      </c>
      <c r="C461" s="504" t="s">
        <v>783</v>
      </c>
      <c r="D461" s="608">
        <v>37060</v>
      </c>
    </row>
    <row r="462" spans="1:4" s="522" customFormat="1" ht="12.75">
      <c r="A462" s="504" t="s">
        <v>693</v>
      </c>
      <c r="B462" s="504" t="s">
        <v>787</v>
      </c>
      <c r="C462" s="504" t="s">
        <v>783</v>
      </c>
      <c r="D462" s="608">
        <v>37060</v>
      </c>
    </row>
    <row r="463" spans="1:4" ht="12.75">
      <c r="A463" s="504" t="s">
        <v>454</v>
      </c>
      <c r="B463" s="504" t="s">
        <v>537</v>
      </c>
      <c r="C463" t="s">
        <v>521</v>
      </c>
      <c r="D463" s="608">
        <v>37060</v>
      </c>
    </row>
    <row r="464" spans="1:4" ht="12.75">
      <c r="A464" s="504" t="s">
        <v>455</v>
      </c>
      <c r="B464" s="504" t="s">
        <v>537</v>
      </c>
      <c r="C464" t="s">
        <v>521</v>
      </c>
      <c r="D464" s="608">
        <v>37060</v>
      </c>
    </row>
    <row r="465" spans="1:4" ht="12.75">
      <c r="A465" s="504" t="s">
        <v>456</v>
      </c>
      <c r="B465" s="504" t="s">
        <v>537</v>
      </c>
      <c r="C465" t="s">
        <v>521</v>
      </c>
      <c r="D465" s="608">
        <v>37060</v>
      </c>
    </row>
    <row r="466" spans="1:3" ht="12.75">
      <c r="A466" s="504" t="s">
        <v>457</v>
      </c>
      <c r="B466" s="504" t="s">
        <v>520</v>
      </c>
      <c r="C466" t="s">
        <v>521</v>
      </c>
    </row>
    <row r="467" spans="1:3" ht="12.75">
      <c r="A467" s="504" t="s">
        <v>694</v>
      </c>
      <c r="B467" t="s">
        <v>563</v>
      </c>
      <c r="C467" t="s">
        <v>566</v>
      </c>
    </row>
    <row r="468" spans="1:3" ht="12.75">
      <c r="A468" s="504" t="s">
        <v>695</v>
      </c>
      <c r="B468" t="s">
        <v>565</v>
      </c>
      <c r="C468" t="s">
        <v>566</v>
      </c>
    </row>
    <row r="469" spans="1:3" ht="12.75">
      <c r="A469" s="504" t="s">
        <v>581</v>
      </c>
      <c r="B469" t="s">
        <v>738</v>
      </c>
      <c r="C469" t="s">
        <v>549</v>
      </c>
    </row>
    <row r="470" spans="1:4" ht="12.75">
      <c r="A470" s="504" t="s">
        <v>442</v>
      </c>
      <c r="B470" t="s">
        <v>738</v>
      </c>
      <c r="C470" t="s">
        <v>549</v>
      </c>
      <c r="D470" s="608">
        <v>37060</v>
      </c>
    </row>
    <row r="471" spans="1:4" ht="12.75">
      <c r="A471" s="504" t="s">
        <v>443</v>
      </c>
      <c r="B471" t="s">
        <v>738</v>
      </c>
      <c r="C471" t="s">
        <v>549</v>
      </c>
      <c r="D471" s="608">
        <v>37060</v>
      </c>
    </row>
    <row r="472" spans="1:4" ht="12.75">
      <c r="A472" t="s">
        <v>444</v>
      </c>
      <c r="B472" t="s">
        <v>450</v>
      </c>
      <c r="C472" t="s">
        <v>464</v>
      </c>
      <c r="D472" s="608">
        <v>37060</v>
      </c>
    </row>
    <row r="473" spans="1:4" ht="12.75">
      <c r="A473" t="s">
        <v>445</v>
      </c>
      <c r="B473" t="s">
        <v>451</v>
      </c>
      <c r="C473" t="s">
        <v>464</v>
      </c>
      <c r="D473" s="608">
        <v>37060</v>
      </c>
    </row>
    <row r="474" spans="1:3" ht="12.75">
      <c r="A474" t="s">
        <v>736</v>
      </c>
      <c r="B474" t="s">
        <v>452</v>
      </c>
      <c r="C474" t="s">
        <v>464</v>
      </c>
    </row>
    <row r="475" spans="1:3" ht="12.75">
      <c r="A475" t="s">
        <v>737</v>
      </c>
      <c r="B475" t="s">
        <v>453</v>
      </c>
      <c r="C475" t="s">
        <v>464</v>
      </c>
    </row>
    <row r="476" spans="1:3" ht="12.75">
      <c r="A476" t="s">
        <v>623</v>
      </c>
      <c r="B476" t="s">
        <v>696</v>
      </c>
      <c r="C476" t="s">
        <v>673</v>
      </c>
    </row>
    <row r="477" spans="1:3" ht="12.75">
      <c r="A477" t="s">
        <v>697</v>
      </c>
      <c r="B477" t="s">
        <v>700</v>
      </c>
      <c r="C477" t="s">
        <v>674</v>
      </c>
    </row>
    <row r="478" spans="1:3" ht="12.75">
      <c r="A478" t="s">
        <v>503</v>
      </c>
      <c r="B478" t="s">
        <v>700</v>
      </c>
      <c r="C478" t="s">
        <v>674</v>
      </c>
    </row>
    <row r="479" spans="1:3" ht="12.75">
      <c r="A479" t="s">
        <v>504</v>
      </c>
      <c r="B479" t="s">
        <v>700</v>
      </c>
      <c r="C479" t="s">
        <v>674</v>
      </c>
    </row>
    <row r="480" spans="1:3" ht="12.75">
      <c r="A480" t="s">
        <v>505</v>
      </c>
      <c r="B480" t="s">
        <v>701</v>
      </c>
      <c r="C480" t="s">
        <v>464</v>
      </c>
    </row>
    <row r="481" spans="1:3" ht="12.75">
      <c r="A481" t="s">
        <v>506</v>
      </c>
      <c r="B481" t="s">
        <v>702</v>
      </c>
      <c r="C481" t="s">
        <v>464</v>
      </c>
    </row>
    <row r="482" spans="1:3" ht="12.75">
      <c r="A482" t="s">
        <v>698</v>
      </c>
      <c r="B482" t="s">
        <v>703</v>
      </c>
      <c r="C482" t="s">
        <v>464</v>
      </c>
    </row>
    <row r="483" spans="1:3" ht="12.75">
      <c r="A483" t="s">
        <v>699</v>
      </c>
      <c r="B483" t="s">
        <v>704</v>
      </c>
      <c r="C483" t="s">
        <v>464</v>
      </c>
    </row>
    <row r="484" spans="1:3" ht="12.75">
      <c r="A484" t="s">
        <v>705</v>
      </c>
      <c r="B484" t="s">
        <v>563</v>
      </c>
      <c r="C484" t="s">
        <v>566</v>
      </c>
    </row>
    <row r="485" spans="1:3" ht="12.75">
      <c r="A485" t="s">
        <v>706</v>
      </c>
      <c r="B485" t="s">
        <v>565</v>
      </c>
      <c r="C485" t="s">
        <v>566</v>
      </c>
    </row>
    <row r="486" spans="1:4" ht="12.75">
      <c r="A486" t="s">
        <v>406</v>
      </c>
      <c r="B486" s="504" t="s">
        <v>515</v>
      </c>
      <c r="C486" t="s">
        <v>464</v>
      </c>
      <c r="D486" s="608">
        <v>37060</v>
      </c>
    </row>
    <row r="487" spans="1:4" ht="12.75">
      <c r="A487" t="s">
        <v>407</v>
      </c>
      <c r="B487" t="s">
        <v>516</v>
      </c>
      <c r="C487" t="s">
        <v>464</v>
      </c>
      <c r="D487" s="608">
        <v>37060</v>
      </c>
    </row>
    <row r="488" spans="1:4" ht="12.75">
      <c r="A488" t="s">
        <v>408</v>
      </c>
      <c r="B488" t="s">
        <v>517</v>
      </c>
      <c r="C488" t="s">
        <v>464</v>
      </c>
      <c r="D488" s="608">
        <v>37060</v>
      </c>
    </row>
    <row r="489" spans="1:4" ht="12.75">
      <c r="A489" t="s">
        <v>409</v>
      </c>
      <c r="B489" t="s">
        <v>518</v>
      </c>
      <c r="C489" t="s">
        <v>464</v>
      </c>
      <c r="D489" s="608">
        <v>37060</v>
      </c>
    </row>
    <row r="490" spans="1:4" ht="12.75">
      <c r="A490" t="s">
        <v>463</v>
      </c>
      <c r="B490" t="s">
        <v>519</v>
      </c>
      <c r="C490" t="s">
        <v>464</v>
      </c>
      <c r="D490" s="608">
        <v>37060</v>
      </c>
    </row>
    <row r="491" spans="1:4" ht="12.75">
      <c r="A491" t="s">
        <v>479</v>
      </c>
      <c r="B491" t="s">
        <v>519</v>
      </c>
      <c r="C491" t="s">
        <v>464</v>
      </c>
      <c r="D491" s="608">
        <v>37060</v>
      </c>
    </row>
    <row r="492" spans="1:4" ht="12.75">
      <c r="A492" t="s">
        <v>478</v>
      </c>
      <c r="B492" t="s">
        <v>519</v>
      </c>
      <c r="C492" t="s">
        <v>464</v>
      </c>
      <c r="D492" s="608">
        <v>37060</v>
      </c>
    </row>
    <row r="493" spans="1:3" ht="12.75">
      <c r="A493" t="s">
        <v>480</v>
      </c>
      <c r="B493" t="s">
        <v>593</v>
      </c>
      <c r="C493" t="s">
        <v>636</v>
      </c>
    </row>
    <row r="494" spans="1:4" ht="12.75">
      <c r="A494" t="s">
        <v>481</v>
      </c>
      <c r="B494" s="504" t="s">
        <v>522</v>
      </c>
      <c r="C494" t="s">
        <v>464</v>
      </c>
      <c r="D494" s="608">
        <v>37060</v>
      </c>
    </row>
    <row r="495" spans="1:3" ht="12.75">
      <c r="A495" t="s">
        <v>707</v>
      </c>
      <c r="B495" s="504" t="s">
        <v>594</v>
      </c>
      <c r="C495" t="s">
        <v>636</v>
      </c>
    </row>
    <row r="496" spans="1:3" ht="12.75">
      <c r="A496" t="s">
        <v>708</v>
      </c>
      <c r="B496" s="504" t="s">
        <v>595</v>
      </c>
      <c r="C496" t="s">
        <v>596</v>
      </c>
    </row>
    <row r="497" spans="1:4" ht="12.75">
      <c r="A497" t="s">
        <v>396</v>
      </c>
      <c r="B497" t="s">
        <v>365</v>
      </c>
      <c r="C497" t="s">
        <v>538</v>
      </c>
      <c r="D497" s="608">
        <v>37060</v>
      </c>
    </row>
    <row r="498" spans="1:4" ht="12.75">
      <c r="A498" t="s">
        <v>397</v>
      </c>
      <c r="B498" t="s">
        <v>382</v>
      </c>
      <c r="C498" t="s">
        <v>538</v>
      </c>
      <c r="D498" s="608">
        <v>37060</v>
      </c>
    </row>
    <row r="499" spans="1:4" ht="12.75">
      <c r="A499" t="s">
        <v>398</v>
      </c>
      <c r="B499" t="s">
        <v>383</v>
      </c>
      <c r="C499" t="s">
        <v>538</v>
      </c>
      <c r="D499" s="608">
        <v>37060</v>
      </c>
    </row>
    <row r="500" spans="1:4" ht="12.75">
      <c r="A500" t="s">
        <v>399</v>
      </c>
      <c r="B500" t="s">
        <v>370</v>
      </c>
      <c r="C500" t="s">
        <v>538</v>
      </c>
      <c r="D500" s="608">
        <v>37060</v>
      </c>
    </row>
    <row r="501" spans="1:4" ht="12.75">
      <c r="A501" t="s">
        <v>400</v>
      </c>
      <c r="B501" t="s">
        <v>372</v>
      </c>
      <c r="C501" t="s">
        <v>538</v>
      </c>
      <c r="D501" s="608">
        <v>37060</v>
      </c>
    </row>
    <row r="502" spans="1:4" ht="12.75">
      <c r="A502" t="s">
        <v>401</v>
      </c>
      <c r="B502" t="s">
        <v>374</v>
      </c>
      <c r="C502" t="s">
        <v>538</v>
      </c>
      <c r="D502" s="608">
        <v>37060</v>
      </c>
    </row>
    <row r="503" spans="1:4" ht="12.75">
      <c r="A503" t="s">
        <v>402</v>
      </c>
      <c r="B503" t="s">
        <v>376</v>
      </c>
      <c r="C503" t="s">
        <v>538</v>
      </c>
      <c r="D503" s="608">
        <v>37060</v>
      </c>
    </row>
    <row r="504" spans="1:4" ht="12.75">
      <c r="A504" t="s">
        <v>403</v>
      </c>
      <c r="B504" t="s">
        <v>379</v>
      </c>
      <c r="C504" t="s">
        <v>538</v>
      </c>
      <c r="D504" s="608">
        <v>37060</v>
      </c>
    </row>
    <row r="505" spans="1:4" ht="12.75">
      <c r="A505" t="s">
        <v>404</v>
      </c>
      <c r="B505" t="s">
        <v>380</v>
      </c>
      <c r="C505" t="s">
        <v>538</v>
      </c>
      <c r="D505" s="608">
        <v>37060</v>
      </c>
    </row>
    <row r="506" spans="1:4" ht="12.75">
      <c r="A506" t="s">
        <v>459</v>
      </c>
      <c r="B506" t="s">
        <v>483</v>
      </c>
      <c r="C506" t="s">
        <v>465</v>
      </c>
      <c r="D506" s="608">
        <v>37060</v>
      </c>
    </row>
    <row r="507" spans="1:4" ht="12.75">
      <c r="A507" t="s">
        <v>460</v>
      </c>
      <c r="B507" t="s">
        <v>483</v>
      </c>
      <c r="C507" t="s">
        <v>465</v>
      </c>
      <c r="D507" s="608">
        <v>37060</v>
      </c>
    </row>
    <row r="508" spans="1:4" ht="12.75">
      <c r="A508" t="s">
        <v>458</v>
      </c>
      <c r="B508" t="s">
        <v>483</v>
      </c>
      <c r="C508" t="s">
        <v>465</v>
      </c>
      <c r="D508" s="608">
        <v>37060</v>
      </c>
    </row>
    <row r="509" spans="1:4" ht="12.75">
      <c r="A509" t="s">
        <v>472</v>
      </c>
      <c r="B509" t="s">
        <v>473</v>
      </c>
      <c r="C509" t="s">
        <v>464</v>
      </c>
      <c r="D509" s="608">
        <v>37060</v>
      </c>
    </row>
    <row r="510" spans="1:4" ht="12.75">
      <c r="A510" t="s">
        <v>461</v>
      </c>
      <c r="B510" t="s">
        <v>486</v>
      </c>
      <c r="C510" t="s">
        <v>465</v>
      </c>
      <c r="D510" s="608">
        <v>37060</v>
      </c>
    </row>
    <row r="511" spans="1:4" ht="12.75">
      <c r="A511" t="s">
        <v>474</v>
      </c>
      <c r="B511" t="s">
        <v>476</v>
      </c>
      <c r="C511" t="s">
        <v>464</v>
      </c>
      <c r="D511" s="608">
        <v>37060</v>
      </c>
    </row>
    <row r="512" spans="1:4" ht="12.75">
      <c r="A512" t="s">
        <v>475</v>
      </c>
      <c r="B512" t="s">
        <v>477</v>
      </c>
      <c r="C512" t="s">
        <v>464</v>
      </c>
      <c r="D512" s="608">
        <v>37060</v>
      </c>
    </row>
    <row r="513" spans="1:3" ht="12.75">
      <c r="A513" t="s">
        <v>709</v>
      </c>
      <c r="B513" t="s">
        <v>600</v>
      </c>
      <c r="C513" t="s">
        <v>492</v>
      </c>
    </row>
    <row r="514" spans="1:3" ht="12.75">
      <c r="A514" t="s">
        <v>710</v>
      </c>
      <c r="B514" t="s">
        <v>685</v>
      </c>
      <c r="C514" s="504" t="s">
        <v>686</v>
      </c>
    </row>
    <row r="515" spans="1:3" ht="12.75">
      <c r="A515" t="s">
        <v>711</v>
      </c>
      <c r="B515" t="s">
        <v>687</v>
      </c>
      <c r="C515" s="504" t="s">
        <v>686</v>
      </c>
    </row>
    <row r="516" spans="1:3" ht="12.75">
      <c r="A516" t="s">
        <v>712</v>
      </c>
      <c r="B516" t="s">
        <v>688</v>
      </c>
      <c r="C516" s="504" t="s">
        <v>686</v>
      </c>
    </row>
    <row r="517" spans="1:3" ht="25.5">
      <c r="A517" t="s">
        <v>714</v>
      </c>
      <c r="B517" t="s">
        <v>717</v>
      </c>
      <c r="C517" s="557" t="s">
        <v>720</v>
      </c>
    </row>
    <row r="518" spans="1:3" ht="25.5">
      <c r="A518" t="s">
        <v>715</v>
      </c>
      <c r="B518" t="s">
        <v>718</v>
      </c>
      <c r="C518" s="557" t="s">
        <v>720</v>
      </c>
    </row>
    <row r="519" spans="1:3" ht="25.5">
      <c r="A519" t="s">
        <v>716</v>
      </c>
      <c r="B519" t="s">
        <v>719</v>
      </c>
      <c r="C519" s="557" t="s">
        <v>720</v>
      </c>
    </row>
    <row r="520" spans="1:3" ht="25.5">
      <c r="A520" t="s">
        <v>713</v>
      </c>
      <c r="B520" t="s">
        <v>717</v>
      </c>
      <c r="C520" s="557" t="s">
        <v>720</v>
      </c>
    </row>
    <row r="521" spans="1:3" ht="12.75">
      <c r="A521" t="s">
        <v>721</v>
      </c>
      <c r="B521" t="s">
        <v>563</v>
      </c>
      <c r="C521" t="s">
        <v>566</v>
      </c>
    </row>
    <row r="522" spans="1:3" ht="12.75">
      <c r="A522" t="s">
        <v>722</v>
      </c>
      <c r="B522" t="s">
        <v>565</v>
      </c>
      <c r="C522" t="s">
        <v>566</v>
      </c>
    </row>
    <row r="523" spans="1:3" ht="12.75">
      <c r="A523" t="s">
        <v>723</v>
      </c>
      <c r="B523" t="s">
        <v>563</v>
      </c>
      <c r="C523" t="s">
        <v>566</v>
      </c>
    </row>
    <row r="524" spans="1:3" ht="12.75">
      <c r="A524" t="s">
        <v>724</v>
      </c>
      <c r="B524" t="s">
        <v>565</v>
      </c>
      <c r="C524" t="s">
        <v>566</v>
      </c>
    </row>
    <row r="525" spans="1:4" ht="12.75">
      <c r="A525" t="s">
        <v>428</v>
      </c>
      <c r="B525" t="s">
        <v>436</v>
      </c>
      <c r="C525" t="s">
        <v>540</v>
      </c>
      <c r="D525" s="608">
        <v>37060</v>
      </c>
    </row>
    <row r="526" spans="1:4" ht="12.75">
      <c r="A526" t="s">
        <v>429</v>
      </c>
      <c r="B526" t="s">
        <v>437</v>
      </c>
      <c r="C526" t="s">
        <v>540</v>
      </c>
      <c r="D526" s="608">
        <v>37060</v>
      </c>
    </row>
    <row r="527" spans="1:4" ht="12.75">
      <c r="A527" t="s">
        <v>430</v>
      </c>
      <c r="B527" t="s">
        <v>438</v>
      </c>
      <c r="C527" t="s">
        <v>540</v>
      </c>
      <c r="D527" s="608">
        <v>37060</v>
      </c>
    </row>
    <row r="528" spans="1:3" ht="12.75">
      <c r="A528" t="s">
        <v>725</v>
      </c>
      <c r="B528" t="s">
        <v>565</v>
      </c>
      <c r="C528" t="s">
        <v>566</v>
      </c>
    </row>
    <row r="529" spans="1:3" ht="12.75">
      <c r="A529" t="s">
        <v>726</v>
      </c>
      <c r="B529" t="s">
        <v>727</v>
      </c>
      <c r="C529" s="504" t="s">
        <v>686</v>
      </c>
    </row>
    <row r="530" spans="1:3" ht="12.75">
      <c r="A530" t="s">
        <v>728</v>
      </c>
      <c r="B530" t="s">
        <v>563</v>
      </c>
      <c r="C530" t="s">
        <v>566</v>
      </c>
    </row>
    <row r="531" spans="1:3" ht="12.75">
      <c r="A531" t="s">
        <v>729</v>
      </c>
      <c r="B531" t="s">
        <v>565</v>
      </c>
      <c r="C531" t="s">
        <v>566</v>
      </c>
    </row>
    <row r="532" spans="1:3" ht="12.75">
      <c r="A532" t="s">
        <v>732</v>
      </c>
      <c r="B532" t="s">
        <v>733</v>
      </c>
      <c r="C532" s="504" t="s">
        <v>686</v>
      </c>
    </row>
    <row r="533" spans="1:4" ht="12.75">
      <c r="A533" t="s">
        <v>730</v>
      </c>
      <c r="B533" t="s">
        <v>734</v>
      </c>
      <c r="C533" s="504" t="s">
        <v>686</v>
      </c>
      <c r="D533" s="608">
        <v>37060</v>
      </c>
    </row>
    <row r="534" spans="1:4" ht="12.75">
      <c r="A534" t="s">
        <v>731</v>
      </c>
      <c r="B534" t="s">
        <v>735</v>
      </c>
      <c r="C534" s="504" t="s">
        <v>686</v>
      </c>
      <c r="D534" s="608">
        <v>37060</v>
      </c>
    </row>
    <row r="535" spans="1:4" ht="12.75">
      <c r="A535" s="66">
        <v>95</v>
      </c>
      <c r="B535" t="s">
        <v>757</v>
      </c>
      <c r="C535" t="s">
        <v>758</v>
      </c>
      <c r="D535" s="608">
        <v>37060</v>
      </c>
    </row>
    <row r="536" spans="1:4" ht="12.75">
      <c r="A536" s="521" t="s">
        <v>820</v>
      </c>
      <c r="B536" t="s">
        <v>803</v>
      </c>
      <c r="C536" t="s">
        <v>804</v>
      </c>
      <c r="D536" s="608">
        <v>37259</v>
      </c>
    </row>
    <row r="537" spans="1:4" ht="12.75">
      <c r="A537" s="66">
        <v>96</v>
      </c>
      <c r="B537" t="s">
        <v>759</v>
      </c>
      <c r="C537" t="s">
        <v>758</v>
      </c>
      <c r="D537" s="608">
        <v>37060</v>
      </c>
    </row>
    <row r="538" spans="1:4" ht="12.75">
      <c r="A538" s="521" t="s">
        <v>821</v>
      </c>
      <c r="B538" t="s">
        <v>803</v>
      </c>
      <c r="C538" t="s">
        <v>814</v>
      </c>
      <c r="D538" s="608">
        <v>37259</v>
      </c>
    </row>
    <row r="539" spans="1:4" ht="12.75">
      <c r="A539" t="s">
        <v>771</v>
      </c>
      <c r="B539" t="s">
        <v>757</v>
      </c>
      <c r="C539" t="s">
        <v>758</v>
      </c>
      <c r="D539" s="608">
        <v>37060</v>
      </c>
    </row>
    <row r="540" spans="1:4" ht="12.75">
      <c r="A540" t="s">
        <v>772</v>
      </c>
      <c r="B540" t="s">
        <v>757</v>
      </c>
      <c r="C540" t="s">
        <v>758</v>
      </c>
      <c r="D540" s="608">
        <v>37060</v>
      </c>
    </row>
    <row r="541" spans="1:4" ht="12.75">
      <c r="A541" t="s">
        <v>773</v>
      </c>
      <c r="B541" t="s">
        <v>757</v>
      </c>
      <c r="C541" t="s">
        <v>758</v>
      </c>
      <c r="D541" s="608">
        <v>37060</v>
      </c>
    </row>
    <row r="542" spans="1:4" ht="12.75">
      <c r="A542" s="66">
        <v>114</v>
      </c>
      <c r="B542" t="s">
        <v>434</v>
      </c>
      <c r="C542" t="s">
        <v>539</v>
      </c>
      <c r="D542" s="608">
        <v>37060</v>
      </c>
    </row>
    <row r="543" spans="1:4" ht="12.75">
      <c r="A543" s="66">
        <v>115</v>
      </c>
      <c r="B543" t="s">
        <v>434</v>
      </c>
      <c r="C543" t="s">
        <v>539</v>
      </c>
      <c r="D543" s="608">
        <v>37060</v>
      </c>
    </row>
    <row r="544" spans="1:4" ht="12.75">
      <c r="A544" s="66">
        <v>116</v>
      </c>
      <c r="B544" t="s">
        <v>434</v>
      </c>
      <c r="C544" t="s">
        <v>539</v>
      </c>
      <c r="D544" s="608">
        <v>37060</v>
      </c>
    </row>
    <row r="545" spans="1:4" ht="12.75">
      <c r="A545" s="66">
        <v>117</v>
      </c>
      <c r="B545" t="s">
        <v>434</v>
      </c>
      <c r="C545" t="s">
        <v>539</v>
      </c>
      <c r="D545" s="608">
        <v>37060</v>
      </c>
    </row>
    <row r="546" spans="1:4" ht="12.75">
      <c r="A546" s="521">
        <v>117</v>
      </c>
      <c r="B546" t="s">
        <v>806</v>
      </c>
      <c r="C546" t="s">
        <v>807</v>
      </c>
      <c r="D546" s="608">
        <v>37259</v>
      </c>
    </row>
    <row r="547" spans="1:4" ht="12.75">
      <c r="A547" s="66">
        <v>118</v>
      </c>
      <c r="B547" t="s">
        <v>434</v>
      </c>
      <c r="C547" t="s">
        <v>539</v>
      </c>
      <c r="D547" s="608">
        <v>37060</v>
      </c>
    </row>
    <row r="548" spans="1:4" ht="12.75">
      <c r="A548" s="521">
        <v>118</v>
      </c>
      <c r="B548" t="s">
        <v>806</v>
      </c>
      <c r="C548" t="s">
        <v>807</v>
      </c>
      <c r="D548" s="608">
        <v>37259</v>
      </c>
    </row>
    <row r="549" spans="1:4" ht="12.75">
      <c r="A549" s="66">
        <v>119</v>
      </c>
      <c r="B549" t="s">
        <v>434</v>
      </c>
      <c r="C549" t="s">
        <v>539</v>
      </c>
      <c r="D549" s="608">
        <v>37060</v>
      </c>
    </row>
    <row r="550" spans="1:4" ht="12.75">
      <c r="A550" s="521">
        <v>119</v>
      </c>
      <c r="B550" t="s">
        <v>806</v>
      </c>
      <c r="C550" t="s">
        <v>807</v>
      </c>
      <c r="D550" s="608">
        <v>37259</v>
      </c>
    </row>
    <row r="551" spans="1:4" ht="12.75">
      <c r="A551" s="521" t="s">
        <v>822</v>
      </c>
      <c r="B551" t="s">
        <v>803</v>
      </c>
      <c r="C551" t="s">
        <v>804</v>
      </c>
      <c r="D551" s="608">
        <v>37259</v>
      </c>
    </row>
    <row r="552" spans="1:4" ht="12.75">
      <c r="A552" s="521" t="s">
        <v>833</v>
      </c>
      <c r="B552" t="s">
        <v>825</v>
      </c>
      <c r="C552" t="s">
        <v>834</v>
      </c>
      <c r="D552" s="608">
        <v>37259</v>
      </c>
    </row>
    <row r="553" spans="1:3" ht="13.5" thickBot="1">
      <c r="A553" s="482" t="s">
        <v>188</v>
      </c>
      <c r="B553" s="482"/>
      <c r="C553" s="483"/>
    </row>
    <row r="554" spans="1:3" s="522" customFormat="1" ht="12.75">
      <c r="A554" s="504" t="s">
        <v>388</v>
      </c>
      <c r="B554" t="s">
        <v>563</v>
      </c>
      <c r="C554" t="s">
        <v>566</v>
      </c>
    </row>
    <row r="555" spans="1:3" s="522" customFormat="1" ht="12.75">
      <c r="A555" s="504" t="s">
        <v>389</v>
      </c>
      <c r="B555" t="s">
        <v>565</v>
      </c>
      <c r="C555" t="s">
        <v>566</v>
      </c>
    </row>
    <row r="556" spans="1:3" s="522" customFormat="1" ht="12.75">
      <c r="A556" s="504" t="s">
        <v>482</v>
      </c>
      <c r="B556" t="s">
        <v>565</v>
      </c>
      <c r="C556" t="s">
        <v>566</v>
      </c>
    </row>
    <row r="557" spans="1:3" s="522" customFormat="1" ht="12.75">
      <c r="A557" s="504" t="s">
        <v>576</v>
      </c>
      <c r="B557" t="s">
        <v>563</v>
      </c>
      <c r="C557" t="s">
        <v>566</v>
      </c>
    </row>
    <row r="558" spans="1:3" s="522" customFormat="1" ht="12.75">
      <c r="A558" s="504" t="s">
        <v>577</v>
      </c>
      <c r="B558" t="s">
        <v>565</v>
      </c>
      <c r="C558" t="s">
        <v>566</v>
      </c>
    </row>
    <row r="559" spans="1:3" s="522" customFormat="1" ht="12.75">
      <c r="A559" s="504" t="s">
        <v>578</v>
      </c>
      <c r="B559" t="s">
        <v>563</v>
      </c>
      <c r="C559" t="s">
        <v>566</v>
      </c>
    </row>
    <row r="560" spans="1:3" s="522" customFormat="1" ht="12.75">
      <c r="A560" s="504" t="s">
        <v>579</v>
      </c>
      <c r="B560" t="s">
        <v>565</v>
      </c>
      <c r="C560" t="s">
        <v>566</v>
      </c>
    </row>
    <row r="561" spans="1:3" s="522" customFormat="1" ht="12.75">
      <c r="A561" s="504" t="s">
        <v>422</v>
      </c>
      <c r="B561" t="s">
        <v>563</v>
      </c>
      <c r="C561" t="s">
        <v>566</v>
      </c>
    </row>
    <row r="562" spans="1:3" s="522" customFormat="1" ht="12.75">
      <c r="A562" s="504" t="s">
        <v>580</v>
      </c>
      <c r="B562" t="s">
        <v>565</v>
      </c>
      <c r="C562" t="s">
        <v>566</v>
      </c>
    </row>
    <row r="563" spans="1:4" ht="12.75">
      <c r="A563" s="504" t="s">
        <v>454</v>
      </c>
      <c r="B563" s="504" t="s">
        <v>537</v>
      </c>
      <c r="C563" t="s">
        <v>521</v>
      </c>
      <c r="D563" s="608">
        <v>37060</v>
      </c>
    </row>
    <row r="564" spans="1:4" ht="12.75">
      <c r="A564" s="504" t="s">
        <v>456</v>
      </c>
      <c r="B564" s="504" t="s">
        <v>520</v>
      </c>
      <c r="C564" t="s">
        <v>521</v>
      </c>
      <c r="D564" s="608">
        <v>37060</v>
      </c>
    </row>
    <row r="565" spans="1:3" ht="12.75">
      <c r="A565" s="504" t="s">
        <v>581</v>
      </c>
      <c r="B565" t="s">
        <v>738</v>
      </c>
      <c r="C565" t="s">
        <v>549</v>
      </c>
    </row>
    <row r="566" spans="1:4" ht="12.75">
      <c r="A566" t="s">
        <v>442</v>
      </c>
      <c r="B566" t="s">
        <v>450</v>
      </c>
      <c r="C566" t="s">
        <v>464</v>
      </c>
      <c r="D566" s="608">
        <v>37060</v>
      </c>
    </row>
    <row r="567" spans="1:4" ht="12.75">
      <c r="A567" t="s">
        <v>443</v>
      </c>
      <c r="B567" t="s">
        <v>451</v>
      </c>
      <c r="C567" t="s">
        <v>464</v>
      </c>
      <c r="D567" s="608">
        <v>37060</v>
      </c>
    </row>
    <row r="568" spans="1:4" ht="12.75">
      <c r="A568" t="s">
        <v>444</v>
      </c>
      <c r="B568" t="s">
        <v>452</v>
      </c>
      <c r="C568" t="s">
        <v>464</v>
      </c>
      <c r="D568" s="608">
        <v>37060</v>
      </c>
    </row>
    <row r="569" spans="1:4" ht="12.75">
      <c r="A569" t="s">
        <v>445</v>
      </c>
      <c r="B569" t="s">
        <v>453</v>
      </c>
      <c r="C569" t="s">
        <v>464</v>
      </c>
      <c r="D569" s="608">
        <v>37060</v>
      </c>
    </row>
    <row r="570" spans="1:3" ht="12.75">
      <c r="A570" t="s">
        <v>739</v>
      </c>
      <c r="B570" t="s">
        <v>563</v>
      </c>
      <c r="C570" t="s">
        <v>566</v>
      </c>
    </row>
    <row r="571" spans="1:3" ht="12.75">
      <c r="A571" t="s">
        <v>740</v>
      </c>
      <c r="B571" t="s">
        <v>565</v>
      </c>
      <c r="C571" t="s">
        <v>566</v>
      </c>
    </row>
    <row r="572" spans="1:3" ht="12.75">
      <c r="A572" t="s">
        <v>583</v>
      </c>
      <c r="B572" t="s">
        <v>741</v>
      </c>
      <c r="C572" t="s">
        <v>673</v>
      </c>
    </row>
    <row r="573" spans="1:4" ht="12.75">
      <c r="A573" t="s">
        <v>503</v>
      </c>
      <c r="B573" s="504" t="s">
        <v>523</v>
      </c>
      <c r="C573" t="s">
        <v>464</v>
      </c>
      <c r="D573" s="608">
        <v>37060</v>
      </c>
    </row>
    <row r="574" spans="1:4" ht="12.75">
      <c r="A574" t="s">
        <v>504</v>
      </c>
      <c r="B574" t="s">
        <v>524</v>
      </c>
      <c r="C574" t="s">
        <v>464</v>
      </c>
      <c r="D574" s="608">
        <v>37060</v>
      </c>
    </row>
    <row r="575" spans="1:4" ht="12.75">
      <c r="A575" t="s">
        <v>505</v>
      </c>
      <c r="B575" t="s">
        <v>525</v>
      </c>
      <c r="C575" t="s">
        <v>464</v>
      </c>
      <c r="D575" s="608">
        <v>37060</v>
      </c>
    </row>
    <row r="576" spans="1:4" ht="12.75">
      <c r="A576" t="s">
        <v>506</v>
      </c>
      <c r="B576" t="s">
        <v>526</v>
      </c>
      <c r="C576" t="s">
        <v>464</v>
      </c>
      <c r="D576" s="608">
        <v>37060</v>
      </c>
    </row>
    <row r="577" spans="1:4" ht="12.75">
      <c r="A577" t="s">
        <v>527</v>
      </c>
      <c r="B577" s="504" t="s">
        <v>529</v>
      </c>
      <c r="C577" t="s">
        <v>464</v>
      </c>
      <c r="D577" s="608">
        <v>37060</v>
      </c>
    </row>
    <row r="578" spans="1:3" ht="12.75">
      <c r="A578" t="s">
        <v>587</v>
      </c>
      <c r="B578" s="504" t="s">
        <v>662</v>
      </c>
      <c r="C578" t="s">
        <v>596</v>
      </c>
    </row>
    <row r="579" spans="1:4" ht="12.75">
      <c r="A579" t="s">
        <v>528</v>
      </c>
      <c r="B579" s="504" t="s">
        <v>530</v>
      </c>
      <c r="C579" t="s">
        <v>464</v>
      </c>
      <c r="D579" s="608">
        <v>37060</v>
      </c>
    </row>
    <row r="580" spans="1:3" ht="12.75">
      <c r="A580" t="s">
        <v>588</v>
      </c>
      <c r="B580" s="504" t="s">
        <v>664</v>
      </c>
      <c r="C580" t="s">
        <v>596</v>
      </c>
    </row>
    <row r="581" spans="1:3" ht="12.75">
      <c r="A581" t="s">
        <v>589</v>
      </c>
      <c r="B581" s="504" t="s">
        <v>665</v>
      </c>
      <c r="C581" t="s">
        <v>596</v>
      </c>
    </row>
    <row r="582" spans="1:4" ht="12.75">
      <c r="A582" t="s">
        <v>405</v>
      </c>
      <c r="B582" t="s">
        <v>365</v>
      </c>
      <c r="C582" t="s">
        <v>538</v>
      </c>
      <c r="D582" s="608">
        <v>37060</v>
      </c>
    </row>
    <row r="583" spans="1:4" ht="12.75">
      <c r="A583" t="s">
        <v>406</v>
      </c>
      <c r="B583" t="s">
        <v>439</v>
      </c>
      <c r="C583" t="s">
        <v>538</v>
      </c>
      <c r="D583" s="608">
        <v>37060</v>
      </c>
    </row>
    <row r="584" spans="1:4" ht="12.75">
      <c r="A584" t="s">
        <v>407</v>
      </c>
      <c r="B584" t="s">
        <v>440</v>
      </c>
      <c r="C584" t="s">
        <v>538</v>
      </c>
      <c r="D584" s="608">
        <v>37060</v>
      </c>
    </row>
    <row r="585" spans="1:4" ht="12.75">
      <c r="A585" t="s">
        <v>408</v>
      </c>
      <c r="B585" t="s">
        <v>370</v>
      </c>
      <c r="C585" t="s">
        <v>538</v>
      </c>
      <c r="D585" s="608">
        <v>37060</v>
      </c>
    </row>
    <row r="586" spans="1:4" ht="12.75">
      <c r="A586" t="s">
        <v>409</v>
      </c>
      <c r="B586" t="s">
        <v>441</v>
      </c>
      <c r="C586" t="s">
        <v>538</v>
      </c>
      <c r="D586" s="608">
        <v>37060</v>
      </c>
    </row>
    <row r="587" spans="1:4" ht="12.75">
      <c r="A587" t="s">
        <v>410</v>
      </c>
      <c r="B587" t="s">
        <v>374</v>
      </c>
      <c r="C587" t="s">
        <v>538</v>
      </c>
      <c r="D587" s="608">
        <v>37060</v>
      </c>
    </row>
    <row r="588" spans="1:4" ht="12.75">
      <c r="A588" t="s">
        <v>411</v>
      </c>
      <c r="B588" t="s">
        <v>376</v>
      </c>
      <c r="C588" t="s">
        <v>538</v>
      </c>
      <c r="D588" s="608">
        <v>37060</v>
      </c>
    </row>
    <row r="589" spans="1:4" ht="12.75">
      <c r="A589" t="s">
        <v>412</v>
      </c>
      <c r="B589" t="s">
        <v>379</v>
      </c>
      <c r="C589" t="s">
        <v>538</v>
      </c>
      <c r="D589" s="608">
        <v>37060</v>
      </c>
    </row>
    <row r="590" spans="1:4" ht="12.75">
      <c r="A590" t="s">
        <v>413</v>
      </c>
      <c r="B590" t="s">
        <v>380</v>
      </c>
      <c r="C590" t="s">
        <v>538</v>
      </c>
      <c r="D590" s="608">
        <v>37060</v>
      </c>
    </row>
    <row r="591" spans="1:4" ht="12.75">
      <c r="A591" t="s">
        <v>463</v>
      </c>
      <c r="B591" t="s">
        <v>484</v>
      </c>
      <c r="C591" t="s">
        <v>485</v>
      </c>
      <c r="D591" s="608">
        <v>37060</v>
      </c>
    </row>
    <row r="592" spans="1:3" ht="12.75">
      <c r="A592" t="s">
        <v>479</v>
      </c>
      <c r="B592" t="s">
        <v>742</v>
      </c>
      <c r="C592" t="s">
        <v>464</v>
      </c>
    </row>
    <row r="593" spans="1:4" ht="12.75">
      <c r="A593" t="s">
        <v>478</v>
      </c>
      <c r="B593" t="s">
        <v>487</v>
      </c>
      <c r="C593" t="s">
        <v>485</v>
      </c>
      <c r="D593" s="608">
        <v>37060</v>
      </c>
    </row>
    <row r="594" spans="1:3" ht="12.75">
      <c r="A594" t="s">
        <v>480</v>
      </c>
      <c r="B594" t="s">
        <v>743</v>
      </c>
      <c r="C594" t="s">
        <v>464</v>
      </c>
    </row>
    <row r="595" spans="1:3" ht="12.75">
      <c r="A595" t="s">
        <v>481</v>
      </c>
      <c r="B595" t="s">
        <v>744</v>
      </c>
      <c r="C595" t="s">
        <v>464</v>
      </c>
    </row>
    <row r="596" spans="1:3" ht="12.75">
      <c r="A596" t="s">
        <v>569</v>
      </c>
      <c r="B596" t="s">
        <v>563</v>
      </c>
      <c r="C596" t="s">
        <v>566</v>
      </c>
    </row>
    <row r="597" spans="1:3" ht="12.75">
      <c r="A597" t="s">
        <v>570</v>
      </c>
      <c r="B597" t="s">
        <v>565</v>
      </c>
      <c r="C597" t="s">
        <v>566</v>
      </c>
    </row>
    <row r="598" spans="1:3" ht="12.75">
      <c r="A598" t="s">
        <v>601</v>
      </c>
      <c r="B598" t="s">
        <v>563</v>
      </c>
      <c r="C598" t="s">
        <v>566</v>
      </c>
    </row>
    <row r="599" spans="1:3" ht="12.75">
      <c r="A599" t="s">
        <v>713</v>
      </c>
      <c r="B599" t="s">
        <v>565</v>
      </c>
      <c r="C599" t="s">
        <v>566</v>
      </c>
    </row>
    <row r="600" spans="1:3" ht="12.75">
      <c r="A600" t="s">
        <v>603</v>
      </c>
      <c r="B600" t="s">
        <v>563</v>
      </c>
      <c r="C600" t="s">
        <v>566</v>
      </c>
    </row>
    <row r="601" spans="1:3" ht="12.75">
      <c r="A601" t="s">
        <v>604</v>
      </c>
      <c r="B601" t="s">
        <v>565</v>
      </c>
      <c r="C601" t="s">
        <v>566</v>
      </c>
    </row>
    <row r="602" spans="1:4" ht="12.75">
      <c r="A602" t="s">
        <v>789</v>
      </c>
      <c r="B602" t="s">
        <v>800</v>
      </c>
      <c r="C602" s="504" t="s">
        <v>783</v>
      </c>
      <c r="D602" s="608">
        <v>37060</v>
      </c>
    </row>
    <row r="603" spans="1:4" ht="12.75">
      <c r="A603" t="s">
        <v>790</v>
      </c>
      <c r="B603" t="s">
        <v>794</v>
      </c>
      <c r="C603" s="504" t="s">
        <v>783</v>
      </c>
      <c r="D603" s="608">
        <v>37060</v>
      </c>
    </row>
    <row r="604" spans="1:4" ht="12.75">
      <c r="A604" t="s">
        <v>791</v>
      </c>
      <c r="B604" t="s">
        <v>795</v>
      </c>
      <c r="C604" s="504" t="s">
        <v>783</v>
      </c>
      <c r="D604" s="608">
        <v>37060</v>
      </c>
    </row>
    <row r="605" spans="1:4" ht="12.75">
      <c r="A605" t="s">
        <v>792</v>
      </c>
      <c r="B605" t="s">
        <v>796</v>
      </c>
      <c r="C605" s="504" t="s">
        <v>783</v>
      </c>
      <c r="D605" s="608">
        <v>37060</v>
      </c>
    </row>
    <row r="606" spans="1:4" ht="12.75">
      <c r="A606" t="s">
        <v>605</v>
      </c>
      <c r="B606" t="s">
        <v>795</v>
      </c>
      <c r="C606" s="504" t="s">
        <v>783</v>
      </c>
      <c r="D606" s="608">
        <v>37060</v>
      </c>
    </row>
    <row r="607" spans="1:3" ht="12.75">
      <c r="A607" t="s">
        <v>426</v>
      </c>
      <c r="B607" t="s">
        <v>563</v>
      </c>
      <c r="C607" t="s">
        <v>566</v>
      </c>
    </row>
    <row r="608" spans="1:3" ht="12.75">
      <c r="A608" t="s">
        <v>606</v>
      </c>
      <c r="B608" t="s">
        <v>565</v>
      </c>
      <c r="C608" t="s">
        <v>566</v>
      </c>
    </row>
    <row r="609" spans="1:3" ht="12.75">
      <c r="A609" t="s">
        <v>607</v>
      </c>
      <c r="B609" t="s">
        <v>563</v>
      </c>
      <c r="C609" t="s">
        <v>566</v>
      </c>
    </row>
    <row r="610" spans="1:3" ht="12.75">
      <c r="A610" t="s">
        <v>608</v>
      </c>
      <c r="B610" t="s">
        <v>565</v>
      </c>
      <c r="C610" t="s">
        <v>566</v>
      </c>
    </row>
    <row r="611" spans="1:3" ht="12.75">
      <c r="A611" t="s">
        <v>745</v>
      </c>
      <c r="B611" t="s">
        <v>748</v>
      </c>
      <c r="C611" t="s">
        <v>753</v>
      </c>
    </row>
    <row r="612" spans="1:3" ht="12.75">
      <c r="A612" t="s">
        <v>746</v>
      </c>
      <c r="B612" t="s">
        <v>749</v>
      </c>
      <c r="C612" t="s">
        <v>753</v>
      </c>
    </row>
    <row r="613" spans="1:3" ht="12.75">
      <c r="A613" t="s">
        <v>747</v>
      </c>
      <c r="B613" t="s">
        <v>750</v>
      </c>
      <c r="C613" t="s">
        <v>753</v>
      </c>
    </row>
    <row r="614" spans="1:3" ht="12.75">
      <c r="A614" t="s">
        <v>428</v>
      </c>
      <c r="B614" t="s">
        <v>751</v>
      </c>
      <c r="C614" t="s">
        <v>753</v>
      </c>
    </row>
    <row r="615" spans="1:3" ht="12.75">
      <c r="A615" t="s">
        <v>429</v>
      </c>
      <c r="B615" t="s">
        <v>752</v>
      </c>
      <c r="C615" t="s">
        <v>753</v>
      </c>
    </row>
    <row r="616" spans="1:3" ht="12.75">
      <c r="A616" t="s">
        <v>754</v>
      </c>
      <c r="B616" t="s">
        <v>563</v>
      </c>
      <c r="C616" t="s">
        <v>566</v>
      </c>
    </row>
    <row r="617" spans="1:3" ht="12.75">
      <c r="A617" t="s">
        <v>726</v>
      </c>
      <c r="B617" t="s">
        <v>565</v>
      </c>
      <c r="C617" t="s">
        <v>566</v>
      </c>
    </row>
    <row r="618" spans="1:3" ht="12.75">
      <c r="A618" t="s">
        <v>755</v>
      </c>
      <c r="B618" t="s">
        <v>563</v>
      </c>
      <c r="C618" t="s">
        <v>566</v>
      </c>
    </row>
    <row r="619" spans="1:3" ht="12.75">
      <c r="A619" t="s">
        <v>756</v>
      </c>
      <c r="B619" t="s">
        <v>565</v>
      </c>
      <c r="C619" t="s">
        <v>566</v>
      </c>
    </row>
    <row r="620" spans="1:4" ht="12.75">
      <c r="A620" s="66">
        <v>94</v>
      </c>
      <c r="B620" t="s">
        <v>757</v>
      </c>
      <c r="C620" t="s">
        <v>758</v>
      </c>
      <c r="D620" s="608">
        <v>37060</v>
      </c>
    </row>
    <row r="621" spans="1:4" ht="12.75">
      <c r="A621" s="521" t="s">
        <v>816</v>
      </c>
      <c r="B621" t="s">
        <v>803</v>
      </c>
      <c r="C621" t="s">
        <v>804</v>
      </c>
      <c r="D621" s="608">
        <v>37259</v>
      </c>
    </row>
    <row r="622" spans="1:4" ht="12.75">
      <c r="A622" s="66">
        <v>95</v>
      </c>
      <c r="B622" t="s">
        <v>759</v>
      </c>
      <c r="C622" t="s">
        <v>758</v>
      </c>
      <c r="D622" s="608">
        <v>37060</v>
      </c>
    </row>
    <row r="623" spans="1:4" ht="12.75">
      <c r="A623" s="521" t="s">
        <v>820</v>
      </c>
      <c r="B623" t="s">
        <v>803</v>
      </c>
      <c r="C623" t="s">
        <v>814</v>
      </c>
      <c r="D623" s="608">
        <v>37259</v>
      </c>
    </row>
    <row r="624" spans="1:4" ht="12.75">
      <c r="A624" t="s">
        <v>763</v>
      </c>
      <c r="B624" t="s">
        <v>757</v>
      </c>
      <c r="C624" t="s">
        <v>758</v>
      </c>
      <c r="D624" s="608">
        <v>37060</v>
      </c>
    </row>
    <row r="625" spans="1:4" ht="12.75">
      <c r="A625" t="s">
        <v>764</v>
      </c>
      <c r="B625" t="s">
        <v>757</v>
      </c>
      <c r="C625" t="s">
        <v>758</v>
      </c>
      <c r="D625" s="608">
        <v>37060</v>
      </c>
    </row>
    <row r="626" spans="1:4" ht="12.75">
      <c r="A626" t="s">
        <v>765</v>
      </c>
      <c r="B626" t="s">
        <v>757</v>
      </c>
      <c r="C626" t="s">
        <v>758</v>
      </c>
      <c r="D626" s="608">
        <v>37060</v>
      </c>
    </row>
    <row r="627" spans="1:4" ht="12.75">
      <c r="A627" s="66">
        <v>106</v>
      </c>
      <c r="B627" t="s">
        <v>434</v>
      </c>
      <c r="C627" t="s">
        <v>539</v>
      </c>
      <c r="D627" s="608">
        <v>37060</v>
      </c>
    </row>
    <row r="628" spans="1:4" ht="12.75">
      <c r="A628" s="66">
        <v>107</v>
      </c>
      <c r="B628" t="s">
        <v>434</v>
      </c>
      <c r="C628" t="s">
        <v>539</v>
      </c>
      <c r="D628" s="608">
        <v>37060</v>
      </c>
    </row>
    <row r="629" spans="1:4" ht="12.75">
      <c r="A629" s="66">
        <v>108</v>
      </c>
      <c r="B629" t="s">
        <v>434</v>
      </c>
      <c r="C629" t="s">
        <v>539</v>
      </c>
      <c r="D629" s="608">
        <v>37060</v>
      </c>
    </row>
    <row r="630" spans="1:4" ht="12.75">
      <c r="A630" s="66">
        <v>109</v>
      </c>
      <c r="B630" t="s">
        <v>434</v>
      </c>
      <c r="C630" t="s">
        <v>539</v>
      </c>
      <c r="D630" s="608">
        <v>37060</v>
      </c>
    </row>
    <row r="631" spans="1:4" ht="12.75">
      <c r="A631" s="521">
        <v>109</v>
      </c>
      <c r="B631" t="s">
        <v>806</v>
      </c>
      <c r="C631" t="s">
        <v>807</v>
      </c>
      <c r="D631" s="608">
        <v>37259</v>
      </c>
    </row>
    <row r="632" spans="1:4" ht="12.75">
      <c r="A632" s="66">
        <v>110</v>
      </c>
      <c r="B632" t="s">
        <v>434</v>
      </c>
      <c r="C632" t="s">
        <v>539</v>
      </c>
      <c r="D632" s="608">
        <v>37060</v>
      </c>
    </row>
    <row r="633" spans="1:4" ht="12.75">
      <c r="A633" s="521">
        <v>110</v>
      </c>
      <c r="B633" t="s">
        <v>806</v>
      </c>
      <c r="C633" t="s">
        <v>807</v>
      </c>
      <c r="D633" s="608">
        <v>37259</v>
      </c>
    </row>
    <row r="634" spans="1:4" ht="12.75">
      <c r="A634" s="66">
        <v>111</v>
      </c>
      <c r="B634" t="s">
        <v>434</v>
      </c>
      <c r="C634" t="s">
        <v>539</v>
      </c>
      <c r="D634" s="608">
        <v>37060</v>
      </c>
    </row>
    <row r="635" spans="1:4" ht="12.75">
      <c r="A635" s="521">
        <v>111</v>
      </c>
      <c r="B635" t="s">
        <v>806</v>
      </c>
      <c r="C635" t="s">
        <v>807</v>
      </c>
      <c r="D635" s="608">
        <v>37259</v>
      </c>
    </row>
    <row r="636" spans="1:4" ht="12.75">
      <c r="A636" s="521" t="s">
        <v>823</v>
      </c>
      <c r="B636" t="s">
        <v>803</v>
      </c>
      <c r="C636" t="s">
        <v>804</v>
      </c>
      <c r="D636" s="608">
        <v>37259</v>
      </c>
    </row>
    <row r="637" spans="1:4" ht="12.75">
      <c r="A637" s="521" t="s">
        <v>835</v>
      </c>
      <c r="B637" t="s">
        <v>825</v>
      </c>
      <c r="C637" t="s">
        <v>836</v>
      </c>
      <c r="D637" s="608">
        <v>37259</v>
      </c>
    </row>
  </sheetData>
  <printOptions horizontalCentered="1"/>
  <pageMargins left="0.75" right="0.75" top="1" bottom="1" header="0.25" footer="0.25"/>
  <pageSetup fitToHeight="0" horizontalDpi="600" verticalDpi="600" orientation="portrait" scale="95" r:id="rId1"/>
  <headerFooter alignWithMargins="0">
    <oddHeader>&amp;L&amp;F
PROGRAM: GOES N-Q&amp;CBOEING PROPRIETARY
&amp;A&amp;RSDA-3.2.08-01
Rev A DCN007
18 June 2001</oddHeader>
    <oddFooter>&amp;L© 2001 The Boeing Company
      UNPUBLISHED WORK
      ALL RIGHTS RESERVED&amp;CReference 2
Section 8 Page &amp;P&amp;RBOEING PROPRIETARY
“Use or disclosure of this data is
subject to the restrictions on the
title page of this document.”</oddFooter>
  </headerFooter>
  <rowBreaks count="7" manualBreakCount="7">
    <brk id="62" max="2" man="1"/>
    <brk id="145" max="2" man="1"/>
    <brk id="229" max="2" man="1"/>
    <brk id="303" max="2" man="1"/>
    <brk id="354" max="2" man="1"/>
    <brk id="442" max="2" man="1"/>
    <brk id="552" max="2" man="1"/>
  </rowBreaks>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23">
      <selection activeCell="H42" sqref="H42"/>
    </sheetView>
  </sheetViews>
  <sheetFormatPr defaultColWidth="9.140625" defaultRowHeight="12.75"/>
  <cols>
    <col min="1" max="1" width="17.8515625" style="0" customWidth="1"/>
    <col min="2" max="10" width="10.7109375" style="0" customWidth="1"/>
  </cols>
  <sheetData>
    <row r="1" spans="1:10" ht="93.75" customHeight="1">
      <c r="A1" s="769" t="s">
        <v>237</v>
      </c>
      <c r="B1" s="769"/>
      <c r="C1" s="769"/>
      <c r="D1" s="769"/>
      <c r="E1" s="769"/>
      <c r="F1" s="769"/>
      <c r="G1" s="769"/>
      <c r="H1" s="769"/>
      <c r="I1" s="769"/>
      <c r="J1" s="769"/>
    </row>
    <row r="2" spans="1:10" ht="108.75" customHeight="1">
      <c r="A2" s="770" t="s">
        <v>242</v>
      </c>
      <c r="B2" s="770"/>
      <c r="C2" s="770"/>
      <c r="D2" s="770"/>
      <c r="E2" s="770"/>
      <c r="F2" s="770"/>
      <c r="G2" s="770"/>
      <c r="H2" s="770"/>
      <c r="I2" s="770"/>
      <c r="J2" s="770"/>
    </row>
    <row r="3" spans="1:10" ht="13.5" customHeight="1">
      <c r="A3" s="770" t="s">
        <v>238</v>
      </c>
      <c r="B3" s="770"/>
      <c r="C3" s="770"/>
      <c r="D3" s="770"/>
      <c r="E3" s="770"/>
      <c r="F3" s="770"/>
      <c r="G3" s="770"/>
      <c r="H3" s="770"/>
      <c r="I3" s="770"/>
      <c r="J3" s="770"/>
    </row>
    <row r="4" spans="1:10" ht="12.75" customHeight="1">
      <c r="A4" s="262"/>
      <c r="B4" s="262"/>
      <c r="C4" s="262"/>
      <c r="D4" s="262"/>
      <c r="E4" s="262"/>
      <c r="F4" s="262"/>
      <c r="G4" s="262"/>
      <c r="H4" s="262"/>
      <c r="I4" s="262"/>
      <c r="J4" s="262"/>
    </row>
    <row r="5" spans="1:9" ht="25.5" customHeight="1">
      <c r="A5" s="774" t="s">
        <v>226</v>
      </c>
      <c r="B5" s="774"/>
      <c r="C5" s="774"/>
      <c r="D5" s="774"/>
      <c r="E5" s="774"/>
      <c r="F5" s="774"/>
      <c r="G5" s="774"/>
      <c r="H5" s="774"/>
      <c r="I5" s="774"/>
    </row>
    <row r="6" spans="1:9" ht="30.75" customHeight="1">
      <c r="A6" s="263" t="s">
        <v>205</v>
      </c>
      <c r="B6" s="263" t="s">
        <v>206</v>
      </c>
      <c r="C6" s="773" t="s">
        <v>220</v>
      </c>
      <c r="D6" s="773"/>
      <c r="E6" s="773" t="s">
        <v>221</v>
      </c>
      <c r="F6" s="773"/>
      <c r="G6" s="773"/>
      <c r="H6" s="773" t="s">
        <v>207</v>
      </c>
      <c r="I6" s="773"/>
    </row>
    <row r="7" spans="1:9" ht="51" customHeight="1">
      <c r="A7" s="263" t="s">
        <v>200</v>
      </c>
      <c r="B7" s="264" t="s">
        <v>208</v>
      </c>
      <c r="C7" s="771">
        <v>2.3</v>
      </c>
      <c r="D7" s="772"/>
      <c r="E7" s="775" t="s">
        <v>218</v>
      </c>
      <c r="F7" s="775"/>
      <c r="G7" s="775"/>
      <c r="H7" s="777" t="s">
        <v>219</v>
      </c>
      <c r="I7" s="778"/>
    </row>
    <row r="8" spans="1:9" ht="15.75" customHeight="1">
      <c r="A8" s="263" t="s">
        <v>165</v>
      </c>
      <c r="B8" s="264" t="s">
        <v>209</v>
      </c>
      <c r="C8" s="771">
        <v>2.3</v>
      </c>
      <c r="D8" s="772"/>
      <c r="E8" s="775" t="s">
        <v>213</v>
      </c>
      <c r="F8" s="775"/>
      <c r="G8" s="775"/>
      <c r="H8" s="773" t="s">
        <v>222</v>
      </c>
      <c r="I8" s="773"/>
    </row>
    <row r="9" spans="1:9" ht="15.75" customHeight="1">
      <c r="A9" s="263" t="s">
        <v>170</v>
      </c>
      <c r="B9" s="264" t="s">
        <v>210</v>
      </c>
      <c r="C9" s="771">
        <v>2.3</v>
      </c>
      <c r="D9" s="772"/>
      <c r="E9" s="775" t="s">
        <v>239</v>
      </c>
      <c r="F9" s="775"/>
      <c r="G9" s="775"/>
      <c r="H9" s="773" t="s">
        <v>223</v>
      </c>
      <c r="I9" s="773"/>
    </row>
    <row r="10" spans="1:9" ht="15.75" customHeight="1">
      <c r="A10" s="263" t="s">
        <v>176</v>
      </c>
      <c r="B10" s="264" t="s">
        <v>211</v>
      </c>
      <c r="C10" s="771">
        <v>2</v>
      </c>
      <c r="D10" s="772"/>
      <c r="E10" s="775" t="s">
        <v>214</v>
      </c>
      <c r="F10" s="775"/>
      <c r="G10" s="775"/>
      <c r="H10" s="776" t="s">
        <v>224</v>
      </c>
      <c r="I10" s="773"/>
    </row>
    <row r="11" spans="1:9" ht="38.25" customHeight="1">
      <c r="A11" s="263" t="s">
        <v>180</v>
      </c>
      <c r="B11" s="264" t="s">
        <v>208</v>
      </c>
      <c r="C11" s="771">
        <v>2</v>
      </c>
      <c r="D11" s="772"/>
      <c r="E11" s="775" t="s">
        <v>240</v>
      </c>
      <c r="F11" s="775"/>
      <c r="G11" s="775"/>
      <c r="H11" s="776" t="s">
        <v>224</v>
      </c>
      <c r="I11" s="773"/>
    </row>
    <row r="12" spans="1:9" ht="25.5" customHeight="1">
      <c r="A12" s="263" t="s">
        <v>188</v>
      </c>
      <c r="B12" s="264" t="s">
        <v>211</v>
      </c>
      <c r="C12" s="771">
        <v>2.3</v>
      </c>
      <c r="D12" s="772"/>
      <c r="E12" s="775" t="s">
        <v>215</v>
      </c>
      <c r="F12" s="775"/>
      <c r="G12" s="775"/>
      <c r="H12" s="776" t="s">
        <v>224</v>
      </c>
      <c r="I12" s="773"/>
    </row>
    <row r="13" spans="1:9" ht="51" customHeight="1">
      <c r="A13" s="265" t="s">
        <v>235</v>
      </c>
      <c r="B13" s="266" t="s">
        <v>212</v>
      </c>
      <c r="C13" s="771">
        <v>2.3</v>
      </c>
      <c r="D13" s="772"/>
      <c r="E13" s="775" t="s">
        <v>216</v>
      </c>
      <c r="F13" s="775"/>
      <c r="G13" s="775"/>
      <c r="H13" s="773" t="s">
        <v>172</v>
      </c>
      <c r="I13" s="773"/>
    </row>
    <row r="14" spans="1:9" ht="15.75" customHeight="1">
      <c r="A14" s="263" t="s">
        <v>172</v>
      </c>
      <c r="B14" s="264" t="s">
        <v>209</v>
      </c>
      <c r="C14" s="771">
        <v>2.3</v>
      </c>
      <c r="D14" s="772"/>
      <c r="E14" s="775" t="s">
        <v>217</v>
      </c>
      <c r="F14" s="775"/>
      <c r="G14" s="775"/>
      <c r="H14" s="773" t="s">
        <v>225</v>
      </c>
      <c r="I14" s="773"/>
    </row>
    <row r="16" spans="1:4" ht="25.5" customHeight="1">
      <c r="A16" s="779" t="s">
        <v>233</v>
      </c>
      <c r="B16" s="779"/>
      <c r="C16" s="779"/>
      <c r="D16" s="779"/>
    </row>
    <row r="17" spans="1:4" ht="25.5" customHeight="1">
      <c r="A17" s="772" t="s">
        <v>227</v>
      </c>
      <c r="B17" s="772"/>
      <c r="C17" s="773" t="s">
        <v>230</v>
      </c>
      <c r="D17" s="773"/>
    </row>
    <row r="18" spans="1:4" ht="12.75">
      <c r="A18" s="772" t="s">
        <v>228</v>
      </c>
      <c r="B18" s="772"/>
      <c r="C18" s="772" t="s">
        <v>241</v>
      </c>
      <c r="D18" s="772"/>
    </row>
    <row r="19" spans="1:4" ht="12.75">
      <c r="A19" s="772" t="s">
        <v>150</v>
      </c>
      <c r="B19" s="772"/>
      <c r="C19" s="772" t="s">
        <v>231</v>
      </c>
      <c r="D19" s="772"/>
    </row>
    <row r="20" spans="1:4" ht="12.75">
      <c r="A20" s="772" t="s">
        <v>229</v>
      </c>
      <c r="B20" s="772"/>
      <c r="C20" s="772" t="s">
        <v>232</v>
      </c>
      <c r="D20" s="772"/>
    </row>
    <row r="21" spans="1:4" ht="12.75">
      <c r="A21" s="243"/>
      <c r="B21" s="243"/>
      <c r="C21" s="243"/>
      <c r="D21" s="243"/>
    </row>
    <row r="22" spans="1:10" ht="13.5" thickBot="1">
      <c r="A22" s="784" t="s">
        <v>234</v>
      </c>
      <c r="B22" s="784"/>
      <c r="C22" s="784"/>
      <c r="D22" s="784"/>
      <c r="E22" s="784"/>
      <c r="F22" s="784"/>
      <c r="G22" s="784"/>
      <c r="H22" s="784"/>
      <c r="I22" s="784"/>
      <c r="J22" s="784"/>
    </row>
    <row r="23" spans="1:10" ht="12.75">
      <c r="A23" s="258"/>
      <c r="B23" s="201" t="s">
        <v>176</v>
      </c>
      <c r="C23" s="201" t="s">
        <v>188</v>
      </c>
      <c r="D23" s="201" t="s">
        <v>203</v>
      </c>
      <c r="E23" s="201" t="s">
        <v>204</v>
      </c>
      <c r="F23" s="201" t="s">
        <v>172</v>
      </c>
      <c r="G23" s="201" t="s">
        <v>200</v>
      </c>
      <c r="H23" s="201" t="s">
        <v>165</v>
      </c>
      <c r="I23" s="201" t="s">
        <v>170</v>
      </c>
      <c r="J23" s="249" t="s">
        <v>180</v>
      </c>
    </row>
    <row r="24" spans="1:10" ht="12.75">
      <c r="A24" s="259" t="s">
        <v>124</v>
      </c>
      <c r="B24" s="260">
        <f>DCPI!I75</f>
        <v>1E-05</v>
      </c>
      <c r="C24" s="260">
        <f>SAR!I75</f>
        <v>1E-05</v>
      </c>
      <c r="D24" s="260">
        <f>SD!I47</f>
        <v>1E-08</v>
      </c>
      <c r="E24" s="260">
        <f>SD!I74</f>
        <v>1E-08</v>
      </c>
      <c r="F24" s="260">
        <f>MDL!I44</f>
        <v>1E-08</v>
      </c>
      <c r="G24" s="260">
        <f>PDR!I75</f>
        <v>1E-06</v>
      </c>
      <c r="H24" s="260">
        <f>WEFAX!I75</f>
        <v>1E-08</v>
      </c>
      <c r="I24" s="260">
        <f>EMWIN!I75</f>
        <v>0.01</v>
      </c>
      <c r="J24" s="261">
        <f>DCPR!K78</f>
        <v>1E-06</v>
      </c>
    </row>
    <row r="25" spans="1:10" ht="15.75">
      <c r="A25" s="250" t="s">
        <v>236</v>
      </c>
      <c r="B25" s="251">
        <f>DCPI!I89</f>
        <v>12.131</v>
      </c>
      <c r="C25" s="251">
        <f>SAR!I91</f>
        <v>5.175</v>
      </c>
      <c r="D25" s="251">
        <f>(SD!I62-1)</f>
        <v>15.3829</v>
      </c>
      <c r="E25" s="251">
        <f>(SD!I89-1)</f>
        <v>15.742899999999999</v>
      </c>
      <c r="F25" s="251">
        <f>(MDL!I59-1)</f>
        <v>15.299</v>
      </c>
      <c r="G25" s="251">
        <f>PDR!I90</f>
        <v>13.937722970000001</v>
      </c>
      <c r="H25" s="251">
        <f>WEFAX!I89</f>
        <v>5.346170476999999</v>
      </c>
      <c r="I25" s="251">
        <f>EMWIN!I89</f>
        <v>7.385233</v>
      </c>
      <c r="J25" s="252">
        <f>DCPR!K92</f>
        <v>14.658000000000001</v>
      </c>
    </row>
    <row r="26" spans="1:10" ht="15.75">
      <c r="A26" s="250" t="s">
        <v>196</v>
      </c>
      <c r="B26" s="251">
        <f>DCPI!I73</f>
        <v>15.555450581824317</v>
      </c>
      <c r="C26" s="251">
        <f>SAR!I73</f>
        <v>9.524919801860662</v>
      </c>
      <c r="D26" s="251">
        <f>SD!I45</f>
        <v>18.830485517624496</v>
      </c>
      <c r="E26" s="251">
        <f>SD!I72</f>
        <v>18.91116173510482</v>
      </c>
      <c r="F26" s="251">
        <f>MDL!I42</f>
        <v>18.76220559712982</v>
      </c>
      <c r="G26" s="251">
        <f>PDR!I73</f>
        <v>17.00687077361613</v>
      </c>
      <c r="H26" s="251">
        <f>WEFAX!I73</f>
        <v>9.681241274116779</v>
      </c>
      <c r="I26" s="251">
        <f>EMWIN!I73</f>
        <v>10.611664900110242</v>
      </c>
      <c r="J26" s="252">
        <f>DCPR!K76</f>
        <v>19.204866702260247</v>
      </c>
    </row>
    <row r="27" spans="1:10" ht="12.75">
      <c r="A27" s="250" t="s">
        <v>885</v>
      </c>
      <c r="B27" s="256"/>
      <c r="C27" s="256"/>
      <c r="D27" s="256"/>
      <c r="E27" s="256"/>
      <c r="F27" s="256"/>
      <c r="G27" s="256"/>
      <c r="H27" s="256"/>
      <c r="I27" s="256"/>
      <c r="J27" s="257"/>
    </row>
    <row r="28" spans="1:10" ht="12.75">
      <c r="A28" s="253" t="s">
        <v>197</v>
      </c>
      <c r="B28" s="251">
        <f>DCPI!G99</f>
        <v>3.494328203222473</v>
      </c>
      <c r="C28" s="251">
        <f>SAR!G102</f>
        <v>4.618147231036432</v>
      </c>
      <c r="D28" s="251">
        <f>SD!G98</f>
        <v>3.9585112349997758</v>
      </c>
      <c r="E28" s="251">
        <f>SD!G102</f>
        <v>3.681270390100776</v>
      </c>
      <c r="F28" s="251">
        <f>MDL!G68</f>
        <v>3.857250592850071</v>
      </c>
      <c r="G28" s="251">
        <f>PDR!G100</f>
        <v>3.183406773540348</v>
      </c>
      <c r="H28" s="251">
        <f>WEFAX!G99</f>
        <v>5.045880187767257</v>
      </c>
      <c r="I28" s="251">
        <f>EMWIN!G99</f>
        <v>3.457668196215718</v>
      </c>
      <c r="J28" s="252">
        <f>DCPR!I103</f>
        <v>5.550682263607028</v>
      </c>
    </row>
    <row r="29" spans="1:10" ht="12.75">
      <c r="A29" s="253" t="s">
        <v>198</v>
      </c>
      <c r="B29" s="251">
        <f>DCPI!G100</f>
        <v>2.424450581824317</v>
      </c>
      <c r="C29" s="251">
        <f>SAR!G103</f>
        <v>3.349919801860662</v>
      </c>
      <c r="D29" s="251">
        <f>SD!G99</f>
        <v>2.4475855176244963</v>
      </c>
      <c r="E29" s="251">
        <f>SD!G103</f>
        <v>2.168261735104821</v>
      </c>
      <c r="F29" s="251">
        <f>MDL!G69</f>
        <v>2.4632055971298215</v>
      </c>
      <c r="G29" s="251">
        <f>PDR!G101</f>
        <v>2.0691478036161275</v>
      </c>
      <c r="H29" s="251">
        <f>WEFAX!G100</f>
        <v>3.3350707971167797</v>
      </c>
      <c r="I29" s="251">
        <f>EMWIN!G100</f>
        <v>2.2264319001102413</v>
      </c>
      <c r="J29" s="252">
        <f>DCPR!I104</f>
        <v>3.546866702260246</v>
      </c>
    </row>
    <row r="30" spans="1:10" ht="12.75">
      <c r="A30" s="253" t="s">
        <v>199</v>
      </c>
      <c r="B30" s="251">
        <f>DCPI!G101</f>
        <v>1.3545729604261607</v>
      </c>
      <c r="C30" s="251">
        <f>SAR!G104</f>
        <v>2.081692372684892</v>
      </c>
      <c r="D30" s="251">
        <f>SD!G100</f>
        <v>0.9366598002492168</v>
      </c>
      <c r="E30" s="251">
        <f>SD!G104</f>
        <v>0.6552530801088656</v>
      </c>
      <c r="F30" s="251">
        <f>MDL!G70</f>
        <v>1.0691606014095718</v>
      </c>
      <c r="G30" s="251">
        <f>PDR!G102</f>
        <v>0.9548888336919072</v>
      </c>
      <c r="H30" s="251">
        <f>WEFAX!G101</f>
        <v>1.6242614064663021</v>
      </c>
      <c r="I30" s="251">
        <f>EMWIN!G101</f>
        <v>0.9951956040047647</v>
      </c>
      <c r="J30" s="252">
        <f>DCPR!I105</f>
        <v>1.5430511409134637</v>
      </c>
    </row>
    <row r="31" spans="1:10" ht="12.75">
      <c r="A31" s="250" t="s">
        <v>201</v>
      </c>
      <c r="B31" s="256"/>
      <c r="C31" s="256"/>
      <c r="D31" s="256"/>
      <c r="E31" s="256"/>
      <c r="F31" s="256"/>
      <c r="G31" s="256"/>
      <c r="H31" s="256"/>
      <c r="I31" s="256"/>
      <c r="J31" s="257"/>
    </row>
    <row r="32" spans="1:10" ht="12.75">
      <c r="A32" s="253" t="s">
        <v>197</v>
      </c>
      <c r="B32" s="251">
        <f>DCPI!H99</f>
        <v>2</v>
      </c>
      <c r="C32" s="251">
        <f>SAR!H102</f>
        <v>2</v>
      </c>
      <c r="D32" s="251">
        <f>SD!H98</f>
        <v>2</v>
      </c>
      <c r="E32" s="251">
        <f>SD!H102</f>
        <v>2</v>
      </c>
      <c r="F32" s="251">
        <f>MDL!H68</f>
        <v>2</v>
      </c>
      <c r="G32" s="251">
        <f>PDR!H100</f>
        <v>2</v>
      </c>
      <c r="H32" s="251">
        <f>WEFAX!H99</f>
        <v>2</v>
      </c>
      <c r="I32" s="251">
        <f>EMWIN!H99</f>
        <v>2</v>
      </c>
      <c r="J32" s="252">
        <f>DCPR!J103</f>
        <v>2</v>
      </c>
    </row>
    <row r="33" spans="1:10" ht="12.75">
      <c r="A33" s="253" t="s">
        <v>198</v>
      </c>
      <c r="B33" s="251">
        <f>DCPI!H100</f>
        <v>1</v>
      </c>
      <c r="C33" s="251">
        <f>SAR!H103</f>
        <v>1</v>
      </c>
      <c r="D33" s="251">
        <f>SD!H99</f>
        <v>1</v>
      </c>
      <c r="E33" s="251">
        <f>SD!H103</f>
        <v>1</v>
      </c>
      <c r="F33" s="251">
        <f>MDL!H69</f>
        <v>1</v>
      </c>
      <c r="G33" s="251">
        <f>PDR!H101</f>
        <v>1</v>
      </c>
      <c r="H33" s="251">
        <f>WEFAX!H100</f>
        <v>1</v>
      </c>
      <c r="I33" s="251">
        <f>EMWIN!H100</f>
        <v>1</v>
      </c>
      <c r="J33" s="252">
        <f>DCPR!J104</f>
        <v>1</v>
      </c>
    </row>
    <row r="34" spans="1:10" ht="12.75">
      <c r="A34" s="253" t="s">
        <v>199</v>
      </c>
      <c r="B34" s="251">
        <f>DCPI!H101</f>
        <v>0</v>
      </c>
      <c r="C34" s="251">
        <f>SAR!H104</f>
        <v>0</v>
      </c>
      <c r="D34" s="251">
        <f>SD!H100</f>
        <v>0</v>
      </c>
      <c r="E34" s="251">
        <f>SD!H104</f>
        <v>0</v>
      </c>
      <c r="F34" s="251">
        <f>MDL!H70</f>
        <v>0</v>
      </c>
      <c r="G34" s="251">
        <f>PDR!H102</f>
        <v>0</v>
      </c>
      <c r="H34" s="251">
        <f>WEFAX!H101</f>
        <v>0</v>
      </c>
      <c r="I34" s="251">
        <f>EMWIN!H101</f>
        <v>0</v>
      </c>
      <c r="J34" s="252">
        <f>DCPR!J105</f>
        <v>0</v>
      </c>
    </row>
    <row r="35" spans="1:10" ht="12.75">
      <c r="A35" s="250" t="s">
        <v>202</v>
      </c>
      <c r="B35" s="256"/>
      <c r="C35" s="256"/>
      <c r="D35" s="256"/>
      <c r="E35" s="256"/>
      <c r="F35" s="256"/>
      <c r="G35" s="256"/>
      <c r="H35" s="256"/>
      <c r="I35" s="256"/>
      <c r="J35" s="257"/>
    </row>
    <row r="36" spans="1:10" ht="12.75">
      <c r="A36" s="253" t="s">
        <v>197</v>
      </c>
      <c r="B36" s="251">
        <f>DCPI!I99</f>
        <v>1.494328203222473</v>
      </c>
      <c r="C36" s="251">
        <f>SAR!I102</f>
        <v>2.618147231036432</v>
      </c>
      <c r="D36" s="251">
        <f>SD!I98</f>
        <v>1.9585112349997758</v>
      </c>
      <c r="E36" s="251">
        <f>SD!I102</f>
        <v>1.6812703901007762</v>
      </c>
      <c r="F36" s="251">
        <f>MDL!I68</f>
        <v>1.8572505928500709</v>
      </c>
      <c r="G36" s="251">
        <f>PDR!I100</f>
        <v>1.183406773540348</v>
      </c>
      <c r="H36" s="251">
        <f>WEFAX!I99</f>
        <v>3.045880187767257</v>
      </c>
      <c r="I36" s="251">
        <f>EMWIN!I99</f>
        <v>1.4576681962157179</v>
      </c>
      <c r="J36" s="252">
        <f>DCPR!K103</f>
        <v>3.550682263607028</v>
      </c>
    </row>
    <row r="37" spans="1:10" ht="12.75">
      <c r="A37" s="253" t="s">
        <v>198</v>
      </c>
      <c r="B37" s="251">
        <f>DCPI!I100</f>
        <v>1.424450581824317</v>
      </c>
      <c r="C37" s="251">
        <f>SAR!I103</f>
        <v>2.349919801860662</v>
      </c>
      <c r="D37" s="251">
        <f>SD!I99</f>
        <v>1.4475855176244963</v>
      </c>
      <c r="E37" s="251">
        <f>SD!I103</f>
        <v>1.1682617351048208</v>
      </c>
      <c r="F37" s="251">
        <f>MDL!I69</f>
        <v>1.4632055971298215</v>
      </c>
      <c r="G37" s="251">
        <f>PDR!I101</f>
        <v>1.0691478036161275</v>
      </c>
      <c r="H37" s="251">
        <f>WEFAX!I100</f>
        <v>2.3350707971167797</v>
      </c>
      <c r="I37" s="251">
        <f>EMWIN!I100</f>
        <v>1.2264319001102413</v>
      </c>
      <c r="J37" s="252">
        <f>DCPR!K104</f>
        <v>2.546866702260246</v>
      </c>
    </row>
    <row r="38" spans="1:10" ht="13.5" thickBot="1">
      <c r="A38" s="254" t="s">
        <v>199</v>
      </c>
      <c r="B38" s="255">
        <f>DCPI!I101</f>
        <v>1.3545729604261607</v>
      </c>
      <c r="C38" s="255">
        <f>SAR!I104</f>
        <v>2.081692372684892</v>
      </c>
      <c r="D38" s="255">
        <f>SD!I100</f>
        <v>0.9366598002492168</v>
      </c>
      <c r="E38" s="255">
        <f>SD!I104</f>
        <v>0.6552530801088656</v>
      </c>
      <c r="F38" s="255">
        <f>MDL!I70</f>
        <v>1.0691606014095718</v>
      </c>
      <c r="G38" s="255">
        <f>PDR!I102</f>
        <v>0.9548888336919072</v>
      </c>
      <c r="H38" s="255">
        <f>WEFAX!I101</f>
        <v>1.6242614064663021</v>
      </c>
      <c r="I38" s="255">
        <f>EMWIN!I101</f>
        <v>0.9951956040047647</v>
      </c>
      <c r="J38" s="759">
        <f>DCPR!K105</f>
        <v>1.5430511409134637</v>
      </c>
    </row>
    <row r="40" ht="13.5" thickBot="1">
      <c r="A40" s="466" t="str">
        <f>DCPR!A106</f>
        <v>DCPR G/T</v>
      </c>
    </row>
    <row r="41" spans="1:5" ht="12.75">
      <c r="A41" s="471" t="str">
        <f>DCPR!A107</f>
        <v>G/T calculation</v>
      </c>
      <c r="B41" s="201" t="str">
        <f>DCPR!E107</f>
        <v>dB/K</v>
      </c>
      <c r="C41" s="472">
        <f>DCPR!G107</f>
        <v>-17.866320646502693</v>
      </c>
      <c r="D41" s="472">
        <f>DCPR!H107</f>
        <v>-17.866320646502693</v>
      </c>
      <c r="E41" s="473">
        <f>DCPR!I107</f>
        <v>-17.866320646502693</v>
      </c>
    </row>
    <row r="42" spans="1:5" ht="13.5" thickBot="1">
      <c r="A42" s="250" t="str">
        <f>DCPR!A108</f>
        <v>HSC G/T Spec</v>
      </c>
      <c r="B42" s="465" t="str">
        <f>DCPR!E108</f>
        <v>dB/K</v>
      </c>
      <c r="C42" s="474">
        <f>DCPR!G108</f>
        <v>-18.7</v>
      </c>
      <c r="D42" s="474">
        <f>DCPR!H108</f>
        <v>-18.7</v>
      </c>
      <c r="E42" s="475">
        <f>DCPR!I108</f>
        <v>-18.7</v>
      </c>
    </row>
    <row r="43" spans="1:5" ht="13.5" thickBot="1">
      <c r="A43" s="470" t="str">
        <f>DCPR!A109</f>
        <v>G/T Margin</v>
      </c>
      <c r="B43" s="469" t="str">
        <f>DCPR!E109</f>
        <v>dB/K</v>
      </c>
      <c r="C43" s="476">
        <f>DCPR!G109</f>
        <v>0.8336793534973062</v>
      </c>
      <c r="D43" s="476">
        <f>DCPR!H109</f>
        <v>0.8336793534973062</v>
      </c>
      <c r="E43" s="477">
        <f>DCPR!I109</f>
        <v>0.8336793534973062</v>
      </c>
    </row>
    <row r="45" spans="1:7" ht="13.5" thickBot="1">
      <c r="A45" s="466" t="str">
        <f>DCPR!A111</f>
        <v>DCPR EIRP</v>
      </c>
      <c r="G45" s="466" t="s">
        <v>360</v>
      </c>
    </row>
    <row r="46" spans="1:10" ht="12.75">
      <c r="A46" s="471" t="str">
        <f>DCPR!A112</f>
        <v>EIRP calculation</v>
      </c>
      <c r="B46" s="202" t="str">
        <f>DCPR!E112</f>
        <v>dBmi</v>
      </c>
      <c r="C46" s="472">
        <f>DCPR!G112</f>
        <v>47.173075231319366</v>
      </c>
      <c r="D46" s="472">
        <f>DCPR!H112</f>
        <v>47.173075231319366</v>
      </c>
      <c r="E46" s="473">
        <f>DCPR!I112</f>
        <v>47.173075231319366</v>
      </c>
      <c r="G46" s="760" t="s">
        <v>346</v>
      </c>
      <c r="H46" s="761"/>
      <c r="I46" s="202" t="s">
        <v>35</v>
      </c>
      <c r="J46" s="473">
        <f>SAR!G48</f>
        <v>46.27940008672037</v>
      </c>
    </row>
    <row r="47" spans="1:10" ht="13.5" thickBot="1">
      <c r="A47" s="250" t="str">
        <f>DCPR!A113</f>
        <v>HSC EIRP Spec, center channel</v>
      </c>
      <c r="B47" s="467" t="str">
        <f>DCPR!E113</f>
        <v>dBmi</v>
      </c>
      <c r="C47" s="474">
        <f>DCPR!G113</f>
        <v>46</v>
      </c>
      <c r="D47" s="474">
        <f>DCPR!H113</f>
        <v>46</v>
      </c>
      <c r="E47" s="475">
        <f>DCPR!I113</f>
        <v>46</v>
      </c>
      <c r="G47" s="780" t="s">
        <v>361</v>
      </c>
      <c r="H47" s="781"/>
      <c r="I47" s="467" t="s">
        <v>35</v>
      </c>
      <c r="J47" s="478">
        <v>45</v>
      </c>
    </row>
    <row r="48" spans="1:10" ht="13.5" thickBot="1">
      <c r="A48" s="470" t="str">
        <f>DCPR!A114</f>
        <v>EIRP Margin</v>
      </c>
      <c r="B48" s="468" t="str">
        <f>DCPR!E114</f>
        <v>dBmi</v>
      </c>
      <c r="C48" s="476">
        <f>DCPR!G114</f>
        <v>1.1730752313193662</v>
      </c>
      <c r="D48" s="476">
        <f>DCPR!H114</f>
        <v>1.1730752313193662</v>
      </c>
      <c r="E48" s="477">
        <f>DCPR!I114</f>
        <v>1.1730752313193662</v>
      </c>
      <c r="G48" s="782" t="s">
        <v>357</v>
      </c>
      <c r="H48" s="783"/>
      <c r="I48" s="468" t="s">
        <v>35</v>
      </c>
      <c r="J48" s="479">
        <f>J46-J47</f>
        <v>1.279400086720372</v>
      </c>
    </row>
  </sheetData>
  <mergeCells count="44">
    <mergeCell ref="A20:B20"/>
    <mergeCell ref="G46:H46"/>
    <mergeCell ref="G47:H47"/>
    <mergeCell ref="G48:H48"/>
    <mergeCell ref="A22:J22"/>
    <mergeCell ref="C20:D20"/>
    <mergeCell ref="A16:D16"/>
    <mergeCell ref="A17:B17"/>
    <mergeCell ref="A18:B18"/>
    <mergeCell ref="A19:B19"/>
    <mergeCell ref="C17:D17"/>
    <mergeCell ref="C18:D18"/>
    <mergeCell ref="C19:D19"/>
    <mergeCell ref="H12:I12"/>
    <mergeCell ref="H13:I13"/>
    <mergeCell ref="H14:I14"/>
    <mergeCell ref="C13:D13"/>
    <mergeCell ref="C14:D14"/>
    <mergeCell ref="E13:G13"/>
    <mergeCell ref="E14:G14"/>
    <mergeCell ref="H11:I11"/>
    <mergeCell ref="E6:G6"/>
    <mergeCell ref="H6:I6"/>
    <mergeCell ref="H8:I8"/>
    <mergeCell ref="H9:I9"/>
    <mergeCell ref="H10:I10"/>
    <mergeCell ref="E7:G7"/>
    <mergeCell ref="H7:I7"/>
    <mergeCell ref="C11:D11"/>
    <mergeCell ref="C12:D12"/>
    <mergeCell ref="E8:G8"/>
    <mergeCell ref="E9:G9"/>
    <mergeCell ref="E10:G10"/>
    <mergeCell ref="E11:G11"/>
    <mergeCell ref="E12:G12"/>
    <mergeCell ref="C8:D8"/>
    <mergeCell ref="C9:D9"/>
    <mergeCell ref="A1:J1"/>
    <mergeCell ref="A2:J2"/>
    <mergeCell ref="A3:J3"/>
    <mergeCell ref="C10:D10"/>
    <mergeCell ref="C6:D6"/>
    <mergeCell ref="C7:D7"/>
    <mergeCell ref="A5:I5"/>
  </mergeCells>
  <printOptions horizontalCentered="1"/>
  <pageMargins left="0.75" right="0.5" top="0.75" bottom="0.75" header="0.25" footer="0.25"/>
  <pageSetup firstPageNumber="3" useFirstPageNumber="1" fitToHeight="1" fitToWidth="1" horizontalDpi="600" verticalDpi="600" orientation="portrait" scale="67" r:id="rId1"/>
  <headerFooter alignWithMargins="0">
    <oddHeader>&amp;L&amp;F
PROGRAM: GOES N-Q&amp;CBOEING PROPRIETARY
&amp;A&amp;RSDA-3.2.08-01
Rev A Preliminary/DCN008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110"/>
  <sheetViews>
    <sheetView workbookViewId="0" topLeftCell="A61">
      <selection activeCell="M107" sqref="M107"/>
    </sheetView>
  </sheetViews>
  <sheetFormatPr defaultColWidth="9.140625" defaultRowHeight="12.75"/>
  <cols>
    <col min="1" max="3" width="3.421875" style="0" customWidth="1"/>
    <col min="4" max="4" width="29.7109375" style="0" customWidth="1"/>
    <col min="5" max="8" width="11.7109375" style="63" customWidth="1"/>
    <col min="9" max="13" width="10.7109375" style="63" customWidth="1"/>
    <col min="14" max="16" width="10.7109375" style="63" hidden="1" customWidth="1"/>
    <col min="17" max="17" width="10.7109375" style="63" customWidth="1"/>
    <col min="18" max="18" width="44.7109375" style="0" customWidth="1"/>
    <col min="19" max="19" width="83.28125" style="0" bestFit="1" customWidth="1"/>
    <col min="20" max="20" width="101.7109375" style="0" bestFit="1" customWidth="1"/>
    <col min="21" max="21" width="114.7109375" style="0" bestFit="1" customWidth="1"/>
    <col min="22" max="22" width="101.57421875" style="0" bestFit="1" customWidth="1"/>
    <col min="23" max="16384" width="8.8515625" style="0" customWidth="1"/>
  </cols>
  <sheetData>
    <row r="1" spans="1:22" s="2" customFormat="1" ht="13.5" thickBot="1">
      <c r="A1" s="109"/>
      <c r="B1" s="110"/>
      <c r="C1" s="110"/>
      <c r="D1" s="111"/>
      <c r="E1" s="4"/>
      <c r="F1" s="1" t="s">
        <v>0</v>
      </c>
      <c r="G1" s="5" t="s">
        <v>1</v>
      </c>
      <c r="H1" s="6"/>
      <c r="I1" s="7" t="s">
        <v>2</v>
      </c>
      <c r="J1" s="7"/>
      <c r="K1" s="6"/>
      <c r="L1" s="5" t="s">
        <v>3</v>
      </c>
      <c r="M1" s="6"/>
      <c r="N1" s="83"/>
      <c r="O1" s="83"/>
      <c r="P1" s="83"/>
      <c r="Q1" s="8"/>
      <c r="R1" s="9"/>
      <c r="S1" s="289"/>
      <c r="T1" s="290"/>
      <c r="U1" s="291"/>
      <c r="V1" s="292"/>
    </row>
    <row r="2" spans="1:22" s="12" customFormat="1" ht="39" customHeight="1" thickBot="1">
      <c r="A2" s="198" t="s">
        <v>4</v>
      </c>
      <c r="B2" s="199"/>
      <c r="C2" s="199"/>
      <c r="D2" s="200"/>
      <c r="E2" s="10" t="s">
        <v>5</v>
      </c>
      <c r="F2" s="10" t="s">
        <v>6</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row>
    <row r="3" spans="1:20" s="341" customFormat="1" ht="13.5" thickBot="1">
      <c r="A3" s="103" t="s">
        <v>16</v>
      </c>
      <c r="B3" s="103"/>
      <c r="C3" s="103"/>
      <c r="D3" s="103"/>
      <c r="E3" s="13"/>
      <c r="F3" s="13"/>
      <c r="G3" s="13"/>
      <c r="H3" s="13"/>
      <c r="I3" s="13"/>
      <c r="J3" s="13"/>
      <c r="K3" s="13"/>
      <c r="L3" s="13"/>
      <c r="M3" s="13"/>
      <c r="N3" s="13"/>
      <c r="O3" s="13"/>
      <c r="P3" s="13"/>
      <c r="Q3" s="13"/>
      <c r="R3" s="348"/>
      <c r="S3" s="348"/>
      <c r="T3" s="349"/>
    </row>
    <row r="4" spans="1:22" s="2" customFormat="1" ht="12.75">
      <c r="A4" s="127" t="s">
        <v>152</v>
      </c>
      <c r="B4" s="128"/>
      <c r="C4" s="128"/>
      <c r="D4" s="115"/>
      <c r="E4"/>
      <c r="F4" s="201" t="s">
        <v>17</v>
      </c>
      <c r="G4" s="562" t="s">
        <v>788</v>
      </c>
      <c r="H4"/>
      <c r="I4" s="75"/>
      <c r="J4" s="18"/>
      <c r="K4" s="18"/>
      <c r="L4" s="18"/>
      <c r="M4" s="351"/>
      <c r="N4" s="18"/>
      <c r="O4" s="18"/>
      <c r="P4" s="18"/>
      <c r="Q4" s="18"/>
      <c r="R4" s="294"/>
      <c r="S4" s="332"/>
      <c r="T4" s="306" t="s">
        <v>265</v>
      </c>
      <c r="U4" s="307"/>
      <c r="V4" s="379"/>
    </row>
    <row r="5" spans="1:22" s="2" customFormat="1" ht="12.75">
      <c r="A5" s="116"/>
      <c r="B5" s="106" t="s">
        <v>18</v>
      </c>
      <c r="C5" s="106"/>
      <c r="D5" s="104"/>
      <c r="E5" s="22" t="s">
        <v>19</v>
      </c>
      <c r="F5" s="164">
        <v>2.6</v>
      </c>
      <c r="G5" s="563">
        <v>2.934</v>
      </c>
      <c r="H5" s="22"/>
      <c r="I5" s="52">
        <f>G5</f>
        <v>2.934</v>
      </c>
      <c r="J5" s="23"/>
      <c r="K5" s="23"/>
      <c r="L5" s="77">
        <f>I5</f>
        <v>2.934</v>
      </c>
      <c r="M5" s="352"/>
      <c r="N5" s="23"/>
      <c r="O5" s="23"/>
      <c r="P5" s="23"/>
      <c r="Q5" s="23"/>
      <c r="R5" s="295"/>
      <c r="S5" s="319"/>
      <c r="T5" s="309" t="s">
        <v>265</v>
      </c>
      <c r="U5" s="310"/>
      <c r="V5" s="380"/>
    </row>
    <row r="6" spans="1:22" s="2" customFormat="1" ht="12.75">
      <c r="A6" s="116" t="s">
        <v>153</v>
      </c>
      <c r="B6" s="106"/>
      <c r="C6" s="106"/>
      <c r="D6" s="104"/>
      <c r="E6"/>
      <c r="F6" s="203" t="s">
        <v>17</v>
      </c>
      <c r="G6" s="564" t="s">
        <v>788</v>
      </c>
      <c r="H6"/>
      <c r="I6" s="204"/>
      <c r="J6" s="18"/>
      <c r="K6" s="18"/>
      <c r="L6" s="18"/>
      <c r="M6" s="351"/>
      <c r="N6" s="18"/>
      <c r="O6" s="18"/>
      <c r="P6" s="18"/>
      <c r="Q6" s="18"/>
      <c r="R6" s="294"/>
      <c r="S6" s="319"/>
      <c r="T6" s="309" t="s">
        <v>265</v>
      </c>
      <c r="U6" s="310"/>
      <c r="V6" s="380"/>
    </row>
    <row r="7" spans="1:22" s="2" customFormat="1" ht="13.5" thickBot="1">
      <c r="A7" s="138"/>
      <c r="B7" s="139" t="s">
        <v>18</v>
      </c>
      <c r="C7" s="139"/>
      <c r="D7" s="140"/>
      <c r="E7" s="22" t="s">
        <v>19</v>
      </c>
      <c r="F7" s="147">
        <v>0.04</v>
      </c>
      <c r="G7" s="565">
        <v>0.72</v>
      </c>
      <c r="H7" s="22"/>
      <c r="I7" s="52">
        <f>G7</f>
        <v>0.72</v>
      </c>
      <c r="J7" s="23"/>
      <c r="K7" s="78"/>
      <c r="L7" s="77">
        <f>I7</f>
        <v>0.72</v>
      </c>
      <c r="M7" s="352"/>
      <c r="N7" s="23"/>
      <c r="O7" s="23"/>
      <c r="P7" s="23"/>
      <c r="Q7" s="23"/>
      <c r="R7" s="295"/>
      <c r="S7" s="334"/>
      <c r="T7" s="314" t="s">
        <v>265</v>
      </c>
      <c r="U7" s="329"/>
      <c r="V7" s="381"/>
    </row>
    <row r="8" spans="1:20" s="341" customFormat="1" ht="13.5" thickBot="1">
      <c r="A8" s="103" t="s">
        <v>86</v>
      </c>
      <c r="B8" s="103"/>
      <c r="C8" s="103"/>
      <c r="D8" s="103"/>
      <c r="E8" s="13"/>
      <c r="F8" s="13"/>
      <c r="G8" s="13"/>
      <c r="H8" s="13"/>
      <c r="I8" s="13"/>
      <c r="J8" s="13"/>
      <c r="K8" s="13"/>
      <c r="L8" s="13"/>
      <c r="M8" s="353"/>
      <c r="N8" s="13"/>
      <c r="O8" s="13"/>
      <c r="P8" s="13"/>
      <c r="Q8" s="13"/>
      <c r="R8" s="348"/>
      <c r="S8" s="348"/>
      <c r="T8" s="348"/>
    </row>
    <row r="9" spans="1:22" s="2" customFormat="1" ht="12.75">
      <c r="A9" s="127" t="s">
        <v>87</v>
      </c>
      <c r="B9" s="128"/>
      <c r="C9" s="128"/>
      <c r="D9" s="115"/>
      <c r="E9" s="15" t="s">
        <v>19</v>
      </c>
      <c r="F9" s="148">
        <v>1676</v>
      </c>
      <c r="G9" s="148">
        <v>1676</v>
      </c>
      <c r="H9" s="17"/>
      <c r="I9" s="523">
        <f>G9</f>
        <v>1676</v>
      </c>
      <c r="J9" s="18"/>
      <c r="K9" s="18"/>
      <c r="L9" s="18"/>
      <c r="M9" s="351"/>
      <c r="N9" s="18"/>
      <c r="O9" s="18"/>
      <c r="P9" s="18"/>
      <c r="Q9" s="18"/>
      <c r="R9" s="137"/>
      <c r="S9" s="332"/>
      <c r="T9" s="306" t="s">
        <v>266</v>
      </c>
      <c r="U9" s="307"/>
      <c r="V9" s="308"/>
    </row>
    <row r="10" spans="1:22" s="157" customFormat="1" ht="12.75">
      <c r="A10" s="116"/>
      <c r="B10" s="106"/>
      <c r="C10" s="106" t="s">
        <v>88</v>
      </c>
      <c r="D10" s="104"/>
      <c r="E10" s="20" t="s">
        <v>89</v>
      </c>
      <c r="F10" s="167">
        <v>1.9952844884846646</v>
      </c>
      <c r="G10" s="149">
        <v>5.4</v>
      </c>
      <c r="H10" s="22"/>
      <c r="I10" s="524">
        <f>(10^(I11/10))/1000</f>
        <v>6.798197223688501</v>
      </c>
      <c r="J10" s="23"/>
      <c r="K10" s="23"/>
      <c r="L10" s="23"/>
      <c r="M10" s="352"/>
      <c r="N10" s="23"/>
      <c r="O10" s="23"/>
      <c r="P10" s="23"/>
      <c r="Q10" s="23"/>
      <c r="R10" s="24"/>
      <c r="S10" s="319"/>
      <c r="T10" s="313" t="s">
        <v>270</v>
      </c>
      <c r="U10" s="310"/>
      <c r="V10" s="311"/>
    </row>
    <row r="11" spans="1:22" s="157" customFormat="1" ht="12.75">
      <c r="A11" s="116"/>
      <c r="B11" s="106" t="s">
        <v>88</v>
      </c>
      <c r="C11" s="106"/>
      <c r="D11" s="104"/>
      <c r="E11" s="20" t="s">
        <v>61</v>
      </c>
      <c r="F11" s="168">
        <f>10*LOG(F10)+30</f>
        <v>33.00004826323822</v>
      </c>
      <c r="G11" s="168">
        <f>10*LOG(G10)+30</f>
        <v>37.32393759822968</v>
      </c>
      <c r="H11" s="537" t="str">
        <f>IF(J11=-K11,CONCATENATE("±",TEXT(ABS(J11),"0.0#")),CONCATENATE(TEXT(J11,"+0.0#;-0.0#"),"/",TEXT(K11,"+0.0#;-0.0#")))</f>
        <v>±1.0</v>
      </c>
      <c r="I11" s="525">
        <f>G11+J11</f>
        <v>38.32393759822968</v>
      </c>
      <c r="J11" s="26">
        <v>1</v>
      </c>
      <c r="K11" s="26">
        <v>-1</v>
      </c>
      <c r="L11" s="40">
        <f>I11+((J11+K11)/3)</f>
        <v>38.32393759822968</v>
      </c>
      <c r="M11" s="53">
        <f>(J11^2+K11^2-(K11*J11))/18</f>
        <v>0.16666666666666666</v>
      </c>
      <c r="N11" s="41"/>
      <c r="O11" s="41"/>
      <c r="P11" s="41"/>
      <c r="Q11" s="20" t="s">
        <v>36</v>
      </c>
      <c r="R11" s="24"/>
      <c r="S11" s="319"/>
      <c r="T11" s="313" t="s">
        <v>270</v>
      </c>
      <c r="U11" s="312" t="s">
        <v>290</v>
      </c>
      <c r="V11" s="313" t="s">
        <v>324</v>
      </c>
    </row>
    <row r="12" spans="1:22" s="2" customFormat="1" ht="12.75">
      <c r="A12" s="116"/>
      <c r="B12" s="106" t="s">
        <v>113</v>
      </c>
      <c r="C12" s="106"/>
      <c r="D12" s="104"/>
      <c r="E12" s="20" t="s">
        <v>27</v>
      </c>
      <c r="F12" s="149" t="s">
        <v>31</v>
      </c>
      <c r="G12" s="149">
        <v>0</v>
      </c>
      <c r="H12" s="25" t="s">
        <v>68</v>
      </c>
      <c r="I12" s="525">
        <f>G12*0.9</f>
        <v>0</v>
      </c>
      <c r="J12" s="26">
        <f>G12*0.1</f>
        <v>0</v>
      </c>
      <c r="K12" s="26">
        <f>-G12*0.1</f>
        <v>0</v>
      </c>
      <c r="L12" s="40">
        <f>I12+((J12+K12)/2)</f>
        <v>0</v>
      </c>
      <c r="M12" s="53">
        <f>((J12-K12)^2)/36</f>
        <v>0</v>
      </c>
      <c r="N12" s="41"/>
      <c r="O12" s="41"/>
      <c r="P12" s="41"/>
      <c r="Q12" s="20" t="s">
        <v>32</v>
      </c>
      <c r="R12" s="24" t="s">
        <v>114</v>
      </c>
      <c r="S12" s="319"/>
      <c r="T12" s="313" t="s">
        <v>279</v>
      </c>
      <c r="U12" s="312" t="s">
        <v>292</v>
      </c>
      <c r="V12" s="313" t="s">
        <v>324</v>
      </c>
    </row>
    <row r="13" spans="1:22" s="2" customFormat="1" ht="12.75">
      <c r="A13" s="116"/>
      <c r="B13" s="106" t="s">
        <v>92</v>
      </c>
      <c r="C13" s="106"/>
      <c r="D13" s="104"/>
      <c r="E13" s="20" t="s">
        <v>27</v>
      </c>
      <c r="F13" s="149" t="s">
        <v>65</v>
      </c>
      <c r="G13" s="539">
        <v>1.5</v>
      </c>
      <c r="H13" s="538" t="str">
        <f>IF(J13=-K13,CONCATENATE("±",TEXT(ABS(J13),"0.0#")),CONCATENATE(TEXT(J13,"+0.0#;-0.0#"),"/",TEXT(K13,"+0.0#;-0.0#")))</f>
        <v>±0.25</v>
      </c>
      <c r="I13" s="52">
        <f>G13+J13</f>
        <v>1.25</v>
      </c>
      <c r="J13" s="26">
        <v>-0.25</v>
      </c>
      <c r="K13" s="26">
        <v>0.25</v>
      </c>
      <c r="L13" s="40">
        <f>I13+((J13+K13)/2)</f>
        <v>1.25</v>
      </c>
      <c r="M13" s="53">
        <f>((J13-K13)^2)/12</f>
        <v>0.020833333333333332</v>
      </c>
      <c r="N13" s="41"/>
      <c r="O13" s="41"/>
      <c r="P13" s="41"/>
      <c r="Q13" s="20" t="s">
        <v>39</v>
      </c>
      <c r="R13" s="24"/>
      <c r="S13" s="319"/>
      <c r="T13" s="313" t="s">
        <v>271</v>
      </c>
      <c r="U13" s="312" t="s">
        <v>291</v>
      </c>
      <c r="V13" s="313" t="s">
        <v>324</v>
      </c>
    </row>
    <row r="14" spans="1:22" s="2" customFormat="1" ht="12.75">
      <c r="A14" s="116"/>
      <c r="B14" s="106" t="s">
        <v>94</v>
      </c>
      <c r="C14" s="106"/>
      <c r="D14" s="104"/>
      <c r="E14" s="20" t="s">
        <v>27</v>
      </c>
      <c r="F14" s="149">
        <v>2.9</v>
      </c>
      <c r="G14" s="539">
        <v>1.42</v>
      </c>
      <c r="H14" s="538" t="str">
        <f>IF(J14=-K14,CONCATENATE("±",TEXT(ABS(J14),"0.0#")),CONCATENATE(TEXT(J14,"+0.0#;-0.0#"),"/",TEXT(K14,"+0.0#;-0.0#")))</f>
        <v>±0.22</v>
      </c>
      <c r="I14" s="52">
        <f>G14+J14</f>
        <v>1.2</v>
      </c>
      <c r="J14" s="26">
        <v>-0.22</v>
      </c>
      <c r="K14" s="26">
        <f>-J14</f>
        <v>0.22</v>
      </c>
      <c r="L14" s="40">
        <f>I14+((J14+K14)/2)</f>
        <v>1.2</v>
      </c>
      <c r="M14" s="53">
        <f>((J14-K14)^2)/12</f>
        <v>0.016133333333333333</v>
      </c>
      <c r="N14" s="41"/>
      <c r="O14" s="41"/>
      <c r="P14" s="41"/>
      <c r="Q14" s="20" t="s">
        <v>39</v>
      </c>
      <c r="R14" s="24" t="s">
        <v>95</v>
      </c>
      <c r="S14" s="319"/>
      <c r="T14" s="313" t="s">
        <v>279</v>
      </c>
      <c r="U14" s="312" t="s">
        <v>291</v>
      </c>
      <c r="V14" s="313" t="s">
        <v>324</v>
      </c>
    </row>
    <row r="15" spans="1:22" s="2" customFormat="1" ht="12.75">
      <c r="A15" s="116"/>
      <c r="B15" s="106"/>
      <c r="C15" s="106" t="s">
        <v>96</v>
      </c>
      <c r="D15" s="104"/>
      <c r="E15" s="20" t="s">
        <v>61</v>
      </c>
      <c r="F15" s="159" t="s">
        <v>65</v>
      </c>
      <c r="G15" s="84">
        <f>G11-G12-G13-G14</f>
        <v>34.40393759822968</v>
      </c>
      <c r="H15" s="675"/>
      <c r="I15" s="99">
        <f>I11-I12-I13-I14</f>
        <v>35.87393759822968</v>
      </c>
      <c r="J15" s="99">
        <f>3*SQRT(M15)</f>
        <v>1.3537725067381152</v>
      </c>
      <c r="K15" s="99">
        <f>-3*SQRT(M15)</f>
        <v>-1.3537725067381152</v>
      </c>
      <c r="L15" s="99">
        <f>L11-L12-L13-L14</f>
        <v>35.87393759822968</v>
      </c>
      <c r="M15" s="591">
        <f>M11+M12+M13+M14</f>
        <v>0.20363333333333333</v>
      </c>
      <c r="N15" s="99"/>
      <c r="O15" s="99"/>
      <c r="P15" s="99"/>
      <c r="Q15" s="26" t="s">
        <v>32</v>
      </c>
      <c r="R15" s="24" t="s">
        <v>97</v>
      </c>
      <c r="S15" s="297" t="s">
        <v>367</v>
      </c>
      <c r="T15" s="311"/>
      <c r="U15" s="298" t="s">
        <v>377</v>
      </c>
      <c r="V15" s="425" t="s">
        <v>302</v>
      </c>
    </row>
    <row r="16" spans="1:22" s="2" customFormat="1" ht="12.75">
      <c r="A16" s="116"/>
      <c r="B16" s="106" t="s">
        <v>58</v>
      </c>
      <c r="C16" s="106"/>
      <c r="D16" s="104"/>
      <c r="E16" s="20" t="s">
        <v>27</v>
      </c>
      <c r="F16" s="149" t="s">
        <v>65</v>
      </c>
      <c r="G16" s="539">
        <v>0.44</v>
      </c>
      <c r="H16" s="538" t="str">
        <f>IF(J16=-K16,CONCATENATE("±",TEXT(ABS(J16),"0.0#")),CONCATENATE(TEXT(J16,"+0.0#;-0.0#"),"/",TEXT(K16,"+0.0#;-0.0#")))</f>
        <v>±0.05</v>
      </c>
      <c r="I16" s="52">
        <f>G16+J16</f>
        <v>0.39</v>
      </c>
      <c r="J16" s="26">
        <v>-0.05</v>
      </c>
      <c r="K16" s="26">
        <f>-J16</f>
        <v>0.05</v>
      </c>
      <c r="L16" s="40">
        <f>I16+((J16+K16)/2)</f>
        <v>0.39</v>
      </c>
      <c r="M16" s="53">
        <f>((J16-K16)^2)/12</f>
        <v>0.0008333333333333335</v>
      </c>
      <c r="N16" s="41"/>
      <c r="O16" s="41"/>
      <c r="P16" s="41"/>
      <c r="Q16" s="20" t="s">
        <v>39</v>
      </c>
      <c r="R16" s="24" t="s">
        <v>98</v>
      </c>
      <c r="S16" s="319"/>
      <c r="T16" s="313" t="s">
        <v>279</v>
      </c>
      <c r="U16" s="312" t="s">
        <v>291</v>
      </c>
      <c r="V16" s="313" t="s">
        <v>324</v>
      </c>
    </row>
    <row r="17" spans="1:22" s="2" customFormat="1" ht="12.75">
      <c r="A17" s="116"/>
      <c r="B17" s="106" t="s">
        <v>55</v>
      </c>
      <c r="C17" s="106"/>
      <c r="D17" s="104"/>
      <c r="E17" s="20" t="s">
        <v>56</v>
      </c>
      <c r="F17" s="149">
        <v>16.5</v>
      </c>
      <c r="G17" s="539">
        <v>14.5</v>
      </c>
      <c r="H17" s="538" t="str">
        <f>IF(J17=-K17,CONCATENATE("±",TEXT(ABS(J17),"0.0#")),CONCATENATE(TEXT(J17,"+0.0#;-0.0#"),"/",TEXT(K17,"+0.0#;-0.0#")))</f>
        <v>±0.15</v>
      </c>
      <c r="I17" s="52">
        <f>G17+J17</f>
        <v>14.65</v>
      </c>
      <c r="J17" s="26">
        <v>0.15</v>
      </c>
      <c r="K17" s="26">
        <v>-0.15</v>
      </c>
      <c r="L17" s="40">
        <f>I17+((J17+K17)/3)</f>
        <v>14.65</v>
      </c>
      <c r="M17" s="53">
        <f>(J17^2+K17^2-(K17*J17))/18</f>
        <v>0.0037500000000000003</v>
      </c>
      <c r="N17" s="41"/>
      <c r="O17" s="41"/>
      <c r="P17" s="41"/>
      <c r="Q17" s="20" t="s">
        <v>36</v>
      </c>
      <c r="R17" s="24" t="s">
        <v>57</v>
      </c>
      <c r="S17" s="319"/>
      <c r="T17" s="313" t="s">
        <v>272</v>
      </c>
      <c r="U17" s="312" t="s">
        <v>290</v>
      </c>
      <c r="V17" s="313" t="s">
        <v>324</v>
      </c>
    </row>
    <row r="18" spans="1:22" s="2" customFormat="1" ht="12.75">
      <c r="A18" s="116"/>
      <c r="B18" s="106"/>
      <c r="C18" s="106" t="s">
        <v>22</v>
      </c>
      <c r="D18" s="104"/>
      <c r="E18" s="36" t="s">
        <v>23</v>
      </c>
      <c r="F18" s="164" t="s">
        <v>24</v>
      </c>
      <c r="G18" s="563" t="s">
        <v>24</v>
      </c>
      <c r="H18" s="77"/>
      <c r="I18" s="52" t="str">
        <f>G18</f>
        <v>linear</v>
      </c>
      <c r="J18" s="23"/>
      <c r="K18" s="23"/>
      <c r="L18" s="23"/>
      <c r="M18" s="352"/>
      <c r="N18" s="23"/>
      <c r="O18" s="23"/>
      <c r="P18" s="23"/>
      <c r="Q18" s="23"/>
      <c r="R18" s="24" t="s">
        <v>25</v>
      </c>
      <c r="S18" s="319"/>
      <c r="T18" s="309" t="s">
        <v>267</v>
      </c>
      <c r="U18" s="310"/>
      <c r="V18" s="311"/>
    </row>
    <row r="19" spans="1:22" s="2" customFormat="1" ht="12.75">
      <c r="A19" s="116"/>
      <c r="B19" s="106"/>
      <c r="C19" s="106" t="s">
        <v>26</v>
      </c>
      <c r="D19" s="104"/>
      <c r="E19" s="36" t="s">
        <v>27</v>
      </c>
      <c r="F19" s="155" t="s">
        <v>28</v>
      </c>
      <c r="G19" s="155" t="s">
        <v>28</v>
      </c>
      <c r="H19" s="22"/>
      <c r="I19" s="52" t="str">
        <f>G19</f>
        <v> --</v>
      </c>
      <c r="J19" s="23"/>
      <c r="K19" s="23"/>
      <c r="L19" s="23"/>
      <c r="M19" s="352"/>
      <c r="N19" s="23"/>
      <c r="O19" s="23"/>
      <c r="P19" s="23"/>
      <c r="Q19" s="23"/>
      <c r="R19" s="24" t="s">
        <v>29</v>
      </c>
      <c r="S19" s="319"/>
      <c r="T19" s="309" t="s">
        <v>267</v>
      </c>
      <c r="U19" s="310"/>
      <c r="V19" s="311"/>
    </row>
    <row r="20" spans="1:22" s="2" customFormat="1" ht="12.75">
      <c r="A20" s="116" t="s">
        <v>34</v>
      </c>
      <c r="B20" s="106"/>
      <c r="C20" s="106"/>
      <c r="D20" s="104"/>
      <c r="E20" s="20" t="s">
        <v>35</v>
      </c>
      <c r="F20" s="159">
        <f>F11-F14+F17</f>
        <v>46.60004826323822</v>
      </c>
      <c r="G20" s="159">
        <f>G11-G12-G13-G14-G16+G17</f>
        <v>48.463937598229684</v>
      </c>
      <c r="H20" s="22"/>
      <c r="I20" s="43">
        <f>I11-I12-I13-I14-I16+I17</f>
        <v>50.13393759822968</v>
      </c>
      <c r="J20" s="23"/>
      <c r="K20" s="23"/>
      <c r="L20" s="463">
        <f>L11-L12-L13-L14-L16+L17</f>
        <v>50.13393759822968</v>
      </c>
      <c r="M20" s="354">
        <f>M11+M12+M13+M14+M16+M17</f>
        <v>0.20821666666666666</v>
      </c>
      <c r="N20" s="84"/>
      <c r="O20" s="84"/>
      <c r="P20" s="84"/>
      <c r="Q20" s="20" t="s">
        <v>32</v>
      </c>
      <c r="R20" s="24"/>
      <c r="S20" s="297" t="s">
        <v>325</v>
      </c>
      <c r="T20" s="311"/>
      <c r="U20" s="298" t="s">
        <v>319</v>
      </c>
      <c r="V20" s="313" t="s">
        <v>302</v>
      </c>
    </row>
    <row r="21" spans="1:22" s="2" customFormat="1" ht="12.75">
      <c r="A21" s="116" t="s">
        <v>99</v>
      </c>
      <c r="B21" s="106"/>
      <c r="C21" s="106"/>
      <c r="D21" s="104"/>
      <c r="E21" s="20"/>
      <c r="F21" s="149">
        <v>1</v>
      </c>
      <c r="G21" s="149">
        <v>1</v>
      </c>
      <c r="H21" s="22"/>
      <c r="I21" s="52">
        <v>1</v>
      </c>
      <c r="J21" s="23"/>
      <c r="K21" s="23"/>
      <c r="L21" s="23"/>
      <c r="M21" s="352"/>
      <c r="N21" s="23"/>
      <c r="O21" s="23"/>
      <c r="P21" s="23"/>
      <c r="Q21" s="23"/>
      <c r="R21" s="24" t="s">
        <v>100</v>
      </c>
      <c r="S21" s="319"/>
      <c r="T21" s="309" t="s">
        <v>274</v>
      </c>
      <c r="U21" s="310"/>
      <c r="V21" s="311"/>
    </row>
    <row r="22" spans="1:22" s="2" customFormat="1" ht="13.5" thickBot="1">
      <c r="A22" s="138" t="s">
        <v>101</v>
      </c>
      <c r="B22" s="139"/>
      <c r="C22" s="139"/>
      <c r="D22" s="140"/>
      <c r="E22" s="31" t="s">
        <v>35</v>
      </c>
      <c r="F22" s="213">
        <f>F20-10*LOG(F21)</f>
        <v>46.60004826323822</v>
      </c>
      <c r="G22" s="246">
        <f>G20-10*LOG(G21)</f>
        <v>48.463937598229684</v>
      </c>
      <c r="H22" s="17"/>
      <c r="I22" s="32">
        <f>I20-10*LOG(I21)</f>
        <v>50.13393759822968</v>
      </c>
      <c r="J22" s="18"/>
      <c r="K22" s="18"/>
      <c r="L22" s="464">
        <f>L20-10*LOG(I21)</f>
        <v>50.13393759822968</v>
      </c>
      <c r="M22" s="355">
        <f>M20</f>
        <v>0.20821666666666666</v>
      </c>
      <c r="N22" s="44"/>
      <c r="O22" s="44"/>
      <c r="P22" s="44"/>
      <c r="Q22" s="20" t="s">
        <v>32</v>
      </c>
      <c r="R22" s="216" t="s">
        <v>102</v>
      </c>
      <c r="S22" s="322" t="s">
        <v>326</v>
      </c>
      <c r="T22" s="328"/>
      <c r="U22" s="299" t="s">
        <v>320</v>
      </c>
      <c r="V22" s="316" t="s">
        <v>302</v>
      </c>
    </row>
    <row r="23" spans="1:20" s="341" customFormat="1" ht="13.5" thickBot="1">
      <c r="A23" s="103" t="s">
        <v>103</v>
      </c>
      <c r="B23" s="103"/>
      <c r="C23" s="103"/>
      <c r="D23" s="103"/>
      <c r="E23" s="13"/>
      <c r="F23" s="145"/>
      <c r="G23" s="145"/>
      <c r="H23" s="13"/>
      <c r="I23" s="13"/>
      <c r="J23" s="13"/>
      <c r="K23" s="13"/>
      <c r="L23" s="13"/>
      <c r="M23" s="353"/>
      <c r="N23" s="13"/>
      <c r="O23" s="13"/>
      <c r="P23" s="13"/>
      <c r="Q23" s="13"/>
      <c r="R23" s="348"/>
      <c r="T23" s="119"/>
    </row>
    <row r="24" spans="1:22" s="2" customFormat="1" ht="12.75">
      <c r="A24" s="127"/>
      <c r="B24" s="128" t="s">
        <v>43</v>
      </c>
      <c r="C24" s="128"/>
      <c r="D24" s="115"/>
      <c r="E24" s="15" t="s">
        <v>44</v>
      </c>
      <c r="F24" s="158"/>
      <c r="G24" s="158">
        <v>41126.8</v>
      </c>
      <c r="H24" s="17"/>
      <c r="I24" s="523">
        <v>41126.8</v>
      </c>
      <c r="J24" s="27">
        <v>40037.8</v>
      </c>
      <c r="K24" s="27">
        <v>41392</v>
      </c>
      <c r="L24" s="18"/>
      <c r="M24" s="351"/>
      <c r="N24" s="18"/>
      <c r="O24" s="18"/>
      <c r="P24" s="18"/>
      <c r="Q24" s="18"/>
      <c r="R24" s="137" t="s">
        <v>304</v>
      </c>
      <c r="S24" s="332"/>
      <c r="T24" s="306" t="s">
        <v>276</v>
      </c>
      <c r="U24" s="307"/>
      <c r="V24" s="308"/>
    </row>
    <row r="25" spans="1:22" s="2" customFormat="1" ht="12.75">
      <c r="A25" s="116" t="s">
        <v>45</v>
      </c>
      <c r="B25" s="106"/>
      <c r="C25" s="106"/>
      <c r="D25" s="104"/>
      <c r="E25" s="20" t="s">
        <v>27</v>
      </c>
      <c r="F25" s="159">
        <v>189.4</v>
      </c>
      <c r="G25" s="159">
        <f>(20*LOG(G9*1000000)+20*LOG(4*PI()*G24*1000)-20*LOG(300000000))</f>
        <v>189.209750855452</v>
      </c>
      <c r="H25" s="30"/>
      <c r="I25" s="160">
        <f>(20*LOG($I$9*1000000)+20*LOG(4*PI()*I24*1000)-20*LOG(300000000))</f>
        <v>189.209750855452</v>
      </c>
      <c r="J25" s="44">
        <f>-(I25-(20*LOG($I$9*1000000)+20*LOG(4*PI()*J24*1000)-20*LOG(300000000)))</f>
        <v>-0.23309426716758708</v>
      </c>
      <c r="K25" s="44">
        <f>-(I25-(20*LOG($I$9*1000000)+20*LOG(4*PI()*K24*1000)-20*LOG(300000000)))</f>
        <v>0.055829843931235246</v>
      </c>
      <c r="L25" s="40">
        <f>I25+((J25+K25)/3)</f>
        <v>189.15066271437323</v>
      </c>
      <c r="M25" s="53">
        <f>(J25^2+K25^2-(K25*J25))/18</f>
        <v>0.003914640300945144</v>
      </c>
      <c r="N25" s="41"/>
      <c r="O25" s="41"/>
      <c r="P25" s="41"/>
      <c r="Q25" s="20" t="s">
        <v>36</v>
      </c>
      <c r="R25" s="24" t="s">
        <v>46</v>
      </c>
      <c r="S25" s="296" t="s">
        <v>257</v>
      </c>
      <c r="T25" s="311"/>
      <c r="U25" s="312" t="s">
        <v>290</v>
      </c>
      <c r="V25" s="313" t="s">
        <v>324</v>
      </c>
    </row>
    <row r="26" spans="1:22" s="2" customFormat="1" ht="13.5" thickBot="1">
      <c r="A26" s="138" t="s">
        <v>47</v>
      </c>
      <c r="B26" s="139"/>
      <c r="C26" s="139"/>
      <c r="D26" s="140"/>
      <c r="E26" s="20" t="s">
        <v>27</v>
      </c>
      <c r="F26" s="149">
        <v>0</v>
      </c>
      <c r="G26" s="149">
        <v>0.35</v>
      </c>
      <c r="H26" s="225" t="s">
        <v>104</v>
      </c>
      <c r="I26" s="52">
        <v>0.35</v>
      </c>
      <c r="J26" s="26">
        <f>-(0.35-0.13)</f>
        <v>-0.21999999999999997</v>
      </c>
      <c r="K26" s="26">
        <f>-(0.35-1.67)</f>
        <v>1.3199999999999998</v>
      </c>
      <c r="L26" s="20">
        <f>I26+((J26+K26)/2)</f>
        <v>0.8999999999999999</v>
      </c>
      <c r="M26" s="53">
        <f>((J26-K26)^2)/36</f>
        <v>0.06587777777777776</v>
      </c>
      <c r="N26" s="20"/>
      <c r="O26" s="20"/>
      <c r="P26" s="20"/>
      <c r="Q26" s="20" t="s">
        <v>32</v>
      </c>
      <c r="R26" s="216" t="s">
        <v>48</v>
      </c>
      <c r="S26" s="334"/>
      <c r="T26" s="316" t="s">
        <v>301</v>
      </c>
      <c r="U26" s="315" t="s">
        <v>292</v>
      </c>
      <c r="V26" s="316" t="s">
        <v>324</v>
      </c>
    </row>
    <row r="27" spans="1:20" s="341" customFormat="1" ht="13.5" thickBot="1">
      <c r="A27" s="103" t="s">
        <v>105</v>
      </c>
      <c r="B27" s="103"/>
      <c r="C27" s="103"/>
      <c r="D27" s="103"/>
      <c r="E27" s="13"/>
      <c r="F27" s="145"/>
      <c r="G27" s="145"/>
      <c r="H27" s="13"/>
      <c r="I27" s="13"/>
      <c r="J27" s="13"/>
      <c r="K27" s="13"/>
      <c r="L27" s="13"/>
      <c r="M27" s="353"/>
      <c r="N27" s="13"/>
      <c r="O27" s="13"/>
      <c r="P27" s="13"/>
      <c r="Q27" s="13"/>
      <c r="R27" s="348"/>
      <c r="S27" s="348"/>
      <c r="T27" s="349"/>
    </row>
    <row r="28" spans="1:22" s="2" customFormat="1" ht="12.75">
      <c r="A28" s="127" t="s">
        <v>106</v>
      </c>
      <c r="B28" s="128"/>
      <c r="C28" s="128"/>
      <c r="D28" s="115"/>
      <c r="E28" s="15" t="s">
        <v>35</v>
      </c>
      <c r="F28" s="170">
        <f>F22-F25-F26</f>
        <v>-142.79995173676178</v>
      </c>
      <c r="G28" s="170">
        <f>G22-G25-G26</f>
        <v>-141.09581325722232</v>
      </c>
      <c r="H28" s="17"/>
      <c r="I28" s="32">
        <f>I22-I25-I26</f>
        <v>-139.4258132572223</v>
      </c>
      <c r="J28" s="18"/>
      <c r="K28" s="18"/>
      <c r="L28" s="34">
        <f>L22-L25-L26</f>
        <v>-139.91672511614357</v>
      </c>
      <c r="M28" s="356">
        <f>M22+M25+M26</f>
        <v>0.27800908474538955</v>
      </c>
      <c r="N28" s="34"/>
      <c r="O28" s="34"/>
      <c r="P28" s="34"/>
      <c r="Q28" s="20" t="s">
        <v>32</v>
      </c>
      <c r="R28" s="137"/>
      <c r="S28" s="323" t="s">
        <v>258</v>
      </c>
      <c r="T28" s="308"/>
      <c r="U28" s="323" t="s">
        <v>305</v>
      </c>
      <c r="V28" s="324" t="s">
        <v>302</v>
      </c>
    </row>
    <row r="29" spans="1:22" s="2" customFormat="1" ht="12.75">
      <c r="A29" s="116" t="s">
        <v>107</v>
      </c>
      <c r="B29" s="106"/>
      <c r="C29" s="106"/>
      <c r="D29" s="104"/>
      <c r="E29" s="20" t="s">
        <v>108</v>
      </c>
      <c r="F29" s="149">
        <v>-154</v>
      </c>
      <c r="G29" s="149">
        <v>-154</v>
      </c>
      <c r="H29" s="25"/>
      <c r="I29" s="37"/>
      <c r="J29" s="38"/>
      <c r="K29" s="38"/>
      <c r="L29" s="38"/>
      <c r="M29" s="352"/>
      <c r="N29" s="38"/>
      <c r="O29" s="38"/>
      <c r="P29" s="38"/>
      <c r="Q29" s="38"/>
      <c r="R29" s="24" t="s">
        <v>281</v>
      </c>
      <c r="S29" s="319"/>
      <c r="T29" s="309" t="s">
        <v>280</v>
      </c>
      <c r="U29" s="318"/>
      <c r="V29" s="311"/>
    </row>
    <row r="30" spans="1:22" s="2" customFormat="1" ht="12.75">
      <c r="A30" s="116" t="s">
        <v>109</v>
      </c>
      <c r="B30" s="106"/>
      <c r="C30" s="106"/>
      <c r="D30" s="104"/>
      <c r="E30" s="20" t="s">
        <v>108</v>
      </c>
      <c r="F30" s="171">
        <v>-174</v>
      </c>
      <c r="G30" s="171">
        <f>(G22-30)-10*LOG(G5*1000000)+10*LOG(4000)-G26-(10*LOG(4*PI()*(G24*1000)^2))</f>
        <v>-173.81466060730244</v>
      </c>
      <c r="H30" s="25"/>
      <c r="I30" s="37"/>
      <c r="J30" s="38"/>
      <c r="K30" s="38"/>
      <c r="L30" s="38"/>
      <c r="M30" s="352"/>
      <c r="N30" s="38"/>
      <c r="O30" s="38"/>
      <c r="P30" s="38"/>
      <c r="Q30" s="38"/>
      <c r="R30" s="24" t="s">
        <v>282</v>
      </c>
      <c r="S30" s="319"/>
      <c r="T30" s="311"/>
      <c r="U30" s="318"/>
      <c r="V30" s="311"/>
    </row>
    <row r="31" spans="1:22" s="2" customFormat="1" ht="12.75">
      <c r="A31" s="116"/>
      <c r="B31" s="106" t="s">
        <v>110</v>
      </c>
      <c r="C31" s="106"/>
      <c r="D31" s="104"/>
      <c r="E31" s="20" t="s">
        <v>77</v>
      </c>
      <c r="F31" s="149">
        <v>26</v>
      </c>
      <c r="G31" s="149">
        <v>25</v>
      </c>
      <c r="H31" s="537" t="str">
        <f>IF(J31=-K31,CONCATENATE("±",TEXT(ABS(J31),"0.0#")),CONCATENATE(TEXT(J31,"+0.0#;-0.0#"),"/",TEXT(K31,"+0.0#;-0.0#")))</f>
        <v>+1.5/-1.0</v>
      </c>
      <c r="I31" s="52">
        <v>26</v>
      </c>
      <c r="J31" s="26">
        <v>1.5</v>
      </c>
      <c r="K31" s="26">
        <v>-1</v>
      </c>
      <c r="L31" s="41">
        <f>I31+((J31+K31)/2)</f>
        <v>26.25</v>
      </c>
      <c r="M31" s="53">
        <f>((J31-K31)^2)/36</f>
        <v>0.1736111111111111</v>
      </c>
      <c r="N31" s="20"/>
      <c r="O31" s="20"/>
      <c r="P31" s="20"/>
      <c r="Q31" s="20" t="s">
        <v>32</v>
      </c>
      <c r="R31" s="24" t="s">
        <v>283</v>
      </c>
      <c r="S31" s="319"/>
      <c r="T31" s="309" t="s">
        <v>268</v>
      </c>
      <c r="U31" s="312" t="s">
        <v>292</v>
      </c>
      <c r="V31" s="313" t="s">
        <v>324</v>
      </c>
    </row>
    <row r="32" spans="1:22" s="2" customFormat="1" ht="12.75">
      <c r="A32" s="116"/>
      <c r="B32" s="106" t="s">
        <v>111</v>
      </c>
      <c r="C32" s="106"/>
      <c r="D32" s="104"/>
      <c r="E32" s="20" t="s">
        <v>27</v>
      </c>
      <c r="F32" s="149">
        <v>0.5</v>
      </c>
      <c r="G32" s="149">
        <v>0.5</v>
      </c>
      <c r="H32" s="537" t="str">
        <f>IF(J32=-K32,CONCATENATE("±",TEXT(ABS(J32),"0.0#")),CONCATENATE(TEXT(J32,"+0.0#;-0.0#"),"/",TEXT(K32,"+0.0#;-0.0#")))</f>
        <v>±0.5</v>
      </c>
      <c r="I32" s="52">
        <v>0.5</v>
      </c>
      <c r="J32" s="26">
        <v>-0.5</v>
      </c>
      <c r="K32" s="26">
        <v>0.5</v>
      </c>
      <c r="L32" s="20">
        <f>I32+((J32+K32)/2)</f>
        <v>0.5</v>
      </c>
      <c r="M32" s="53">
        <f>((J32-K32)^2)/12</f>
        <v>0.08333333333333333</v>
      </c>
      <c r="N32" s="20"/>
      <c r="O32" s="20"/>
      <c r="P32" s="20"/>
      <c r="Q32" s="20" t="s">
        <v>39</v>
      </c>
      <c r="R32" s="24" t="s">
        <v>283</v>
      </c>
      <c r="S32" s="319"/>
      <c r="T32" s="309" t="s">
        <v>268</v>
      </c>
      <c r="U32" s="312" t="s">
        <v>291</v>
      </c>
      <c r="V32" s="313" t="s">
        <v>324</v>
      </c>
    </row>
    <row r="33" spans="1:22" s="2" customFormat="1" ht="12.75">
      <c r="A33" s="116"/>
      <c r="B33" s="106"/>
      <c r="C33" s="106" t="s">
        <v>22</v>
      </c>
      <c r="D33" s="104"/>
      <c r="E33" s="36" t="s">
        <v>23</v>
      </c>
      <c r="F33" s="164" t="s">
        <v>24</v>
      </c>
      <c r="G33" s="164" t="s">
        <v>24</v>
      </c>
      <c r="H33" s="22"/>
      <c r="I33" s="52" t="str">
        <f>G33</f>
        <v>linear</v>
      </c>
      <c r="J33" s="23"/>
      <c r="K33" s="23"/>
      <c r="L33" s="23"/>
      <c r="M33" s="352"/>
      <c r="N33" s="23"/>
      <c r="O33" s="23"/>
      <c r="P33" s="23"/>
      <c r="Q33" s="23"/>
      <c r="R33" s="24" t="s">
        <v>25</v>
      </c>
      <c r="S33" s="319"/>
      <c r="T33" s="309" t="s">
        <v>267</v>
      </c>
      <c r="U33" s="310"/>
      <c r="V33" s="311"/>
    </row>
    <row r="34" spans="1:22" s="2" customFormat="1" ht="12.75">
      <c r="A34" s="116"/>
      <c r="B34" s="106"/>
      <c r="C34" s="106" t="s">
        <v>26</v>
      </c>
      <c r="D34" s="104"/>
      <c r="E34" s="36" t="s">
        <v>27</v>
      </c>
      <c r="F34" s="155" t="s">
        <v>28</v>
      </c>
      <c r="G34" s="155" t="s">
        <v>28</v>
      </c>
      <c r="H34" s="22"/>
      <c r="I34" s="52" t="str">
        <f>G34</f>
        <v> --</v>
      </c>
      <c r="J34" s="23"/>
      <c r="K34" s="23"/>
      <c r="L34" s="23"/>
      <c r="M34" s="352"/>
      <c r="N34" s="23"/>
      <c r="O34" s="23"/>
      <c r="P34" s="23"/>
      <c r="Q34" s="23"/>
      <c r="R34" s="24" t="s">
        <v>29</v>
      </c>
      <c r="S34" s="319"/>
      <c r="T34" s="309" t="s">
        <v>267</v>
      </c>
      <c r="U34" s="310"/>
      <c r="V34" s="311"/>
    </row>
    <row r="35" spans="1:22" s="2" customFormat="1" ht="12" customHeight="1">
      <c r="A35" s="116"/>
      <c r="B35" s="106" t="s">
        <v>50</v>
      </c>
      <c r="C35" s="106"/>
      <c r="D35" s="104"/>
      <c r="E35" s="20" t="s">
        <v>27</v>
      </c>
      <c r="F35" s="149">
        <v>0.2</v>
      </c>
      <c r="G35" s="149">
        <v>0.2</v>
      </c>
      <c r="H35" s="537" t="str">
        <f>IF(J35=-K35,CONCATENATE("±",TEXT(ABS(J35),"0.0#")),CONCATENATE(TEXT(J35,"+0.0#;-0.0#"),"/",TEXT(K35,"+0.0#;-0.0#")))</f>
        <v>±0.2</v>
      </c>
      <c r="I35" s="52">
        <v>0.2</v>
      </c>
      <c r="J35" s="26">
        <v>-0.2</v>
      </c>
      <c r="K35" s="26">
        <v>0.2</v>
      </c>
      <c r="L35" s="20">
        <f>I35+((J35+K35)/2)</f>
        <v>0.2</v>
      </c>
      <c r="M35" s="53">
        <f>((J35-K35)^2)/12</f>
        <v>0.013333333333333336</v>
      </c>
      <c r="N35" s="20"/>
      <c r="O35" s="20"/>
      <c r="P35" s="20"/>
      <c r="Q35" s="20" t="s">
        <v>39</v>
      </c>
      <c r="R35" s="24" t="s">
        <v>51</v>
      </c>
      <c r="S35" s="319"/>
      <c r="T35" s="311"/>
      <c r="U35" s="312" t="s">
        <v>291</v>
      </c>
      <c r="V35" s="313" t="s">
        <v>324</v>
      </c>
    </row>
    <row r="36" spans="1:22" s="2" customFormat="1" ht="12.75">
      <c r="A36" s="116"/>
      <c r="B36" s="106" t="s">
        <v>78</v>
      </c>
      <c r="C36" s="106"/>
      <c r="D36" s="104"/>
      <c r="E36" s="20" t="s">
        <v>79</v>
      </c>
      <c r="F36" s="147">
        <v>-198.6</v>
      </c>
      <c r="G36" s="147">
        <v>-198.6</v>
      </c>
      <c r="H36" s="22"/>
      <c r="I36" s="52">
        <v>-198.6</v>
      </c>
      <c r="J36" s="26">
        <v>0</v>
      </c>
      <c r="K36" s="26">
        <v>0</v>
      </c>
      <c r="L36" s="20">
        <f>I36</f>
        <v>-198.6</v>
      </c>
      <c r="M36" s="53">
        <v>0</v>
      </c>
      <c r="N36" s="20"/>
      <c r="O36" s="20"/>
      <c r="P36" s="20"/>
      <c r="Q36" s="20" t="s">
        <v>80</v>
      </c>
      <c r="R36" s="24" t="s">
        <v>81</v>
      </c>
      <c r="S36" s="319"/>
      <c r="T36" s="311"/>
      <c r="U36" s="330" t="s">
        <v>303</v>
      </c>
      <c r="V36" s="313" t="s">
        <v>302</v>
      </c>
    </row>
    <row r="37" spans="1:22" s="2" customFormat="1" ht="12.75">
      <c r="A37" s="116" t="s">
        <v>112</v>
      </c>
      <c r="B37" s="106"/>
      <c r="C37" s="106"/>
      <c r="D37" s="104"/>
      <c r="E37" s="36" t="s">
        <v>83</v>
      </c>
      <c r="F37" s="44">
        <f>F28+F31-F32-F35-F36</f>
        <v>81.10004826323821</v>
      </c>
      <c r="G37" s="44">
        <f>G28+G31-G32-G35-G36</f>
        <v>81.80418674277767</v>
      </c>
      <c r="H37" s="22"/>
      <c r="I37" s="43">
        <f>I28+I31-I32-I35-I36</f>
        <v>84.47418674277769</v>
      </c>
      <c r="J37" s="23"/>
      <c r="K37" s="23"/>
      <c r="L37" s="44">
        <f>L28+L31-L32-L35-L36</f>
        <v>84.23327488385642</v>
      </c>
      <c r="M37" s="355">
        <f>M28+M31+M32+M35+M36</f>
        <v>0.5482868625231673</v>
      </c>
      <c r="N37" s="44"/>
      <c r="O37" s="44"/>
      <c r="P37" s="44"/>
      <c r="Q37" s="20" t="s">
        <v>32</v>
      </c>
      <c r="R37" s="24"/>
      <c r="S37" s="297" t="s">
        <v>259</v>
      </c>
      <c r="T37" s="311"/>
      <c r="U37" s="378" t="s">
        <v>321</v>
      </c>
      <c r="V37" s="313" t="s">
        <v>302</v>
      </c>
    </row>
    <row r="38" spans="1:22" s="2" customFormat="1" ht="12.75">
      <c r="A38" s="116" t="s">
        <v>154</v>
      </c>
      <c r="B38" s="106"/>
      <c r="C38" s="106"/>
      <c r="D38" s="104"/>
      <c r="E38" s="20" t="s">
        <v>27</v>
      </c>
      <c r="F38" s="149">
        <v>0</v>
      </c>
      <c r="G38" s="149">
        <v>0</v>
      </c>
      <c r="H38" s="22"/>
      <c r="I38" s="52">
        <v>0</v>
      </c>
      <c r="J38" s="26">
        <v>0</v>
      </c>
      <c r="K38" s="26">
        <v>0</v>
      </c>
      <c r="L38" s="20">
        <f>I38+((J38+K38)/2)</f>
        <v>0</v>
      </c>
      <c r="M38" s="53">
        <f>((J38-K38)^2)/12</f>
        <v>0</v>
      </c>
      <c r="N38" s="20"/>
      <c r="O38" s="20"/>
      <c r="P38" s="20"/>
      <c r="Q38" s="20" t="s">
        <v>39</v>
      </c>
      <c r="R38" s="24" t="s">
        <v>116</v>
      </c>
      <c r="S38" s="319"/>
      <c r="T38" s="311"/>
      <c r="U38" s="312" t="s">
        <v>291</v>
      </c>
      <c r="V38" s="313" t="s">
        <v>324</v>
      </c>
    </row>
    <row r="39" spans="1:22" s="2" customFormat="1" ht="13.5" thickBot="1">
      <c r="A39" s="138" t="s">
        <v>117</v>
      </c>
      <c r="B39" s="139"/>
      <c r="C39" s="139"/>
      <c r="D39" s="140"/>
      <c r="E39" s="215" t="s">
        <v>83</v>
      </c>
      <c r="F39" s="345">
        <f>F37-F38</f>
        <v>81.10004826323821</v>
      </c>
      <c r="G39" s="205">
        <f>G37-G38</f>
        <v>81.80418674277767</v>
      </c>
      <c r="H39" s="214"/>
      <c r="I39" s="56">
        <f>I37-I38</f>
        <v>84.47418674277769</v>
      </c>
      <c r="J39" s="78"/>
      <c r="K39" s="78"/>
      <c r="L39" s="213">
        <f>L37+L38</f>
        <v>84.23327488385642</v>
      </c>
      <c r="M39" s="357">
        <f>M37+M38</f>
        <v>0.5482868625231673</v>
      </c>
      <c r="N39" s="213"/>
      <c r="O39" s="213"/>
      <c r="P39" s="213"/>
      <c r="Q39" s="215" t="s">
        <v>32</v>
      </c>
      <c r="R39" s="216"/>
      <c r="S39" s="325" t="s">
        <v>260</v>
      </c>
      <c r="T39" s="328"/>
      <c r="U39" s="299" t="s">
        <v>322</v>
      </c>
      <c r="V39" s="316" t="s">
        <v>302</v>
      </c>
    </row>
    <row r="40" spans="1:22" s="341" customFormat="1" ht="13.5" customHeight="1">
      <c r="A40" s="365"/>
      <c r="B40" s="365"/>
      <c r="C40" s="365"/>
      <c r="D40" s="365"/>
      <c r="E40" s="366"/>
      <c r="F40" s="207"/>
      <c r="G40" s="207"/>
      <c r="H40" s="366"/>
      <c r="I40" s="207"/>
      <c r="J40" s="366"/>
      <c r="K40" s="366"/>
      <c r="L40" s="207"/>
      <c r="M40" s="367"/>
      <c r="N40" s="368"/>
      <c r="O40" s="368"/>
      <c r="P40" s="368"/>
      <c r="Q40" s="366"/>
      <c r="R40" s="206"/>
      <c r="T40" s="350"/>
      <c r="V40" s="369"/>
    </row>
    <row r="41" spans="1:31" s="341" customFormat="1" ht="12.75" customHeight="1" thickBot="1">
      <c r="A41" s="370" t="s">
        <v>155</v>
      </c>
      <c r="B41" s="370"/>
      <c r="C41" s="370"/>
      <c r="D41" s="370"/>
      <c r="E41" s="371"/>
      <c r="F41" s="372"/>
      <c r="G41" s="372"/>
      <c r="H41" s="371"/>
      <c r="I41" s="371"/>
      <c r="J41" s="371"/>
      <c r="K41" s="371"/>
      <c r="L41" s="371"/>
      <c r="M41" s="373"/>
      <c r="N41" s="371"/>
      <c r="O41" s="371"/>
      <c r="P41" s="371"/>
      <c r="Q41" s="371"/>
      <c r="R41" s="371"/>
      <c r="S41" s="119"/>
      <c r="T41" s="119"/>
      <c r="U41" s="119"/>
      <c r="V41" s="119"/>
      <c r="W41" s="119"/>
      <c r="X41" s="119"/>
      <c r="Y41" s="119"/>
      <c r="Z41" s="119"/>
      <c r="AA41" s="119"/>
      <c r="AB41" s="119"/>
      <c r="AC41" s="119"/>
      <c r="AD41" s="119"/>
      <c r="AE41" s="119"/>
    </row>
    <row r="42" spans="1:22" s="2" customFormat="1" ht="12.75">
      <c r="A42" s="127" t="s">
        <v>119</v>
      </c>
      <c r="B42" s="128"/>
      <c r="C42" s="128"/>
      <c r="D42" s="115"/>
      <c r="E42" s="129" t="s">
        <v>83</v>
      </c>
      <c r="F42" s="172">
        <f>F39</f>
        <v>81.10004826323821</v>
      </c>
      <c r="G42" s="173">
        <f>G39</f>
        <v>81.80418674277767</v>
      </c>
      <c r="H42" s="132"/>
      <c r="I42" s="133">
        <f>I39</f>
        <v>84.47418674277769</v>
      </c>
      <c r="J42" s="134"/>
      <c r="K42" s="134"/>
      <c r="L42" s="133">
        <f>L39</f>
        <v>84.23327488385642</v>
      </c>
      <c r="M42" s="358">
        <f>M39</f>
        <v>0.5482868625231673</v>
      </c>
      <c r="N42" s="135"/>
      <c r="O42" s="135"/>
      <c r="P42" s="135"/>
      <c r="Q42" s="129" t="s">
        <v>32</v>
      </c>
      <c r="R42" s="137"/>
      <c r="S42" s="326" t="s">
        <v>316</v>
      </c>
      <c r="T42" s="308"/>
      <c r="U42" s="376" t="s">
        <v>323</v>
      </c>
      <c r="V42" s="324" t="s">
        <v>302</v>
      </c>
    </row>
    <row r="43" spans="1:22" s="2" customFormat="1" ht="12.75">
      <c r="A43" s="116" t="s">
        <v>18</v>
      </c>
      <c r="B43" s="106"/>
      <c r="C43" s="106"/>
      <c r="D43" s="104"/>
      <c r="E43" s="36" t="s">
        <v>121</v>
      </c>
      <c r="F43" s="44">
        <f>10*LOG(F5)+60</f>
        <v>64.14973347970817</v>
      </c>
      <c r="G43" s="44">
        <f>10*LOG(G5)+60</f>
        <v>64.67460109507263</v>
      </c>
      <c r="H43" s="30"/>
      <c r="I43" s="43">
        <f>10*LOG(I5)+60</f>
        <v>64.67460109507263</v>
      </c>
      <c r="J43" s="23"/>
      <c r="K43" s="23"/>
      <c r="L43" s="208">
        <f>I43</f>
        <v>64.67460109507263</v>
      </c>
      <c r="M43" s="53">
        <v>0</v>
      </c>
      <c r="N43" s="20"/>
      <c r="O43" s="20"/>
      <c r="P43" s="20"/>
      <c r="Q43" s="20" t="s">
        <v>80</v>
      </c>
      <c r="R43" s="24"/>
      <c r="S43" s="297" t="s">
        <v>262</v>
      </c>
      <c r="T43" s="309" t="s">
        <v>265</v>
      </c>
      <c r="U43" s="330" t="s">
        <v>303</v>
      </c>
      <c r="V43" s="313" t="s">
        <v>302</v>
      </c>
    </row>
    <row r="44" spans="1:22" s="2" customFormat="1" ht="12.75">
      <c r="A44" s="116" t="s">
        <v>156</v>
      </c>
      <c r="B44" s="106"/>
      <c r="C44" s="106"/>
      <c r="D44" s="104"/>
      <c r="E44" s="36" t="s">
        <v>27</v>
      </c>
      <c r="F44" s="209">
        <v>0.8</v>
      </c>
      <c r="G44" s="209">
        <v>0.8</v>
      </c>
      <c r="H44" s="22"/>
      <c r="I44" s="210">
        <f>G44</f>
        <v>0.8</v>
      </c>
      <c r="J44" s="23"/>
      <c r="K44" s="23"/>
      <c r="L44" s="211">
        <f>I44</f>
        <v>0.8</v>
      </c>
      <c r="M44" s="53">
        <v>0</v>
      </c>
      <c r="N44" s="20"/>
      <c r="O44" s="20"/>
      <c r="P44" s="20"/>
      <c r="Q44" s="20" t="s">
        <v>80</v>
      </c>
      <c r="R44" s="24" t="s">
        <v>318</v>
      </c>
      <c r="S44" s="374" t="s">
        <v>314</v>
      </c>
      <c r="T44" s="24" t="s">
        <v>315</v>
      </c>
      <c r="U44" s="330" t="s">
        <v>303</v>
      </c>
      <c r="V44" s="313" t="s">
        <v>302</v>
      </c>
    </row>
    <row r="45" spans="1:22" s="2" customFormat="1" ht="13.5" thickBot="1">
      <c r="A45" s="138" t="s">
        <v>157</v>
      </c>
      <c r="B45" s="139"/>
      <c r="C45" s="139"/>
      <c r="D45" s="140"/>
      <c r="E45" s="212" t="s">
        <v>27</v>
      </c>
      <c r="F45" s="213">
        <f>F42+10*LOG(F44)-F43</f>
        <v>15.98121465344947</v>
      </c>
      <c r="G45" s="213">
        <f>G42+10*LOG(G44)-G43</f>
        <v>16.16048551762448</v>
      </c>
      <c r="H45" s="214"/>
      <c r="I45" s="56">
        <f>I42+10*LOG(I44)-I43</f>
        <v>18.830485517624496</v>
      </c>
      <c r="J45" s="78"/>
      <c r="K45" s="78"/>
      <c r="L45" s="213">
        <f>L42+10*LOG(L44)-L43</f>
        <v>18.58957365870323</v>
      </c>
      <c r="M45" s="357">
        <f>M42+M43+M44</f>
        <v>0.5482868625231673</v>
      </c>
      <c r="N45" s="213"/>
      <c r="O45" s="213"/>
      <c r="P45" s="213"/>
      <c r="Q45" s="215" t="s">
        <v>32</v>
      </c>
      <c r="R45" s="216"/>
      <c r="S45" s="325" t="s">
        <v>317</v>
      </c>
      <c r="T45" s="328"/>
      <c r="U45" s="299" t="s">
        <v>300</v>
      </c>
      <c r="V45" s="316" t="s">
        <v>302</v>
      </c>
    </row>
    <row r="46" spans="1:21" s="341" customFormat="1" ht="13.5" thickBot="1">
      <c r="A46" s="103" t="s">
        <v>158</v>
      </c>
      <c r="B46" s="103"/>
      <c r="C46" s="103"/>
      <c r="D46" s="103"/>
      <c r="E46" s="13"/>
      <c r="F46" s="244"/>
      <c r="G46" s="145"/>
      <c r="H46" s="13"/>
      <c r="I46" s="13"/>
      <c r="J46" s="13"/>
      <c r="K46" s="13"/>
      <c r="L46" s="13"/>
      <c r="M46" s="353"/>
      <c r="N46" s="13"/>
      <c r="O46" s="13"/>
      <c r="P46" s="13"/>
      <c r="Q46" s="13"/>
      <c r="R46" s="348"/>
      <c r="S46" s="349"/>
      <c r="T46" s="349"/>
      <c r="U46" s="119"/>
    </row>
    <row r="47" spans="1:22" s="2" customFormat="1" ht="12.75">
      <c r="A47" s="127"/>
      <c r="B47" s="128" t="s">
        <v>124</v>
      </c>
      <c r="C47" s="128"/>
      <c r="D47" s="115"/>
      <c r="E47" s="20"/>
      <c r="F47" s="176">
        <v>1E-06</v>
      </c>
      <c r="G47" s="176">
        <v>1E-08</v>
      </c>
      <c r="H47" s="22"/>
      <c r="I47" s="526">
        <f>G47</f>
        <v>1E-08</v>
      </c>
      <c r="J47" s="23"/>
      <c r="K47" s="23"/>
      <c r="L47" s="23"/>
      <c r="M47" s="352"/>
      <c r="N47" s="23"/>
      <c r="O47" s="23"/>
      <c r="P47" s="23"/>
      <c r="Q47" s="23"/>
      <c r="R47" s="137"/>
      <c r="S47" s="332"/>
      <c r="T47" s="306" t="s">
        <v>265</v>
      </c>
      <c r="U47" s="307"/>
      <c r="V47" s="308"/>
    </row>
    <row r="48" spans="1:22" s="2" customFormat="1" ht="12.75">
      <c r="A48" s="116" t="s">
        <v>125</v>
      </c>
      <c r="B48" s="106"/>
      <c r="C48" s="106"/>
      <c r="D48" s="104"/>
      <c r="E48" s="20" t="s">
        <v>27</v>
      </c>
      <c r="F48" s="167">
        <v>10.8</v>
      </c>
      <c r="G48" s="167">
        <v>12.2</v>
      </c>
      <c r="H48" s="22"/>
      <c r="I48" s="524">
        <f>G48</f>
        <v>12.2</v>
      </c>
      <c r="J48" s="26">
        <v>0</v>
      </c>
      <c r="K48" s="26">
        <v>0</v>
      </c>
      <c r="L48" s="20">
        <f>I48</f>
        <v>12.2</v>
      </c>
      <c r="M48" s="352"/>
      <c r="N48" s="23"/>
      <c r="O48" s="23"/>
      <c r="P48" s="23"/>
      <c r="Q48" s="23"/>
      <c r="R48" s="24" t="s">
        <v>126</v>
      </c>
      <c r="S48" s="319"/>
      <c r="T48" s="311"/>
      <c r="U48" s="310"/>
      <c r="V48" s="311"/>
    </row>
    <row r="49" spans="1:22" s="2" customFormat="1" ht="12.75">
      <c r="A49" s="116" t="s">
        <v>127</v>
      </c>
      <c r="B49" s="106"/>
      <c r="C49" s="106"/>
      <c r="D49" s="104"/>
      <c r="E49" s="20" t="s">
        <v>27</v>
      </c>
      <c r="F49" s="149">
        <v>0.8</v>
      </c>
      <c r="G49" s="149">
        <v>2.3</v>
      </c>
      <c r="H49" s="537" t="str">
        <f>IF(J49=-K49,CONCATENATE("±",TEXT(ABS(J49),"0.0#")),CONCATENATE(TEXT(J49,"+0.0#;-0.0#"),"/",TEXT(K49,"+0.0#;-0.0#")))</f>
        <v>±0.25</v>
      </c>
      <c r="I49" s="52">
        <v>2.3</v>
      </c>
      <c r="J49" s="26">
        <v>-0.25</v>
      </c>
      <c r="K49" s="26">
        <v>0.25</v>
      </c>
      <c r="L49" s="20">
        <f>I49+((J49+K49)/2)</f>
        <v>2.3</v>
      </c>
      <c r="M49" s="53">
        <f>((J49-K49)^2)/12</f>
        <v>0.020833333333333332</v>
      </c>
      <c r="N49" s="53"/>
      <c r="O49" s="53"/>
      <c r="P49" s="53"/>
      <c r="Q49" s="20" t="s">
        <v>39</v>
      </c>
      <c r="R49" s="24"/>
      <c r="S49" s="319"/>
      <c r="T49" s="309" t="s">
        <v>265</v>
      </c>
      <c r="U49" s="312" t="s">
        <v>291</v>
      </c>
      <c r="V49" s="313" t="s">
        <v>324</v>
      </c>
    </row>
    <row r="50" spans="1:22" s="2" customFormat="1" ht="12.75">
      <c r="A50" s="116"/>
      <c r="B50" s="106" t="s">
        <v>128</v>
      </c>
      <c r="C50" s="106"/>
      <c r="D50" s="104"/>
      <c r="E50" s="20" t="s">
        <v>27</v>
      </c>
      <c r="F50" s="149"/>
      <c r="G50" s="149"/>
      <c r="H50" s="25"/>
      <c r="I50" s="37"/>
      <c r="J50" s="38"/>
      <c r="K50" s="38"/>
      <c r="L50" s="38"/>
      <c r="M50" s="352"/>
      <c r="N50" s="38"/>
      <c r="O50" s="38"/>
      <c r="P50" s="38"/>
      <c r="Q50" s="38"/>
      <c r="R50" s="24"/>
      <c r="S50" s="319"/>
      <c r="T50" s="311"/>
      <c r="U50" s="318"/>
      <c r="V50" s="311"/>
    </row>
    <row r="51" spans="1:22" s="2" customFormat="1" ht="12.75">
      <c r="A51" s="116"/>
      <c r="B51" s="106" t="s">
        <v>243</v>
      </c>
      <c r="D51" s="104"/>
      <c r="E51" s="20" t="s">
        <v>27</v>
      </c>
      <c r="F51" s="149"/>
      <c r="G51" s="149">
        <v>0.06</v>
      </c>
      <c r="H51" s="25"/>
      <c r="I51" s="37"/>
      <c r="J51" s="38"/>
      <c r="K51" s="38"/>
      <c r="L51" s="38"/>
      <c r="M51" s="352"/>
      <c r="N51" s="38"/>
      <c r="O51" s="38"/>
      <c r="P51" s="38"/>
      <c r="Q51" s="38"/>
      <c r="R51" s="24"/>
      <c r="S51" s="319"/>
      <c r="T51" s="311"/>
      <c r="U51" s="318"/>
      <c r="V51" s="311"/>
    </row>
    <row r="52" spans="1:22" s="2" customFormat="1" ht="12.75">
      <c r="A52" s="116" t="s">
        <v>133</v>
      </c>
      <c r="B52" s="106"/>
      <c r="C52" s="106"/>
      <c r="D52" s="104"/>
      <c r="E52" s="20" t="s">
        <v>27</v>
      </c>
      <c r="F52" s="149">
        <v>1.9</v>
      </c>
      <c r="G52" s="168">
        <f>G53+G56</f>
        <v>0.981</v>
      </c>
      <c r="H52" s="25" t="s">
        <v>134</v>
      </c>
      <c r="I52" s="525">
        <f>G52*0.9</f>
        <v>0.8829</v>
      </c>
      <c r="J52" s="99">
        <f>G52*-0.1</f>
        <v>-0.0981</v>
      </c>
      <c r="K52" s="99">
        <f>G52*0.1</f>
        <v>0.0981</v>
      </c>
      <c r="L52" s="20">
        <f>I52+((J52+K52)/3)</f>
        <v>0.8829</v>
      </c>
      <c r="M52" s="53">
        <f>(J52^2+K52^2-(K52*J52))/18</f>
        <v>0.0016039350000000001</v>
      </c>
      <c r="N52" s="20"/>
      <c r="O52" s="20"/>
      <c r="P52" s="20"/>
      <c r="Q52" s="20" t="s">
        <v>36</v>
      </c>
      <c r="R52" s="24"/>
      <c r="S52" s="319"/>
      <c r="T52" s="309" t="s">
        <v>135</v>
      </c>
      <c r="U52" s="312" t="s">
        <v>290</v>
      </c>
      <c r="V52" s="313" t="s">
        <v>324</v>
      </c>
    </row>
    <row r="53" spans="1:22" s="2" customFormat="1" ht="12.75">
      <c r="A53" s="116"/>
      <c r="B53" s="106" t="s">
        <v>129</v>
      </c>
      <c r="C53" s="106"/>
      <c r="D53" s="104"/>
      <c r="E53" s="20" t="s">
        <v>27</v>
      </c>
      <c r="F53" s="149"/>
      <c r="G53" s="149">
        <f>SUM(G54:G55)</f>
        <v>0.6</v>
      </c>
      <c r="H53" s="25"/>
      <c r="I53" s="37"/>
      <c r="J53" s="38"/>
      <c r="K53" s="38"/>
      <c r="L53" s="38"/>
      <c r="M53" s="352"/>
      <c r="N53" s="38"/>
      <c r="O53" s="38"/>
      <c r="P53" s="38"/>
      <c r="Q53" s="38"/>
      <c r="R53" s="24"/>
      <c r="S53" s="364"/>
      <c r="T53" s="364"/>
      <c r="U53" s="364"/>
      <c r="V53" s="375"/>
    </row>
    <row r="54" spans="1:22" s="2" customFormat="1" ht="12.75">
      <c r="A54" s="116"/>
      <c r="B54" s="106"/>
      <c r="C54" s="106" t="s">
        <v>131</v>
      </c>
      <c r="D54" s="104"/>
      <c r="E54" s="20" t="s">
        <v>27</v>
      </c>
      <c r="F54" s="149"/>
      <c r="G54" s="149">
        <v>0.03</v>
      </c>
      <c r="H54" s="25"/>
      <c r="I54" s="37"/>
      <c r="J54" s="38"/>
      <c r="K54" s="38"/>
      <c r="L54" s="38"/>
      <c r="M54" s="352"/>
      <c r="N54" s="38"/>
      <c r="O54" s="38"/>
      <c r="P54" s="38"/>
      <c r="Q54" s="38"/>
      <c r="R54" s="24"/>
      <c r="S54" s="319"/>
      <c r="T54" s="313" t="s">
        <v>289</v>
      </c>
      <c r="U54" s="318"/>
      <c r="V54" s="311"/>
    </row>
    <row r="55" spans="1:22" s="2" customFormat="1" ht="12.75">
      <c r="A55" s="116"/>
      <c r="B55" s="106"/>
      <c r="C55" s="106" t="s">
        <v>132</v>
      </c>
      <c r="D55" s="104"/>
      <c r="E55" s="20" t="s">
        <v>27</v>
      </c>
      <c r="F55" s="149"/>
      <c r="G55" s="149">
        <v>0.57</v>
      </c>
      <c r="H55" s="25"/>
      <c r="I55" s="37"/>
      <c r="J55" s="38"/>
      <c r="K55" s="38"/>
      <c r="L55" s="38"/>
      <c r="M55" s="352"/>
      <c r="N55" s="38"/>
      <c r="O55" s="38"/>
      <c r="P55" s="38"/>
      <c r="Q55" s="38"/>
      <c r="R55" s="24"/>
      <c r="S55" s="319"/>
      <c r="T55" s="313" t="s">
        <v>289</v>
      </c>
      <c r="U55" s="318"/>
      <c r="V55" s="311"/>
    </row>
    <row r="56" spans="1:22" s="2" customFormat="1" ht="12.75">
      <c r="A56" s="116"/>
      <c r="B56" s="106" t="s">
        <v>159</v>
      </c>
      <c r="C56" s="106"/>
      <c r="D56" s="104"/>
      <c r="E56" s="20" t="s">
        <v>27</v>
      </c>
      <c r="F56" s="149">
        <v>1.9</v>
      </c>
      <c r="G56" s="149">
        <f>SUM(G57:G60)</f>
        <v>0.381</v>
      </c>
      <c r="H56" s="25"/>
      <c r="I56" s="37"/>
      <c r="J56" s="38"/>
      <c r="K56" s="38"/>
      <c r="L56" s="38"/>
      <c r="M56" s="352"/>
      <c r="N56" s="38"/>
      <c r="O56" s="38"/>
      <c r="P56" s="38"/>
      <c r="Q56" s="38"/>
      <c r="R56" s="24"/>
      <c r="S56" s="364"/>
      <c r="T56" s="364"/>
      <c r="U56" s="364"/>
      <c r="V56" s="375"/>
    </row>
    <row r="57" spans="1:22" s="2" customFormat="1" ht="12.75">
      <c r="A57" s="116"/>
      <c r="B57" s="106"/>
      <c r="C57" s="106" t="s">
        <v>130</v>
      </c>
      <c r="D57" s="104"/>
      <c r="E57" s="20" t="s">
        <v>27</v>
      </c>
      <c r="F57" s="149"/>
      <c r="G57" s="149">
        <v>0.3</v>
      </c>
      <c r="H57" s="25"/>
      <c r="I57" s="37"/>
      <c r="J57" s="38"/>
      <c r="K57" s="38"/>
      <c r="L57" s="38"/>
      <c r="M57" s="352"/>
      <c r="N57" s="38"/>
      <c r="O57" s="38"/>
      <c r="P57" s="38"/>
      <c r="Q57" s="38"/>
      <c r="R57" s="24"/>
      <c r="S57" s="319"/>
      <c r="T57" s="313" t="s">
        <v>289</v>
      </c>
      <c r="U57" s="318"/>
      <c r="V57" s="311"/>
    </row>
    <row r="58" spans="1:22" s="157" customFormat="1" ht="12.75">
      <c r="A58" s="152"/>
      <c r="B58" s="153"/>
      <c r="C58" s="153" t="s">
        <v>137</v>
      </c>
      <c r="D58" s="154"/>
      <c r="E58" s="155" t="s">
        <v>27</v>
      </c>
      <c r="F58" s="149"/>
      <c r="G58" s="149">
        <v>0.011</v>
      </c>
      <c r="H58" s="150"/>
      <c r="I58" s="217"/>
      <c r="J58" s="218"/>
      <c r="K58" s="218"/>
      <c r="L58" s="218"/>
      <c r="M58" s="359"/>
      <c r="N58" s="218"/>
      <c r="O58" s="218"/>
      <c r="P58" s="218"/>
      <c r="Q58" s="218"/>
      <c r="R58" s="24"/>
      <c r="S58" s="319"/>
      <c r="T58" s="313" t="s">
        <v>289</v>
      </c>
      <c r="U58" s="318"/>
      <c r="V58" s="311"/>
    </row>
    <row r="59" spans="1:22" s="2" customFormat="1" ht="12.75">
      <c r="A59" s="116"/>
      <c r="B59" s="106"/>
      <c r="C59" s="106" t="s">
        <v>138</v>
      </c>
      <c r="D59" s="104"/>
      <c r="E59" s="20" t="s">
        <v>27</v>
      </c>
      <c r="F59" s="149"/>
      <c r="G59" s="155">
        <v>0.05</v>
      </c>
      <c r="H59" s="25"/>
      <c r="I59" s="37"/>
      <c r="J59" s="38"/>
      <c r="K59" s="38"/>
      <c r="L59" s="38"/>
      <c r="M59" s="352"/>
      <c r="N59" s="38"/>
      <c r="O59" s="38"/>
      <c r="P59" s="38"/>
      <c r="Q59" s="38"/>
      <c r="R59" s="24"/>
      <c r="S59" s="319"/>
      <c r="T59" s="313" t="s">
        <v>275</v>
      </c>
      <c r="U59" s="318"/>
      <c r="V59" s="311"/>
    </row>
    <row r="60" spans="1:22" s="2" customFormat="1" ht="13.5" thickBot="1">
      <c r="A60" s="669"/>
      <c r="B60" s="666"/>
      <c r="C60" s="666" t="s">
        <v>354</v>
      </c>
      <c r="D60" s="667"/>
      <c r="E60" s="35" t="s">
        <v>27</v>
      </c>
      <c r="F60" s="668"/>
      <c r="G60" s="668">
        <v>0.02</v>
      </c>
      <c r="H60" s="670"/>
      <c r="I60" s="671"/>
      <c r="J60" s="238"/>
      <c r="K60" s="238"/>
      <c r="L60" s="38"/>
      <c r="M60" s="352"/>
      <c r="N60" s="38"/>
      <c r="O60" s="38"/>
      <c r="P60" s="38"/>
      <c r="Q60" s="38"/>
      <c r="R60" s="456"/>
      <c r="S60" s="319"/>
      <c r="T60" s="313" t="s">
        <v>355</v>
      </c>
      <c r="U60" s="318"/>
      <c r="V60" s="311"/>
    </row>
    <row r="61" spans="1:22" s="2" customFormat="1" ht="13.5" thickBot="1">
      <c r="A61" s="648" t="s">
        <v>802</v>
      </c>
      <c r="B61" s="649"/>
      <c r="C61" s="649"/>
      <c r="D61" s="672"/>
      <c r="E61" s="673" t="s">
        <v>27</v>
      </c>
      <c r="F61" s="651"/>
      <c r="G61" s="674">
        <v>1</v>
      </c>
      <c r="H61" s="652"/>
      <c r="I61" s="653">
        <v>1</v>
      </c>
      <c r="J61" s="617"/>
      <c r="K61" s="238"/>
      <c r="L61" s="38"/>
      <c r="M61" s="352"/>
      <c r="N61" s="38"/>
      <c r="O61" s="38"/>
      <c r="P61" s="38"/>
      <c r="Q61" s="38"/>
      <c r="R61" s="456"/>
      <c r="S61" s="319"/>
      <c r="T61" s="313"/>
      <c r="U61" s="318"/>
      <c r="V61" s="311"/>
    </row>
    <row r="62" spans="1:22" s="2" customFormat="1" ht="13.5" thickBot="1">
      <c r="A62" s="138" t="s">
        <v>139</v>
      </c>
      <c r="B62" s="139"/>
      <c r="C62" s="139"/>
      <c r="D62" s="619"/>
      <c r="E62" s="126" t="s">
        <v>27</v>
      </c>
      <c r="F62" s="170">
        <f>F48+F49+F50+F52</f>
        <v>13.500000000000002</v>
      </c>
      <c r="G62" s="170">
        <f>G48+G49+G52+G61</f>
        <v>16.481</v>
      </c>
      <c r="H62" s="17"/>
      <c r="I62" s="630">
        <f>I48+I49+I52+I61</f>
        <v>16.3829</v>
      </c>
      <c r="J62" s="57"/>
      <c r="K62" s="57"/>
      <c r="L62" s="44">
        <f>L48+L49+L52</f>
        <v>15.3829</v>
      </c>
      <c r="M62" s="352"/>
      <c r="N62" s="23"/>
      <c r="O62" s="23"/>
      <c r="P62" s="23"/>
      <c r="Q62" s="23"/>
      <c r="R62" s="216"/>
      <c r="S62" s="297" t="s">
        <v>542</v>
      </c>
      <c r="T62" s="311"/>
      <c r="U62" s="310"/>
      <c r="V62" s="311"/>
    </row>
    <row r="63" spans="1:22" s="2" customFormat="1" ht="13.5" thickBot="1">
      <c r="A63" s="58" t="s">
        <v>140</v>
      </c>
      <c r="B63" s="107"/>
      <c r="C63" s="107"/>
      <c r="D63" s="107"/>
      <c r="E63" s="59" t="s">
        <v>27</v>
      </c>
      <c r="F63" s="179">
        <f>F45-F62</f>
        <v>2.4812146534494683</v>
      </c>
      <c r="G63" s="179">
        <f>G45-G62</f>
        <v>-0.32051448237552194</v>
      </c>
      <c r="H63" s="219"/>
      <c r="I63" s="220">
        <f>I45-I62</f>
        <v>2.4475855176244963</v>
      </c>
      <c r="J63" s="61"/>
      <c r="K63" s="61"/>
      <c r="L63" s="60">
        <f>L45-L62</f>
        <v>3.206673658703231</v>
      </c>
      <c r="M63" s="540">
        <f>M45+M49+M52</f>
        <v>0.5707241308565006</v>
      </c>
      <c r="N63" s="85"/>
      <c r="O63" s="85"/>
      <c r="P63" s="85"/>
      <c r="Q63" s="62" t="s">
        <v>32</v>
      </c>
      <c r="R63" s="300"/>
      <c r="S63" s="297" t="s">
        <v>264</v>
      </c>
      <c r="T63" s="311"/>
      <c r="U63" s="297" t="s">
        <v>543</v>
      </c>
      <c r="V63" s="313" t="s">
        <v>302</v>
      </c>
    </row>
    <row r="64" spans="1:22" ht="13.5" thickBot="1">
      <c r="A64" s="98"/>
      <c r="B64" s="108"/>
      <c r="C64" s="108"/>
      <c r="D64" s="108" t="s">
        <v>160</v>
      </c>
      <c r="E64" s="219" t="s">
        <v>27</v>
      </c>
      <c r="F64" s="179"/>
      <c r="G64" s="558">
        <f>G45-F62</f>
        <v>2.660485517624478</v>
      </c>
      <c r="L64" s="64" t="s">
        <v>142</v>
      </c>
      <c r="M64" s="65">
        <f>SQRT(M63)</f>
        <v>0.7554628586876397</v>
      </c>
      <c r="N64" s="86"/>
      <c r="O64" s="86"/>
      <c r="P64" s="86"/>
      <c r="Q64" s="66" t="s">
        <v>27</v>
      </c>
      <c r="S64" s="361"/>
      <c r="T64" s="361"/>
      <c r="U64" s="361"/>
      <c r="V64" s="361"/>
    </row>
    <row r="65" spans="12:17" ht="13.5" thickBot="1">
      <c r="L65" s="64" t="s">
        <v>143</v>
      </c>
      <c r="M65" s="67">
        <f>2*M64</f>
        <v>1.5109257173752795</v>
      </c>
      <c r="N65" s="68"/>
      <c r="O65" s="68"/>
      <c r="P65" s="68"/>
      <c r="Q65" s="66" t="s">
        <v>27</v>
      </c>
    </row>
    <row r="66" spans="1:17" ht="13.5" thickBot="1">
      <c r="A66" s="658" t="s">
        <v>884</v>
      </c>
      <c r="B66" s="654"/>
      <c r="C66" s="654"/>
      <c r="D66" s="654"/>
      <c r="E66" s="655" t="s">
        <v>27</v>
      </c>
      <c r="F66" s="656"/>
      <c r="G66" s="749">
        <f>G49+G52+G61</f>
        <v>4.281</v>
      </c>
      <c r="H66" s="657"/>
      <c r="I66" s="659">
        <f>I49+I52+I61</f>
        <v>4.1829</v>
      </c>
      <c r="L66" s="64"/>
      <c r="M66" s="68"/>
      <c r="N66" s="68"/>
      <c r="O66" s="68"/>
      <c r="P66" s="68"/>
      <c r="Q66" s="66"/>
    </row>
    <row r="67" spans="6:17" ht="12.75">
      <c r="F67" s="144"/>
      <c r="G67" s="144"/>
      <c r="L67" s="64"/>
      <c r="M67" s="68"/>
      <c r="N67" s="68"/>
      <c r="O67" s="68"/>
      <c r="P67" s="68"/>
      <c r="Q67" s="66"/>
    </row>
    <row r="68" spans="1:31" s="341" customFormat="1" ht="13.5" thickBot="1">
      <c r="A68" s="370" t="s">
        <v>161</v>
      </c>
      <c r="B68" s="370"/>
      <c r="C68" s="370"/>
      <c r="D68" s="370"/>
      <c r="E68" s="371"/>
      <c r="F68" s="372"/>
      <c r="G68" s="372"/>
      <c r="H68" s="371"/>
      <c r="I68" s="371"/>
      <c r="J68" s="371"/>
      <c r="K68" s="371"/>
      <c r="L68" s="371"/>
      <c r="M68" s="371"/>
      <c r="N68" s="371"/>
      <c r="O68" s="371"/>
      <c r="P68" s="371"/>
      <c r="Q68" s="371"/>
      <c r="R68" s="371"/>
      <c r="S68" s="362"/>
      <c r="T68" s="362"/>
      <c r="U68" s="362"/>
      <c r="V68" s="362"/>
      <c r="W68" s="119"/>
      <c r="X68" s="119"/>
      <c r="Y68" s="119"/>
      <c r="Z68" s="119"/>
      <c r="AA68" s="119"/>
      <c r="AB68" s="119"/>
      <c r="AC68" s="119"/>
      <c r="AD68" s="119"/>
      <c r="AE68" s="119"/>
    </row>
    <row r="69" spans="1:22" s="2" customFormat="1" ht="12.75">
      <c r="A69" s="127" t="s">
        <v>119</v>
      </c>
      <c r="B69" s="128"/>
      <c r="C69" s="128"/>
      <c r="D69" s="115"/>
      <c r="E69" s="129" t="s">
        <v>83</v>
      </c>
      <c r="F69" s="172">
        <f>F39</f>
        <v>81.10004826323821</v>
      </c>
      <c r="G69" s="172">
        <f>G39</f>
        <v>81.80418674277767</v>
      </c>
      <c r="H69" s="132"/>
      <c r="I69" s="133">
        <f>I39</f>
        <v>84.47418674277769</v>
      </c>
      <c r="J69" s="134"/>
      <c r="K69" s="134"/>
      <c r="L69" s="133">
        <f>L39</f>
        <v>84.23327488385642</v>
      </c>
      <c r="M69" s="358">
        <f>M39</f>
        <v>0.5482868625231673</v>
      </c>
      <c r="N69" s="135"/>
      <c r="O69" s="135"/>
      <c r="P69" s="135"/>
      <c r="Q69" s="129" t="s">
        <v>32</v>
      </c>
      <c r="R69" s="137"/>
      <c r="S69" s="326" t="s">
        <v>316</v>
      </c>
      <c r="T69" s="308"/>
      <c r="U69" s="376" t="s">
        <v>323</v>
      </c>
      <c r="V69" s="324" t="s">
        <v>302</v>
      </c>
    </row>
    <row r="70" spans="1:22" s="2" customFormat="1" ht="12.75">
      <c r="A70" s="116" t="s">
        <v>18</v>
      </c>
      <c r="B70" s="106"/>
      <c r="C70" s="106"/>
      <c r="D70" s="104"/>
      <c r="E70" s="36" t="s">
        <v>121</v>
      </c>
      <c r="F70" s="44">
        <f>10*LOG(F7)+60</f>
        <v>46.020599913279625</v>
      </c>
      <c r="G70" s="44">
        <f>10*LOG(G7)+60</f>
        <v>58.57332496431268</v>
      </c>
      <c r="H70" s="30"/>
      <c r="I70" s="43">
        <f>10*LOG(I7)+60</f>
        <v>58.57332496431268</v>
      </c>
      <c r="J70" s="23"/>
      <c r="K70" s="23"/>
      <c r="L70" s="208">
        <f>I70</f>
        <v>58.57332496431268</v>
      </c>
      <c r="M70" s="53">
        <v>0</v>
      </c>
      <c r="N70" s="20"/>
      <c r="O70" s="20"/>
      <c r="P70" s="20"/>
      <c r="Q70" s="20" t="s">
        <v>80</v>
      </c>
      <c r="R70" s="24"/>
      <c r="S70" s="297" t="s">
        <v>262</v>
      </c>
      <c r="T70" s="309" t="s">
        <v>265</v>
      </c>
      <c r="U70" s="330" t="s">
        <v>303</v>
      </c>
      <c r="V70" s="313" t="s">
        <v>302</v>
      </c>
    </row>
    <row r="71" spans="1:22" s="2" customFormat="1" ht="12.75">
      <c r="A71" s="116" t="s">
        <v>156</v>
      </c>
      <c r="B71" s="106"/>
      <c r="C71" s="106"/>
      <c r="D71" s="104"/>
      <c r="E71" s="36" t="s">
        <v>27</v>
      </c>
      <c r="F71" s="209">
        <v>0.2</v>
      </c>
      <c r="G71" s="209">
        <v>0.2</v>
      </c>
      <c r="H71" s="22"/>
      <c r="I71" s="210">
        <f>G71</f>
        <v>0.2</v>
      </c>
      <c r="J71" s="23"/>
      <c r="K71" s="23"/>
      <c r="L71" s="211">
        <f>I71</f>
        <v>0.2</v>
      </c>
      <c r="M71" s="53">
        <v>0</v>
      </c>
      <c r="N71" s="20"/>
      <c r="O71" s="20"/>
      <c r="P71" s="20"/>
      <c r="Q71" s="20" t="s">
        <v>80</v>
      </c>
      <c r="R71" s="24" t="s">
        <v>318</v>
      </c>
      <c r="S71" s="24"/>
      <c r="T71" s="24"/>
      <c r="U71" s="377" t="s">
        <v>303</v>
      </c>
      <c r="V71" s="24"/>
    </row>
    <row r="72" spans="1:22" s="2" customFormat="1" ht="13.5" thickBot="1">
      <c r="A72" s="138" t="s">
        <v>157</v>
      </c>
      <c r="B72" s="139"/>
      <c r="C72" s="139"/>
      <c r="D72" s="140"/>
      <c r="E72" s="212" t="s">
        <v>27</v>
      </c>
      <c r="F72" s="213">
        <f>F69+10*LOG(F71)-F70</f>
        <v>28.089748306598395</v>
      </c>
      <c r="G72" s="213">
        <f>G69+10*LOG(G71)-G70</f>
        <v>16.241161735104804</v>
      </c>
      <c r="H72" s="214"/>
      <c r="I72" s="56">
        <f>I69+10*LOG(I71)-I70</f>
        <v>18.91116173510482</v>
      </c>
      <c r="J72" s="78"/>
      <c r="K72" s="78"/>
      <c r="L72" s="213">
        <f>L69+10*LOG(L71)-L70</f>
        <v>18.670249876183554</v>
      </c>
      <c r="M72" s="357">
        <f>M69+M70+M71</f>
        <v>0.5482868625231673</v>
      </c>
      <c r="N72" s="213"/>
      <c r="O72" s="213"/>
      <c r="P72" s="213"/>
      <c r="Q72" s="215" t="s">
        <v>32</v>
      </c>
      <c r="R72" s="216"/>
      <c r="S72" s="325" t="s">
        <v>263</v>
      </c>
      <c r="T72" s="328"/>
      <c r="U72" s="298" t="s">
        <v>300</v>
      </c>
      <c r="V72" s="313" t="s">
        <v>302</v>
      </c>
    </row>
    <row r="73" spans="1:22" s="341" customFormat="1" ht="13.5" thickBot="1">
      <c r="A73" s="103" t="s">
        <v>162</v>
      </c>
      <c r="B73" s="103"/>
      <c r="C73" s="103"/>
      <c r="D73" s="103"/>
      <c r="E73" s="13"/>
      <c r="F73" s="145"/>
      <c r="G73" s="145"/>
      <c r="H73" s="13"/>
      <c r="I73" s="13"/>
      <c r="J73" s="13"/>
      <c r="K73" s="13"/>
      <c r="L73" s="13"/>
      <c r="M73" s="353"/>
      <c r="N73" s="13"/>
      <c r="O73" s="13"/>
      <c r="P73" s="13"/>
      <c r="Q73" s="13"/>
      <c r="R73" s="348"/>
      <c r="S73" s="348"/>
      <c r="T73" s="349"/>
      <c r="U73" s="106"/>
      <c r="V73" s="106"/>
    </row>
    <row r="74" spans="1:22" s="2" customFormat="1" ht="12.75">
      <c r="A74" s="127"/>
      <c r="B74" s="128" t="s">
        <v>124</v>
      </c>
      <c r="C74" s="128"/>
      <c r="D74" s="115"/>
      <c r="E74" s="20"/>
      <c r="F74" s="176">
        <v>1E-06</v>
      </c>
      <c r="G74" s="176">
        <v>1E-08</v>
      </c>
      <c r="H74" s="22"/>
      <c r="I74" s="526">
        <f>G74</f>
        <v>1E-08</v>
      </c>
      <c r="J74" s="23"/>
      <c r="K74" s="23"/>
      <c r="L74" s="23"/>
      <c r="M74" s="352"/>
      <c r="N74" s="23"/>
      <c r="O74" s="23"/>
      <c r="P74" s="23"/>
      <c r="Q74" s="23"/>
      <c r="R74" s="127"/>
      <c r="S74" s="332"/>
      <c r="T74" s="306" t="s">
        <v>265</v>
      </c>
      <c r="U74" s="310"/>
      <c r="V74" s="311"/>
    </row>
    <row r="75" spans="1:22" s="2" customFormat="1" ht="12.75">
      <c r="A75" s="116" t="s">
        <v>125</v>
      </c>
      <c r="B75" s="106"/>
      <c r="C75" s="106"/>
      <c r="D75" s="104"/>
      <c r="E75" s="20" t="s">
        <v>27</v>
      </c>
      <c r="F75" s="167">
        <v>10.8</v>
      </c>
      <c r="G75" s="167">
        <v>12.2</v>
      </c>
      <c r="H75" s="22"/>
      <c r="I75" s="524">
        <f>G75</f>
        <v>12.2</v>
      </c>
      <c r="J75" s="26">
        <v>0</v>
      </c>
      <c r="K75" s="26">
        <v>0</v>
      </c>
      <c r="L75" s="20">
        <f>I75</f>
        <v>12.2</v>
      </c>
      <c r="M75" s="352"/>
      <c r="N75" s="23"/>
      <c r="O75" s="23"/>
      <c r="P75" s="23"/>
      <c r="Q75" s="23"/>
      <c r="R75" s="116" t="s">
        <v>126</v>
      </c>
      <c r="S75" s="319"/>
      <c r="T75" s="311"/>
      <c r="U75" s="310"/>
      <c r="V75" s="311"/>
    </row>
    <row r="76" spans="1:22" s="2" customFormat="1" ht="12.75">
      <c r="A76" s="116" t="s">
        <v>127</v>
      </c>
      <c r="B76" s="106"/>
      <c r="C76" s="106"/>
      <c r="D76" s="104"/>
      <c r="E76" s="20" t="s">
        <v>27</v>
      </c>
      <c r="F76" s="149">
        <v>0.8</v>
      </c>
      <c r="G76" s="149">
        <v>2.3</v>
      </c>
      <c r="H76" s="538" t="str">
        <f>IF(J76=-K76,CONCATENATE("±",TEXT(ABS(J76),"0.0#")),CONCATENATE(TEXT(J76,"+0.0#;-0.0#"),"/",TEXT(K76,"+0.0#;-0.0#")))</f>
        <v>±0.25</v>
      </c>
      <c r="I76" s="52">
        <v>2.3</v>
      </c>
      <c r="J76" s="26">
        <v>-0.25</v>
      </c>
      <c r="K76" s="26">
        <v>0.25</v>
      </c>
      <c r="L76" s="20">
        <f>I76+((J76+K76)/2)</f>
        <v>2.3</v>
      </c>
      <c r="M76" s="53">
        <f>((J76-K76)^2)/12</f>
        <v>0.020833333333333332</v>
      </c>
      <c r="N76" s="53"/>
      <c r="O76" s="53"/>
      <c r="P76" s="53"/>
      <c r="Q76" s="20" t="s">
        <v>39</v>
      </c>
      <c r="R76" s="116"/>
      <c r="S76" s="319"/>
      <c r="T76" s="309" t="s">
        <v>265</v>
      </c>
      <c r="U76" s="312" t="s">
        <v>291</v>
      </c>
      <c r="V76" s="313" t="s">
        <v>324</v>
      </c>
    </row>
    <row r="77" spans="1:22" s="2" customFormat="1" ht="12.75">
      <c r="A77" s="116"/>
      <c r="B77" s="106" t="s">
        <v>128</v>
      </c>
      <c r="C77" s="106"/>
      <c r="D77" s="104"/>
      <c r="E77" s="20" t="s">
        <v>27</v>
      </c>
      <c r="F77" s="149"/>
      <c r="G77" s="149"/>
      <c r="H77" s="25"/>
      <c r="I77" s="37"/>
      <c r="J77" s="38"/>
      <c r="K77" s="38"/>
      <c r="L77" s="38"/>
      <c r="M77" s="352"/>
      <c r="N77" s="38"/>
      <c r="O77" s="38"/>
      <c r="P77" s="38"/>
      <c r="Q77" s="38"/>
      <c r="R77" s="116"/>
      <c r="S77" s="319"/>
      <c r="T77" s="311"/>
      <c r="U77" s="318"/>
      <c r="V77" s="311"/>
    </row>
    <row r="78" spans="1:22" s="2" customFormat="1" ht="12.75">
      <c r="A78" s="116"/>
      <c r="B78" s="106" t="s">
        <v>243</v>
      </c>
      <c r="D78" s="104"/>
      <c r="E78" s="20" t="s">
        <v>27</v>
      </c>
      <c r="F78" s="149"/>
      <c r="G78" s="149">
        <v>0.06</v>
      </c>
      <c r="H78" s="25"/>
      <c r="I78" s="37"/>
      <c r="J78" s="38"/>
      <c r="K78" s="38"/>
      <c r="L78" s="38"/>
      <c r="M78" s="352"/>
      <c r="N78" s="38"/>
      <c r="O78" s="38"/>
      <c r="P78" s="38"/>
      <c r="Q78" s="38"/>
      <c r="R78" s="116"/>
      <c r="S78" s="319"/>
      <c r="T78" s="311"/>
      <c r="U78" s="318"/>
      <c r="V78" s="311"/>
    </row>
    <row r="79" spans="1:22" s="2" customFormat="1" ht="12.75">
      <c r="A79" s="116" t="s">
        <v>133</v>
      </c>
      <c r="B79" s="106"/>
      <c r="C79" s="106"/>
      <c r="D79" s="104"/>
      <c r="E79" s="20" t="s">
        <v>27</v>
      </c>
      <c r="F79" s="149">
        <v>1.9</v>
      </c>
      <c r="G79" s="168">
        <f>G80+G83</f>
        <v>1.3810000000000002</v>
      </c>
      <c r="H79" s="25" t="s">
        <v>134</v>
      </c>
      <c r="I79" s="525">
        <f>G79*0.9</f>
        <v>1.2429000000000003</v>
      </c>
      <c r="J79" s="99">
        <f>-G79*0.1</f>
        <v>-0.13810000000000003</v>
      </c>
      <c r="K79" s="99">
        <f>G79*0.1</f>
        <v>0.13810000000000003</v>
      </c>
      <c r="L79" s="20">
        <f>I79+((J79+K79)/3)</f>
        <v>1.2429000000000003</v>
      </c>
      <c r="M79" s="53">
        <f>(J79^2+K79^2-(K79*J79))/18</f>
        <v>0.0031786016666666677</v>
      </c>
      <c r="N79" s="20"/>
      <c r="O79" s="20"/>
      <c r="P79" s="20"/>
      <c r="Q79" s="20" t="s">
        <v>36</v>
      </c>
      <c r="R79" s="116"/>
      <c r="S79" s="319"/>
      <c r="T79" s="309" t="s">
        <v>135</v>
      </c>
      <c r="U79" s="312" t="s">
        <v>290</v>
      </c>
      <c r="V79" s="313" t="s">
        <v>324</v>
      </c>
    </row>
    <row r="80" spans="1:22" s="2" customFormat="1" ht="12.75">
      <c r="A80" s="116"/>
      <c r="B80" s="106" t="s">
        <v>129</v>
      </c>
      <c r="C80" s="106"/>
      <c r="D80" s="104"/>
      <c r="E80" s="20" t="s">
        <v>27</v>
      </c>
      <c r="F80" s="149"/>
      <c r="G80" s="149">
        <f>SUM(G81:G82)</f>
        <v>0.8</v>
      </c>
      <c r="H80" s="25"/>
      <c r="I80" s="37"/>
      <c r="J80" s="38"/>
      <c r="K80" s="38"/>
      <c r="L80" s="38"/>
      <c r="M80" s="352"/>
      <c r="N80" s="38"/>
      <c r="O80" s="38"/>
      <c r="P80" s="38"/>
      <c r="Q80" s="38"/>
      <c r="R80" s="116"/>
      <c r="S80" s="375"/>
      <c r="T80" s="375"/>
      <c r="U80" s="375"/>
      <c r="V80" s="375"/>
    </row>
    <row r="81" spans="1:22" s="2" customFormat="1" ht="12.75">
      <c r="A81" s="116"/>
      <c r="B81" s="106"/>
      <c r="C81" s="106" t="s">
        <v>131</v>
      </c>
      <c r="D81" s="104"/>
      <c r="E81" s="20" t="s">
        <v>27</v>
      </c>
      <c r="F81" s="149"/>
      <c r="G81" s="149">
        <v>0.5</v>
      </c>
      <c r="H81" s="25"/>
      <c r="I81" s="37"/>
      <c r="J81" s="38"/>
      <c r="K81" s="38"/>
      <c r="L81" s="38"/>
      <c r="M81" s="352"/>
      <c r="N81" s="38"/>
      <c r="O81" s="38"/>
      <c r="P81" s="38"/>
      <c r="Q81" s="38"/>
      <c r="R81" s="116"/>
      <c r="S81" s="319"/>
      <c r="T81" s="313" t="s">
        <v>289</v>
      </c>
      <c r="U81" s="318"/>
      <c r="V81" s="311"/>
    </row>
    <row r="82" spans="1:22" s="2" customFormat="1" ht="12.75">
      <c r="A82" s="116"/>
      <c r="B82" s="106"/>
      <c r="C82" s="106" t="s">
        <v>132</v>
      </c>
      <c r="D82" s="104"/>
      <c r="E82" s="20" t="s">
        <v>27</v>
      </c>
      <c r="F82" s="149"/>
      <c r="G82" s="149">
        <v>0.3</v>
      </c>
      <c r="H82" s="25"/>
      <c r="I82" s="37"/>
      <c r="J82" s="38"/>
      <c r="K82" s="38"/>
      <c r="L82" s="38"/>
      <c r="M82" s="352"/>
      <c r="N82" s="38"/>
      <c r="O82" s="38"/>
      <c r="P82" s="38"/>
      <c r="Q82" s="38"/>
      <c r="R82" s="116"/>
      <c r="S82" s="319"/>
      <c r="T82" s="313" t="s">
        <v>289</v>
      </c>
      <c r="U82" s="318"/>
      <c r="V82" s="311"/>
    </row>
    <row r="83" spans="1:22" s="2" customFormat="1" ht="12.75">
      <c r="A83" s="116"/>
      <c r="B83" s="106" t="s">
        <v>159</v>
      </c>
      <c r="C83" s="106"/>
      <c r="D83" s="104"/>
      <c r="E83" s="20" t="s">
        <v>27</v>
      </c>
      <c r="F83" s="149"/>
      <c r="G83" s="149">
        <f>SUM(G84:G87)</f>
        <v>0.5810000000000001</v>
      </c>
      <c r="H83" s="25"/>
      <c r="I83" s="37"/>
      <c r="J83" s="38"/>
      <c r="K83" s="38"/>
      <c r="L83" s="38"/>
      <c r="M83" s="352"/>
      <c r="N83" s="38"/>
      <c r="O83" s="38"/>
      <c r="P83" s="38"/>
      <c r="Q83" s="38"/>
      <c r="R83" s="116"/>
      <c r="S83" s="375"/>
      <c r="T83" s="375"/>
      <c r="U83" s="375"/>
      <c r="V83" s="375"/>
    </row>
    <row r="84" spans="1:22" s="2" customFormat="1" ht="12.75">
      <c r="A84" s="116"/>
      <c r="B84" s="106"/>
      <c r="C84" s="106" t="s">
        <v>130</v>
      </c>
      <c r="D84" s="104"/>
      <c r="E84" s="20" t="s">
        <v>27</v>
      </c>
      <c r="F84" s="149"/>
      <c r="G84" s="149">
        <v>0.5</v>
      </c>
      <c r="H84" s="25"/>
      <c r="I84" s="37"/>
      <c r="J84" s="38"/>
      <c r="K84" s="38"/>
      <c r="L84" s="38"/>
      <c r="M84" s="352"/>
      <c r="N84" s="38"/>
      <c r="O84" s="38"/>
      <c r="P84" s="38"/>
      <c r="Q84" s="38"/>
      <c r="R84" s="116"/>
      <c r="S84" s="319"/>
      <c r="T84" s="313" t="s">
        <v>289</v>
      </c>
      <c r="U84" s="318"/>
      <c r="V84" s="311"/>
    </row>
    <row r="85" spans="1:22" s="2" customFormat="1" ht="12.75">
      <c r="A85" s="116"/>
      <c r="B85" s="106"/>
      <c r="C85" s="106" t="s">
        <v>137</v>
      </c>
      <c r="D85" s="104"/>
      <c r="E85" s="20" t="s">
        <v>27</v>
      </c>
      <c r="F85" s="149"/>
      <c r="G85" s="149">
        <v>0.011</v>
      </c>
      <c r="H85" s="25"/>
      <c r="I85" s="37"/>
      <c r="J85" s="38"/>
      <c r="K85" s="38"/>
      <c r="L85" s="38"/>
      <c r="M85" s="352"/>
      <c r="N85" s="38"/>
      <c r="O85" s="38"/>
      <c r="P85" s="38"/>
      <c r="Q85" s="38"/>
      <c r="R85" s="116"/>
      <c r="S85" s="319"/>
      <c r="T85" s="313" t="s">
        <v>289</v>
      </c>
      <c r="U85" s="318"/>
      <c r="V85" s="311"/>
    </row>
    <row r="86" spans="1:22" s="2" customFormat="1" ht="12.75">
      <c r="A86" s="116"/>
      <c r="B86" s="106"/>
      <c r="C86" s="106" t="s">
        <v>138</v>
      </c>
      <c r="D86" s="104"/>
      <c r="E86" s="20" t="s">
        <v>27</v>
      </c>
      <c r="F86" s="149"/>
      <c r="G86" s="149">
        <v>0.05</v>
      </c>
      <c r="H86" s="25"/>
      <c r="I86" s="37"/>
      <c r="J86" s="38"/>
      <c r="K86" s="38"/>
      <c r="L86" s="38"/>
      <c r="M86" s="352"/>
      <c r="N86" s="38"/>
      <c r="O86" s="38"/>
      <c r="P86" s="38"/>
      <c r="Q86" s="38"/>
      <c r="R86" s="116"/>
      <c r="S86" s="319"/>
      <c r="T86" s="313" t="s">
        <v>275</v>
      </c>
      <c r="U86" s="318"/>
      <c r="V86" s="311"/>
    </row>
    <row r="87" spans="1:22" s="2" customFormat="1" ht="12.75">
      <c r="A87" s="276"/>
      <c r="B87" s="277"/>
      <c r="C87" s="666" t="s">
        <v>354</v>
      </c>
      <c r="D87" s="667"/>
      <c r="E87" s="26" t="s">
        <v>27</v>
      </c>
      <c r="F87" s="668"/>
      <c r="G87" s="668">
        <v>0.02</v>
      </c>
      <c r="H87" s="280"/>
      <c r="I87" s="281"/>
      <c r="J87" s="238"/>
      <c r="K87" s="238"/>
      <c r="L87" s="38"/>
      <c r="M87" s="352"/>
      <c r="N87" s="38"/>
      <c r="O87" s="38"/>
      <c r="P87" s="38"/>
      <c r="Q87" s="38"/>
      <c r="R87" s="276"/>
      <c r="S87" s="319"/>
      <c r="T87" s="313" t="s">
        <v>355</v>
      </c>
      <c r="U87" s="318"/>
      <c r="V87" s="311"/>
    </row>
    <row r="88" spans="1:22" s="2" customFormat="1" ht="12.75">
      <c r="A88" s="572" t="s">
        <v>802</v>
      </c>
      <c r="B88" s="740"/>
      <c r="C88" s="740"/>
      <c r="D88" s="672"/>
      <c r="E88" s="673" t="s">
        <v>27</v>
      </c>
      <c r="F88" s="651"/>
      <c r="G88" s="674">
        <v>1</v>
      </c>
      <c r="H88" s="652"/>
      <c r="I88" s="653">
        <v>1</v>
      </c>
      <c r="J88" s="617"/>
      <c r="K88" s="238"/>
      <c r="L88" s="38"/>
      <c r="M88" s="352"/>
      <c r="N88" s="38"/>
      <c r="O88" s="38"/>
      <c r="P88" s="38"/>
      <c r="Q88" s="38"/>
      <c r="R88" s="456"/>
      <c r="S88" s="319"/>
      <c r="T88" s="313"/>
      <c r="U88" s="318"/>
      <c r="V88" s="311"/>
    </row>
    <row r="89" spans="1:22" s="2" customFormat="1" ht="13.5" thickBot="1">
      <c r="A89" s="138" t="s">
        <v>139</v>
      </c>
      <c r="B89" s="139"/>
      <c r="C89" s="139"/>
      <c r="D89" s="140"/>
      <c r="E89" s="20" t="s">
        <v>27</v>
      </c>
      <c r="F89" s="178">
        <f>F75+F76+F79</f>
        <v>13.500000000000002</v>
      </c>
      <c r="G89" s="747">
        <f>G75+G76+G79+I88</f>
        <v>16.881</v>
      </c>
      <c r="H89" s="55"/>
      <c r="I89" s="541">
        <f>I75+I76+I79+I88</f>
        <v>16.7429</v>
      </c>
      <c r="J89" s="57"/>
      <c r="K89" s="57"/>
      <c r="L89" s="44">
        <f>L75+L76+L79</f>
        <v>15.7429</v>
      </c>
      <c r="M89" s="352"/>
      <c r="N89" s="23"/>
      <c r="O89" s="23"/>
      <c r="P89" s="23"/>
      <c r="Q89" s="23"/>
      <c r="R89" s="138"/>
      <c r="S89" s="297" t="s">
        <v>542</v>
      </c>
      <c r="T89" s="311"/>
      <c r="U89" s="310"/>
      <c r="V89" s="311"/>
    </row>
    <row r="90" spans="1:22" s="2" customFormat="1" ht="13.5" thickBot="1">
      <c r="A90" s="58" t="s">
        <v>140</v>
      </c>
      <c r="B90" s="107"/>
      <c r="C90" s="107"/>
      <c r="D90" s="107"/>
      <c r="E90" s="59" t="s">
        <v>27</v>
      </c>
      <c r="F90" s="179">
        <f>F72-F89</f>
        <v>14.589748306598393</v>
      </c>
      <c r="G90" s="179">
        <f>G72-G89</f>
        <v>-0.6398382648951966</v>
      </c>
      <c r="H90" s="219"/>
      <c r="I90" s="220">
        <f>I72-I89</f>
        <v>2.168261735104821</v>
      </c>
      <c r="J90" s="61"/>
      <c r="K90" s="61"/>
      <c r="L90" s="60">
        <f>L72-L89</f>
        <v>2.9273498761835537</v>
      </c>
      <c r="M90" s="540">
        <f>M72+M76+M79</f>
        <v>0.5722987975231673</v>
      </c>
      <c r="N90" s="85"/>
      <c r="O90" s="85"/>
      <c r="P90" s="85"/>
      <c r="Q90" s="62" t="s">
        <v>32</v>
      </c>
      <c r="R90" s="347"/>
      <c r="S90" s="297" t="s">
        <v>264</v>
      </c>
      <c r="T90" s="311"/>
      <c r="U90" s="297" t="s">
        <v>543</v>
      </c>
      <c r="V90" s="313" t="s">
        <v>302</v>
      </c>
    </row>
    <row r="91" spans="1:22" ht="13.5" thickBot="1">
      <c r="A91" s="98"/>
      <c r="B91" s="108"/>
      <c r="C91" s="108"/>
      <c r="D91" s="108" t="s">
        <v>141</v>
      </c>
      <c r="E91" s="219" t="s">
        <v>27</v>
      </c>
      <c r="F91" s="179"/>
      <c r="G91" s="559">
        <f>G72-F89</f>
        <v>2.741161735104802</v>
      </c>
      <c r="L91" s="64" t="s">
        <v>142</v>
      </c>
      <c r="M91" s="268">
        <f>SQRT(M90)</f>
        <v>0.7565043274979776</v>
      </c>
      <c r="N91" s="86"/>
      <c r="O91" s="86"/>
      <c r="P91" s="86"/>
      <c r="Q91" s="66" t="s">
        <v>27</v>
      </c>
      <c r="S91" s="361"/>
      <c r="T91" s="361"/>
      <c r="U91" s="361"/>
      <c r="V91" s="361"/>
    </row>
    <row r="92" spans="5:17" ht="13.5" thickBot="1">
      <c r="E92"/>
      <c r="F92"/>
      <c r="G92"/>
      <c r="H92"/>
      <c r="I92"/>
      <c r="L92" s="64" t="s">
        <v>143</v>
      </c>
      <c r="M92" s="67">
        <f>2*M91</f>
        <v>1.5130086549959552</v>
      </c>
      <c r="N92" s="68"/>
      <c r="O92" s="68"/>
      <c r="P92" s="68"/>
      <c r="Q92" s="66" t="s">
        <v>27</v>
      </c>
    </row>
    <row r="93" spans="1:17" ht="13.5" thickBot="1">
      <c r="A93" s="658" t="s">
        <v>884</v>
      </c>
      <c r="B93" s="654"/>
      <c r="C93" s="654"/>
      <c r="D93" s="654"/>
      <c r="E93" s="655" t="s">
        <v>27</v>
      </c>
      <c r="F93" s="656"/>
      <c r="G93" s="656"/>
      <c r="H93" s="657"/>
      <c r="I93" s="659">
        <f>I76+I79+I88</f>
        <v>4.5429</v>
      </c>
      <c r="L93" s="64"/>
      <c r="M93" s="68"/>
      <c r="N93" s="68"/>
      <c r="O93" s="68"/>
      <c r="P93" s="68"/>
      <c r="Q93" s="66"/>
    </row>
    <row r="94" spans="1:17" ht="12.75">
      <c r="A94" s="744"/>
      <c r="B94" s="119"/>
      <c r="C94" s="119"/>
      <c r="D94" s="119"/>
      <c r="E94" s="243"/>
      <c r="F94" s="634"/>
      <c r="G94" s="634"/>
      <c r="H94" s="288"/>
      <c r="I94" s="640"/>
      <c r="L94" s="64"/>
      <c r="M94" s="68"/>
      <c r="N94" s="68"/>
      <c r="O94" s="68"/>
      <c r="P94" s="68"/>
      <c r="Q94" s="66"/>
    </row>
    <row r="95" spans="6:17" ht="12.75">
      <c r="F95"/>
      <c r="H95" s="180" t="s">
        <v>144</v>
      </c>
      <c r="L95" s="64"/>
      <c r="M95" s="68"/>
      <c r="N95" s="68"/>
      <c r="O95" s="68"/>
      <c r="P95" s="68"/>
      <c r="Q95" s="66"/>
    </row>
    <row r="96" spans="1:17" ht="12.75">
      <c r="A96" s="221"/>
      <c r="B96" s="221"/>
      <c r="C96" s="221"/>
      <c r="D96" s="221"/>
      <c r="F96"/>
      <c r="G96" s="180" t="s">
        <v>145</v>
      </c>
      <c r="H96" s="180" t="s">
        <v>146</v>
      </c>
      <c r="I96" s="180" t="s">
        <v>147</v>
      </c>
      <c r="J96" s="180"/>
      <c r="K96"/>
      <c r="L96"/>
      <c r="M96" s="68"/>
      <c r="N96" s="68"/>
      <c r="O96" s="68"/>
      <c r="P96" s="68"/>
      <c r="Q96" s="66"/>
    </row>
    <row r="97" spans="1:17" ht="13.5" thickBot="1">
      <c r="A97" s="221" t="s">
        <v>163</v>
      </c>
      <c r="B97" s="221"/>
      <c r="C97" s="221"/>
      <c r="D97" s="221"/>
      <c r="F97"/>
      <c r="G97" s="180" t="s">
        <v>148</v>
      </c>
      <c r="H97" s="180" t="s">
        <v>148</v>
      </c>
      <c r="I97" s="180" t="s">
        <v>148</v>
      </c>
      <c r="J97" s="180"/>
      <c r="K97"/>
      <c r="L97"/>
      <c r="M97" s="68"/>
      <c r="N97" s="68"/>
      <c r="O97" s="68"/>
      <c r="P97" s="68"/>
      <c r="Q97" s="66"/>
    </row>
    <row r="98" spans="1:22" ht="12.75">
      <c r="A98" s="222" t="s">
        <v>149</v>
      </c>
      <c r="B98" s="183"/>
      <c r="C98" s="183"/>
      <c r="D98" s="183"/>
      <c r="E98" s="184" t="s">
        <v>27</v>
      </c>
      <c r="F98"/>
      <c r="G98" s="133">
        <f>SUM(I63,M65)</f>
        <v>3.9585112349997758</v>
      </c>
      <c r="H98" s="185">
        <v>2</v>
      </c>
      <c r="I98" s="186">
        <f>G98-H98</f>
        <v>1.9585112349997758</v>
      </c>
      <c r="K98"/>
      <c r="L98"/>
      <c r="M98" s="68"/>
      <c r="N98" s="68"/>
      <c r="O98" s="68"/>
      <c r="P98" s="68"/>
      <c r="Q98" s="66"/>
      <c r="S98" s="363"/>
      <c r="T98" s="70" t="s">
        <v>37</v>
      </c>
      <c r="U98" s="363"/>
      <c r="V98" s="363"/>
    </row>
    <row r="99" spans="1:22" ht="12.75">
      <c r="A99" s="223" t="s">
        <v>150</v>
      </c>
      <c r="B99" s="188"/>
      <c r="C99" s="188"/>
      <c r="D99" s="188"/>
      <c r="E99" s="189" t="s">
        <v>27</v>
      </c>
      <c r="F99"/>
      <c r="G99" s="597">
        <f>SUM(I63)</f>
        <v>2.4475855176244963</v>
      </c>
      <c r="H99" s="190">
        <v>1</v>
      </c>
      <c r="I99" s="191">
        <f>G99-H99</f>
        <v>1.4475855176244963</v>
      </c>
      <c r="K99"/>
      <c r="L99"/>
      <c r="M99"/>
      <c r="N99"/>
      <c r="O99"/>
      <c r="P99"/>
      <c r="Q99"/>
      <c r="S99" s="364"/>
      <c r="T99" s="24" t="s">
        <v>37</v>
      </c>
      <c r="U99" s="364"/>
      <c r="V99" s="364"/>
    </row>
    <row r="100" spans="1:22" ht="13.5" thickBot="1">
      <c r="A100" s="224" t="s">
        <v>151</v>
      </c>
      <c r="B100" s="193"/>
      <c r="C100" s="193"/>
      <c r="D100" s="193"/>
      <c r="E100" s="194" t="s">
        <v>27</v>
      </c>
      <c r="F100"/>
      <c r="G100" s="598">
        <f>SUM(I63,-M65)</f>
        <v>0.9366598002492168</v>
      </c>
      <c r="H100" s="195">
        <v>0</v>
      </c>
      <c r="I100" s="196">
        <f>G100-H100</f>
        <v>0.9366598002492168</v>
      </c>
      <c r="K100"/>
      <c r="L100"/>
      <c r="M100"/>
      <c r="N100"/>
      <c r="O100"/>
      <c r="P100"/>
      <c r="Q100"/>
      <c r="S100" s="361"/>
      <c r="T100" s="71" t="s">
        <v>37</v>
      </c>
      <c r="U100" s="361"/>
      <c r="V100" s="361"/>
    </row>
    <row r="101" spans="1:17" ht="13.5" thickBot="1">
      <c r="A101" s="221" t="s">
        <v>164</v>
      </c>
      <c r="B101" s="221"/>
      <c r="C101" s="221"/>
      <c r="D101" s="221"/>
      <c r="F101"/>
      <c r="G101" s="180"/>
      <c r="H101" s="180"/>
      <c r="I101" s="180"/>
      <c r="J101" s="180"/>
      <c r="K101"/>
      <c r="L101"/>
      <c r="M101" s="68"/>
      <c r="N101" s="68"/>
      <c r="O101" s="68"/>
      <c r="P101" s="68"/>
      <c r="Q101" s="66"/>
    </row>
    <row r="102" spans="1:22" ht="12.75">
      <c r="A102" s="222" t="s">
        <v>149</v>
      </c>
      <c r="B102" s="183"/>
      <c r="C102" s="183"/>
      <c r="D102" s="183"/>
      <c r="E102" s="184" t="s">
        <v>27</v>
      </c>
      <c r="F102"/>
      <c r="G102" s="133">
        <f>SUM(I90,M92)</f>
        <v>3.681270390100776</v>
      </c>
      <c r="H102" s="185">
        <v>2</v>
      </c>
      <c r="I102" s="186">
        <f>G102-H102</f>
        <v>1.6812703901007762</v>
      </c>
      <c r="K102"/>
      <c r="L102"/>
      <c r="M102" s="68"/>
      <c r="N102" s="68"/>
      <c r="O102" s="68"/>
      <c r="P102" s="68"/>
      <c r="Q102" s="66"/>
      <c r="S102" s="363"/>
      <c r="T102" s="70" t="s">
        <v>37</v>
      </c>
      <c r="U102" s="363"/>
      <c r="V102" s="363"/>
    </row>
    <row r="103" spans="1:22" ht="12.75">
      <c r="A103" s="223" t="s">
        <v>150</v>
      </c>
      <c r="B103" s="188"/>
      <c r="C103" s="188"/>
      <c r="D103" s="188"/>
      <c r="E103" s="189" t="s">
        <v>27</v>
      </c>
      <c r="F103"/>
      <c r="G103" s="597">
        <f>SUM(I90)</f>
        <v>2.168261735104821</v>
      </c>
      <c r="H103" s="190">
        <v>1</v>
      </c>
      <c r="I103" s="191">
        <f>G103-H103</f>
        <v>1.1682617351048208</v>
      </c>
      <c r="K103"/>
      <c r="L103"/>
      <c r="M103"/>
      <c r="N103"/>
      <c r="O103"/>
      <c r="P103"/>
      <c r="Q103"/>
      <c r="S103" s="364"/>
      <c r="T103" s="24" t="s">
        <v>37</v>
      </c>
      <c r="U103" s="364"/>
      <c r="V103" s="364"/>
    </row>
    <row r="104" spans="1:22" ht="13.5" thickBot="1">
      <c r="A104" s="224" t="s">
        <v>151</v>
      </c>
      <c r="B104" s="193"/>
      <c r="C104" s="193"/>
      <c r="D104" s="193"/>
      <c r="E104" s="194" t="s">
        <v>27</v>
      </c>
      <c r="F104"/>
      <c r="G104" s="598">
        <f>SUM(I90,-M92)</f>
        <v>0.6552530801088656</v>
      </c>
      <c r="H104" s="195">
        <v>0</v>
      </c>
      <c r="I104" s="196">
        <f>G104-H104</f>
        <v>0.6552530801088656</v>
      </c>
      <c r="K104"/>
      <c r="L104"/>
      <c r="M104"/>
      <c r="N104"/>
      <c r="O104"/>
      <c r="P104"/>
      <c r="Q104"/>
      <c r="S104" s="361"/>
      <c r="T104" s="71" t="s">
        <v>37</v>
      </c>
      <c r="U104" s="361"/>
      <c r="V104" s="361"/>
    </row>
    <row r="105" spans="5:17" ht="13.5" thickBot="1">
      <c r="E105"/>
      <c r="F105"/>
      <c r="H105"/>
      <c r="I105"/>
      <c r="J105"/>
      <c r="K105"/>
      <c r="L105"/>
      <c r="M105"/>
      <c r="N105"/>
      <c r="O105"/>
      <c r="P105"/>
      <c r="Q105"/>
    </row>
    <row r="106" spans="2:17" ht="13.5" thickBot="1">
      <c r="B106" s="785" t="s">
        <v>433</v>
      </c>
      <c r="C106" s="786"/>
      <c r="D106" s="786"/>
      <c r="E106" s="786"/>
      <c r="F106" s="786"/>
      <c r="G106" s="786"/>
      <c r="H106" s="786"/>
      <c r="I106" s="786"/>
      <c r="J106" s="787"/>
      <c r="K106"/>
      <c r="L106"/>
      <c r="M106"/>
      <c r="N106"/>
      <c r="O106"/>
      <c r="P106"/>
      <c r="Q106"/>
    </row>
    <row r="107" spans="2:17" ht="12.75">
      <c r="B107" s="748" t="s">
        <v>163</v>
      </c>
      <c r="C107" s="629"/>
      <c r="D107" s="629"/>
      <c r="E107" s="788" t="s">
        <v>435</v>
      </c>
      <c r="F107" s="767"/>
      <c r="G107" s="788" t="s">
        <v>801</v>
      </c>
      <c r="H107" s="767"/>
      <c r="I107" s="788" t="s">
        <v>146</v>
      </c>
      <c r="J107" s="767"/>
      <c r="K107"/>
      <c r="L107"/>
      <c r="M107"/>
      <c r="N107"/>
      <c r="O107"/>
      <c r="P107"/>
      <c r="Q107"/>
    </row>
    <row r="108" spans="2:17" ht="12.75">
      <c r="B108" s="572"/>
      <c r="C108" s="573"/>
      <c r="D108" s="573" t="s">
        <v>4</v>
      </c>
      <c r="E108" s="660" t="s">
        <v>431</v>
      </c>
      <c r="F108" s="583" t="s">
        <v>432</v>
      </c>
      <c r="G108" s="661" t="s">
        <v>431</v>
      </c>
      <c r="H108" s="575" t="s">
        <v>432</v>
      </c>
      <c r="I108" s="661" t="s">
        <v>431</v>
      </c>
      <c r="J108" s="575" t="s">
        <v>432</v>
      </c>
      <c r="K108"/>
      <c r="L108"/>
      <c r="M108"/>
      <c r="N108"/>
      <c r="O108"/>
      <c r="P108"/>
      <c r="Q108"/>
    </row>
    <row r="109" spans="2:17" ht="12.75">
      <c r="B109" s="576" t="s">
        <v>96</v>
      </c>
      <c r="C109" s="569"/>
      <c r="D109" s="569"/>
      <c r="E109" s="662">
        <f>I109+G109</f>
        <v>34.88016509149156</v>
      </c>
      <c r="F109" s="663">
        <f>J109-H109</f>
        <v>36.5877101049678</v>
      </c>
      <c r="G109" s="662">
        <v>0.36</v>
      </c>
      <c r="H109" s="663">
        <v>0.64</v>
      </c>
      <c r="I109" s="662">
        <f>I15+K15</f>
        <v>34.52016509149156</v>
      </c>
      <c r="J109" s="663">
        <f>I15+J15</f>
        <v>37.2277101049678</v>
      </c>
      <c r="K109"/>
      <c r="L109"/>
      <c r="M109"/>
      <c r="N109"/>
      <c r="O109"/>
      <c r="P109"/>
      <c r="Q109"/>
    </row>
    <row r="110" spans="2:17" ht="13.5" thickBot="1">
      <c r="B110" s="643" t="s">
        <v>851</v>
      </c>
      <c r="C110" s="644"/>
      <c r="D110" s="644"/>
      <c r="E110" s="664">
        <f>I110+G110</f>
        <v>0</v>
      </c>
      <c r="F110" s="665">
        <f>J110-H110</f>
        <v>4.181</v>
      </c>
      <c r="G110" s="664">
        <v>0</v>
      </c>
      <c r="H110" s="665">
        <v>0.1</v>
      </c>
      <c r="I110" s="664">
        <v>0</v>
      </c>
      <c r="J110" s="665">
        <f>G66</f>
        <v>4.281</v>
      </c>
      <c r="K110"/>
      <c r="L110"/>
      <c r="M110"/>
      <c r="N110"/>
      <c r="O110"/>
      <c r="P110"/>
      <c r="Q110"/>
    </row>
  </sheetData>
  <mergeCells count="4">
    <mergeCell ref="B106:J106"/>
    <mergeCell ref="E107:F107"/>
    <mergeCell ref="G107:H107"/>
    <mergeCell ref="I107:J107"/>
  </mergeCells>
  <printOptions gridLines="1" headings="1" horizontalCentered="1" verticalCentered="1"/>
  <pageMargins left="0.75" right="0.25" top="0.5" bottom="0.75" header="0.25" footer="0.25"/>
  <pageSetup fitToHeight="1" fitToWidth="1" horizontalDpi="600" verticalDpi="600" orientation="portrait" scale="46"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109"/>
  <sheetViews>
    <sheetView workbookViewId="0" topLeftCell="A1">
      <pane ySplit="2" topLeftCell="BM83" activePane="bottomLeft" state="frozen"/>
      <selection pane="topLeft" activeCell="I107" sqref="I107:J107"/>
      <selection pane="bottomLeft" activeCell="J110" sqref="J110"/>
    </sheetView>
  </sheetViews>
  <sheetFormatPr defaultColWidth="9.140625" defaultRowHeight="12.75"/>
  <cols>
    <col min="1" max="3" width="3.421875" style="0" customWidth="1"/>
    <col min="4" max="4" width="24.421875" style="0" customWidth="1"/>
    <col min="5" max="5" width="11.7109375" style="63" customWidth="1"/>
    <col min="6" max="7" width="11.7109375" style="96" customWidth="1"/>
    <col min="8" max="8" width="11.7109375" style="63" customWidth="1"/>
    <col min="9" max="13" width="10.7109375" style="63" customWidth="1"/>
    <col min="14" max="16" width="10.7109375" style="63" hidden="1" customWidth="1"/>
    <col min="17" max="17" width="10.7109375" style="63" customWidth="1"/>
    <col min="18" max="18" width="41.28125" style="0" bestFit="1" customWidth="1"/>
    <col min="19" max="19" width="114.00390625" style="66" bestFit="1" customWidth="1"/>
    <col min="20" max="20" width="101.7109375" style="0" bestFit="1" customWidth="1"/>
    <col min="21" max="21" width="91.421875" style="288" bestFit="1" customWidth="1"/>
    <col min="22" max="22" width="101.57421875" style="82" bestFit="1" customWidth="1"/>
    <col min="23" max="16384" width="8.8515625" style="0" customWidth="1"/>
  </cols>
  <sheetData>
    <row r="1" spans="1:22" s="2" customFormat="1" ht="13.5" thickBot="1">
      <c r="A1" s="109"/>
      <c r="B1" s="110"/>
      <c r="C1" s="110"/>
      <c r="D1" s="111"/>
      <c r="E1" s="4"/>
      <c r="F1" s="267" t="s">
        <v>0</v>
      </c>
      <c r="G1" s="5" t="s">
        <v>1</v>
      </c>
      <c r="H1" s="6"/>
      <c r="I1" s="7" t="s">
        <v>2</v>
      </c>
      <c r="J1" s="7"/>
      <c r="K1" s="6"/>
      <c r="L1" s="5" t="s">
        <v>3</v>
      </c>
      <c r="M1" s="6"/>
      <c r="N1" s="83"/>
      <c r="O1" s="83"/>
      <c r="P1" s="83"/>
      <c r="Q1" s="8"/>
      <c r="R1" s="9"/>
      <c r="S1" s="289"/>
      <c r="T1" s="290"/>
      <c r="U1" s="291"/>
      <c r="V1" s="292"/>
    </row>
    <row r="2" spans="1:22" s="12" customFormat="1" ht="39" customHeight="1" thickBot="1">
      <c r="A2" s="112" t="s">
        <v>4</v>
      </c>
      <c r="B2" s="113"/>
      <c r="C2" s="113"/>
      <c r="D2" s="114"/>
      <c r="E2" s="10" t="s">
        <v>5</v>
      </c>
      <c r="F2" s="245" t="s">
        <v>6</v>
      </c>
      <c r="G2" s="89" t="s">
        <v>7</v>
      </c>
      <c r="H2" s="10" t="s">
        <v>8</v>
      </c>
      <c r="I2" s="11" t="s">
        <v>9</v>
      </c>
      <c r="J2" s="11" t="s">
        <v>10</v>
      </c>
      <c r="K2" s="11" t="s">
        <v>11</v>
      </c>
      <c r="L2" s="11" t="s">
        <v>12</v>
      </c>
      <c r="M2" s="11" t="s">
        <v>13</v>
      </c>
      <c r="N2" s="11"/>
      <c r="O2" s="11"/>
      <c r="P2" s="11"/>
      <c r="Q2" s="10" t="s">
        <v>14</v>
      </c>
      <c r="R2" s="10" t="s">
        <v>15</v>
      </c>
      <c r="S2" s="293" t="s">
        <v>284</v>
      </c>
      <c r="T2" s="245" t="s">
        <v>285</v>
      </c>
      <c r="U2" s="293" t="s">
        <v>286</v>
      </c>
      <c r="V2" s="245" t="s">
        <v>287</v>
      </c>
    </row>
    <row r="3" spans="1:22" s="341" customFormat="1" ht="13.5" thickBot="1">
      <c r="A3" s="103" t="s">
        <v>16</v>
      </c>
      <c r="B3" s="103"/>
      <c r="C3" s="103"/>
      <c r="D3" s="103"/>
      <c r="E3" s="13"/>
      <c r="F3" s="90"/>
      <c r="G3" s="90"/>
      <c r="H3" s="13"/>
      <c r="I3" s="13"/>
      <c r="J3" s="13"/>
      <c r="K3" s="13"/>
      <c r="L3" s="13"/>
      <c r="M3" s="13"/>
      <c r="N3" s="13"/>
      <c r="O3" s="13"/>
      <c r="P3" s="13"/>
      <c r="Q3" s="13"/>
      <c r="R3" s="348"/>
      <c r="S3" s="407"/>
      <c r="T3" s="348"/>
      <c r="U3" s="285"/>
      <c r="V3" s="400"/>
    </row>
    <row r="4" spans="1:22" s="2" customFormat="1" ht="12.75">
      <c r="A4" s="127" t="s">
        <v>200</v>
      </c>
      <c r="B4" s="128"/>
      <c r="C4" s="128"/>
      <c r="D4" s="115"/>
      <c r="E4"/>
      <c r="F4" s="97" t="s">
        <v>17</v>
      </c>
      <c r="G4" s="97" t="s">
        <v>788</v>
      </c>
      <c r="H4"/>
      <c r="I4" s="75"/>
      <c r="J4" s="18"/>
      <c r="K4" s="18"/>
      <c r="L4" s="18"/>
      <c r="M4" s="351"/>
      <c r="N4" s="18"/>
      <c r="O4" s="18"/>
      <c r="P4" s="18"/>
      <c r="Q4" s="18"/>
      <c r="R4" s="294"/>
      <c r="S4" s="303"/>
      <c r="T4" s="337" t="s">
        <v>265</v>
      </c>
      <c r="U4" s="338"/>
      <c r="V4" s="304"/>
    </row>
    <row r="5" spans="1:22" s="2" customFormat="1" ht="13.5" thickBot="1">
      <c r="A5" s="138" t="s">
        <v>18</v>
      </c>
      <c r="B5" s="139"/>
      <c r="C5" s="139"/>
      <c r="D5" s="140"/>
      <c r="E5" s="22" t="s">
        <v>19</v>
      </c>
      <c r="F5" s="21">
        <v>2.374</v>
      </c>
      <c r="G5" s="566">
        <v>2.374</v>
      </c>
      <c r="H5" s="22"/>
      <c r="I5" s="52">
        <f>G5</f>
        <v>2.374</v>
      </c>
      <c r="J5" s="23"/>
      <c r="K5" s="78"/>
      <c r="L5" s="77">
        <f>I5</f>
        <v>2.374</v>
      </c>
      <c r="M5" s="352"/>
      <c r="N5" s="23"/>
      <c r="O5" s="23"/>
      <c r="P5" s="23"/>
      <c r="Q5" s="23"/>
      <c r="R5" s="295"/>
      <c r="S5" s="331"/>
      <c r="T5" s="339" t="s">
        <v>265</v>
      </c>
      <c r="U5" s="340"/>
      <c r="V5" s="305"/>
    </row>
    <row r="6" spans="1:27" s="341" customFormat="1" ht="13.5" thickBot="1">
      <c r="A6" s="103" t="s">
        <v>20</v>
      </c>
      <c r="B6" s="103"/>
      <c r="C6" s="103"/>
      <c r="D6" s="103"/>
      <c r="E6" s="13"/>
      <c r="F6" s="90"/>
      <c r="G6" s="90"/>
      <c r="H6" s="13"/>
      <c r="I6" s="13"/>
      <c r="J6" s="13"/>
      <c r="K6" s="13"/>
      <c r="L6" s="13"/>
      <c r="M6" s="353"/>
      <c r="N6" s="13"/>
      <c r="O6" s="13"/>
      <c r="P6" s="13"/>
      <c r="Q6" s="13"/>
      <c r="R6" s="348"/>
      <c r="S6" s="408"/>
      <c r="T6" s="409"/>
      <c r="U6" s="410"/>
      <c r="V6" s="411"/>
      <c r="W6" s="119"/>
      <c r="X6" s="119"/>
      <c r="Y6" s="119"/>
      <c r="Z6" s="119"/>
      <c r="AA6" s="119"/>
    </row>
    <row r="7" spans="1:27" s="2" customFormat="1" ht="12.75">
      <c r="A7" s="127" t="s">
        <v>21</v>
      </c>
      <c r="B7" s="128"/>
      <c r="C7" s="128"/>
      <c r="D7" s="115"/>
      <c r="E7" s="15" t="s">
        <v>19</v>
      </c>
      <c r="F7" s="16">
        <v>2027.7</v>
      </c>
      <c r="G7" s="16">
        <v>2027.7</v>
      </c>
      <c r="H7" s="17"/>
      <c r="I7" s="527">
        <f>G7</f>
        <v>2027.7</v>
      </c>
      <c r="J7" s="18"/>
      <c r="K7" s="18"/>
      <c r="L7" s="226">
        <f>I7</f>
        <v>2027.7</v>
      </c>
      <c r="M7" s="351"/>
      <c r="N7" s="18"/>
      <c r="O7" s="18"/>
      <c r="P7" s="18"/>
      <c r="Q7" s="18"/>
      <c r="R7" s="19"/>
      <c r="S7" s="332"/>
      <c r="T7" s="306" t="s">
        <v>266</v>
      </c>
      <c r="U7" s="307"/>
      <c r="V7" s="308"/>
      <c r="W7"/>
      <c r="X7"/>
      <c r="Y7"/>
      <c r="Z7"/>
      <c r="AA7"/>
    </row>
    <row r="8" spans="1:27" s="2" customFormat="1" ht="12.75">
      <c r="A8" s="116"/>
      <c r="B8" s="106" t="s">
        <v>22</v>
      </c>
      <c r="C8" s="106"/>
      <c r="D8" s="104"/>
      <c r="E8" s="20" t="s">
        <v>23</v>
      </c>
      <c r="F8" s="21" t="s">
        <v>24</v>
      </c>
      <c r="G8" s="21" t="s">
        <v>24</v>
      </c>
      <c r="H8" s="22"/>
      <c r="I8" s="52" t="str">
        <f>G8</f>
        <v>linear</v>
      </c>
      <c r="J8" s="23"/>
      <c r="K8" s="23"/>
      <c r="L8" s="23"/>
      <c r="M8" s="352"/>
      <c r="N8" s="23"/>
      <c r="O8" s="23"/>
      <c r="P8" s="23"/>
      <c r="Q8" s="23"/>
      <c r="R8" s="24" t="s">
        <v>25</v>
      </c>
      <c r="S8" s="319"/>
      <c r="T8" s="309" t="s">
        <v>267</v>
      </c>
      <c r="U8" s="310"/>
      <c r="V8" s="311"/>
      <c r="W8"/>
      <c r="X8"/>
      <c r="Y8"/>
      <c r="Z8"/>
      <c r="AA8"/>
    </row>
    <row r="9" spans="1:27" s="2" customFormat="1" ht="12.75">
      <c r="A9" s="116"/>
      <c r="B9" s="106" t="s">
        <v>26</v>
      </c>
      <c r="C9" s="106"/>
      <c r="D9" s="104"/>
      <c r="E9" s="20" t="s">
        <v>27</v>
      </c>
      <c r="F9" s="51" t="s">
        <v>28</v>
      </c>
      <c r="G9" s="51" t="s">
        <v>28</v>
      </c>
      <c r="H9" s="22"/>
      <c r="I9" s="52" t="str">
        <f>G9</f>
        <v> --</v>
      </c>
      <c r="J9" s="23"/>
      <c r="K9" s="23"/>
      <c r="L9" s="23"/>
      <c r="M9" s="352"/>
      <c r="N9" s="23"/>
      <c r="O9" s="23"/>
      <c r="P9" s="23"/>
      <c r="Q9" s="23"/>
      <c r="R9" s="24" t="s">
        <v>29</v>
      </c>
      <c r="S9" s="319"/>
      <c r="T9" s="309" t="s">
        <v>267</v>
      </c>
      <c r="U9" s="310"/>
      <c r="V9" s="311"/>
      <c r="W9"/>
      <c r="X9"/>
      <c r="Y9"/>
      <c r="Z9"/>
      <c r="AA9"/>
    </row>
    <row r="10" spans="1:27" s="2" customFormat="1" ht="12.75">
      <c r="A10" s="116" t="s">
        <v>30</v>
      </c>
      <c r="B10" s="106"/>
      <c r="C10" s="106"/>
      <c r="D10" s="104"/>
      <c r="E10" s="20" t="s">
        <v>27</v>
      </c>
      <c r="F10" s="51" t="s">
        <v>31</v>
      </c>
      <c r="G10" s="51">
        <v>65</v>
      </c>
      <c r="H10" s="538" t="str">
        <f>IF(J10=-K10,CONCATENATE("±",TEXT(ABS(J10),"0.0#")),CONCATENATE(TEXT(J10,"+0.0#;-0.0#"),"/",TEXT(K10,"+0.0#;-0.0#")))</f>
        <v>±0.5</v>
      </c>
      <c r="I10" s="524">
        <f>G10</f>
        <v>65</v>
      </c>
      <c r="J10" s="72">
        <v>0.5</v>
      </c>
      <c r="K10" s="72">
        <v>-0.5</v>
      </c>
      <c r="L10" s="20">
        <f>I10+((J10+K10)/3)</f>
        <v>65</v>
      </c>
      <c r="M10" s="53">
        <f>(J10^2+K10^2-J10*K10)/18</f>
        <v>0.041666666666666664</v>
      </c>
      <c r="N10" s="20">
        <f>10*LOG(1/(1/((10^(L10/10))*(L5*1000000))))</f>
        <v>128.75480714618573</v>
      </c>
      <c r="O10" s="20">
        <f>10^(-N10/10)</f>
        <v>1.332046192151801E-13</v>
      </c>
      <c r="P10" s="20">
        <f>O10*SQRT(M10)</f>
        <v>2.719027903824356E-14</v>
      </c>
      <c r="Q10" s="20" t="s">
        <v>36</v>
      </c>
      <c r="R10" s="24" t="s">
        <v>278</v>
      </c>
      <c r="S10" s="333"/>
      <c r="T10" s="309" t="s">
        <v>277</v>
      </c>
      <c r="U10" s="312" t="s">
        <v>290</v>
      </c>
      <c r="V10" s="313" t="s">
        <v>324</v>
      </c>
      <c r="W10"/>
      <c r="X10"/>
      <c r="Y10"/>
      <c r="Z10"/>
      <c r="AA10"/>
    </row>
    <row r="11" spans="1:27" s="2" customFormat="1" ht="12.75">
      <c r="A11" s="116" t="s">
        <v>33</v>
      </c>
      <c r="B11" s="106"/>
      <c r="C11" s="106"/>
      <c r="D11" s="104"/>
      <c r="E11" s="20" t="s">
        <v>27</v>
      </c>
      <c r="F11" s="51" t="s">
        <v>31</v>
      </c>
      <c r="G11" s="51">
        <v>35</v>
      </c>
      <c r="H11" s="538" t="str">
        <f>IF(J11=-K11,CONCATENATE("±",TEXT(ABS(J11),"0.0#")),CONCATENATE(TEXT(J11,"+0.0#;-0.0#"),"/",TEXT(K11,"+0.0#;-0.0#")))</f>
        <v>±0.5</v>
      </c>
      <c r="I11" s="524">
        <f>G11</f>
        <v>35</v>
      </c>
      <c r="J11" s="72">
        <v>0.5</v>
      </c>
      <c r="K11" s="72">
        <v>-0.5</v>
      </c>
      <c r="L11" s="20">
        <f>I11+((J11+K11)/3)</f>
        <v>35</v>
      </c>
      <c r="M11" s="53">
        <f>(J11^2+K11^2-J11*K11)/18</f>
        <v>0.041666666666666664</v>
      </c>
      <c r="N11" s="20">
        <f>10*LOG(1/(1/((10^(L11/10))*(L5*1000000))))</f>
        <v>98.75480714618573</v>
      </c>
      <c r="O11" s="20">
        <f>10^(-N11/10)</f>
        <v>1.332046192151801E-10</v>
      </c>
      <c r="P11" s="20">
        <f>O11*SQRT(M11)</f>
        <v>2.7190279038243556E-11</v>
      </c>
      <c r="Q11" s="20" t="s">
        <v>36</v>
      </c>
      <c r="R11" s="24" t="s">
        <v>278</v>
      </c>
      <c r="S11" s="319"/>
      <c r="T11" s="309" t="s">
        <v>277</v>
      </c>
      <c r="U11" s="312" t="s">
        <v>290</v>
      </c>
      <c r="V11" s="313" t="s">
        <v>324</v>
      </c>
      <c r="W11"/>
      <c r="X11"/>
      <c r="Y11"/>
      <c r="Z11"/>
      <c r="AA11"/>
    </row>
    <row r="12" spans="1:27" s="74" customFormat="1" ht="12.75">
      <c r="A12" s="117" t="s">
        <v>34</v>
      </c>
      <c r="B12" s="118"/>
      <c r="C12" s="118"/>
      <c r="D12" s="105"/>
      <c r="E12" s="39" t="s">
        <v>35</v>
      </c>
      <c r="F12" s="51">
        <v>102.7</v>
      </c>
      <c r="G12" s="51">
        <v>95</v>
      </c>
      <c r="H12" s="538" t="str">
        <f>IF(J12=-K12,CONCATENATE("±",TEXT(ABS(J12),"0.0#")),CONCATENATE(TEXT(J12,"+0.0#;-0.0#"),"/",TEXT(K12,"+0.0#;-0.0#")))</f>
        <v>±0.5</v>
      </c>
      <c r="I12" s="528">
        <v>95.9</v>
      </c>
      <c r="J12" s="72">
        <v>0.5</v>
      </c>
      <c r="K12" s="72">
        <v>-0.5</v>
      </c>
      <c r="L12" s="39">
        <f>I12+((J12+K12)/3)</f>
        <v>95.9</v>
      </c>
      <c r="M12" s="533">
        <f>(J12^2+K12^2-(K12*J12))/18</f>
        <v>0.041666666666666664</v>
      </c>
      <c r="N12" s="39"/>
      <c r="O12" s="39"/>
      <c r="P12" s="39"/>
      <c r="Q12" s="39" t="s">
        <v>36</v>
      </c>
      <c r="R12" s="73"/>
      <c r="S12" s="319"/>
      <c r="T12" s="309" t="s">
        <v>267</v>
      </c>
      <c r="U12" s="312" t="s">
        <v>290</v>
      </c>
      <c r="V12" s="313" t="s">
        <v>324</v>
      </c>
      <c r="W12"/>
      <c r="X12"/>
      <c r="Y12"/>
      <c r="Z12"/>
      <c r="AA12"/>
    </row>
    <row r="13" spans="1:27" s="2" customFormat="1" ht="12.75">
      <c r="A13" s="143" t="s">
        <v>38</v>
      </c>
      <c r="B13" s="106"/>
      <c r="C13" s="106"/>
      <c r="D13" s="104"/>
      <c r="E13" s="20" t="s">
        <v>27</v>
      </c>
      <c r="F13" s="51">
        <v>0</v>
      </c>
      <c r="G13" s="51">
        <v>0</v>
      </c>
      <c r="H13" s="22"/>
      <c r="I13" s="52">
        <v>0</v>
      </c>
      <c r="J13" s="26">
        <v>0</v>
      </c>
      <c r="K13" s="26">
        <v>0</v>
      </c>
      <c r="L13" s="20">
        <f>I13+((J13+K13)/3)</f>
        <v>0</v>
      </c>
      <c r="M13" s="533">
        <f>(J13^2+K13^2-(K13*J13))/18</f>
        <v>0</v>
      </c>
      <c r="N13" s="20"/>
      <c r="O13" s="20"/>
      <c r="P13" s="20"/>
      <c r="Q13" s="39" t="s">
        <v>36</v>
      </c>
      <c r="R13" s="24" t="s">
        <v>40</v>
      </c>
      <c r="S13" s="319"/>
      <c r="T13" s="309" t="s">
        <v>267</v>
      </c>
      <c r="U13" s="312" t="s">
        <v>290</v>
      </c>
      <c r="V13" s="313" t="s">
        <v>324</v>
      </c>
      <c r="W13"/>
      <c r="X13"/>
      <c r="Y13"/>
      <c r="Z13"/>
      <c r="AA13"/>
    </row>
    <row r="14" spans="1:27" s="2" customFormat="1" ht="13.5" thickBot="1">
      <c r="A14" s="138" t="s">
        <v>41</v>
      </c>
      <c r="B14" s="139"/>
      <c r="C14" s="139"/>
      <c r="D14" s="140"/>
      <c r="E14" s="15" t="s">
        <v>27</v>
      </c>
      <c r="F14" s="91">
        <v>0.5</v>
      </c>
      <c r="G14" s="91">
        <v>0.5</v>
      </c>
      <c r="H14" s="538" t="str">
        <f>IF(J14=-K14,CONCATENATE("±",TEXT(ABS(J14),"0.0#")),CONCATENATE(TEXT(J14,"+0.0#;-0.0#"),"/",TEXT(K14,"+0.0#;-0.0#")))</f>
        <v>±0.5</v>
      </c>
      <c r="I14" s="524">
        <v>0.5</v>
      </c>
      <c r="J14" s="26">
        <v>-0.5</v>
      </c>
      <c r="K14" s="26">
        <v>0.5</v>
      </c>
      <c r="L14" s="20">
        <f>I14+((J14+K14)/2)</f>
        <v>0.5</v>
      </c>
      <c r="M14" s="53">
        <f>((J14-K14)^2)/12</f>
        <v>0.08333333333333333</v>
      </c>
      <c r="N14" s="20"/>
      <c r="O14" s="20"/>
      <c r="P14" s="20"/>
      <c r="Q14" s="20" t="s">
        <v>39</v>
      </c>
      <c r="R14" s="24"/>
      <c r="S14" s="334"/>
      <c r="T14" s="314" t="s">
        <v>268</v>
      </c>
      <c r="U14" s="315" t="s">
        <v>291</v>
      </c>
      <c r="V14" s="316" t="s">
        <v>324</v>
      </c>
      <c r="W14"/>
      <c r="X14"/>
      <c r="Y14"/>
      <c r="Z14"/>
      <c r="AA14"/>
    </row>
    <row r="15" spans="1:27" s="341" customFormat="1" ht="13.5" thickBot="1">
      <c r="A15" s="103" t="s">
        <v>42</v>
      </c>
      <c r="B15" s="103"/>
      <c r="C15" s="103"/>
      <c r="D15" s="103"/>
      <c r="E15" s="13"/>
      <c r="F15" s="90"/>
      <c r="G15" s="90"/>
      <c r="H15" s="13"/>
      <c r="I15" s="13"/>
      <c r="J15" s="28"/>
      <c r="K15" s="28"/>
      <c r="L15" s="13"/>
      <c r="M15" s="353"/>
      <c r="N15" s="13"/>
      <c r="O15" s="13"/>
      <c r="P15" s="13"/>
      <c r="Q15" s="13"/>
      <c r="R15" s="369"/>
      <c r="S15" s="408"/>
      <c r="T15" s="409"/>
      <c r="U15" s="412"/>
      <c r="V15" s="411"/>
      <c r="W15" s="119"/>
      <c r="X15" s="119"/>
      <c r="Y15" s="119"/>
      <c r="Z15" s="119"/>
      <c r="AA15" s="119"/>
    </row>
    <row r="16" spans="1:27" s="2" customFormat="1" ht="12.75">
      <c r="A16" s="127"/>
      <c r="B16" s="128" t="s">
        <v>43</v>
      </c>
      <c r="C16" s="128"/>
      <c r="D16" s="115"/>
      <c r="E16" s="15" t="s">
        <v>44</v>
      </c>
      <c r="F16" s="91"/>
      <c r="G16" s="91">
        <v>41126.8</v>
      </c>
      <c r="H16" s="17"/>
      <c r="I16" s="523">
        <v>41126.8</v>
      </c>
      <c r="J16" s="27">
        <v>40037.8</v>
      </c>
      <c r="K16" s="27">
        <v>41392</v>
      </c>
      <c r="L16" s="18"/>
      <c r="M16" s="351"/>
      <c r="N16" s="18"/>
      <c r="O16" s="18"/>
      <c r="P16" s="18"/>
      <c r="Q16" s="18"/>
      <c r="R16" s="137" t="s">
        <v>304</v>
      </c>
      <c r="S16" s="332"/>
      <c r="T16" s="306" t="s">
        <v>276</v>
      </c>
      <c r="U16" s="317"/>
      <c r="V16" s="308"/>
      <c r="W16"/>
      <c r="X16"/>
      <c r="Y16"/>
      <c r="Z16"/>
      <c r="AA16"/>
    </row>
    <row r="17" spans="1:27" s="2" customFormat="1" ht="12.75">
      <c r="A17" s="116" t="s">
        <v>45</v>
      </c>
      <c r="B17" s="106"/>
      <c r="C17" s="106"/>
      <c r="D17" s="104"/>
      <c r="E17" s="20" t="s">
        <v>27</v>
      </c>
      <c r="F17" s="29">
        <v>191</v>
      </c>
      <c r="G17" s="29">
        <f>(20*LOG(G7*1000000)+20*LOG(4*PI()*G16*1000)-20*LOG(300000000))</f>
        <v>190.86434459282998</v>
      </c>
      <c r="H17" s="30"/>
      <c r="I17" s="100">
        <f>(20*LOG($I$7*1000000)+20*LOG(4*PI()*I16*1000)-20*LOG(300000000))</f>
        <v>190.86434459282998</v>
      </c>
      <c r="J17" s="553">
        <f>-(I17-(20*LOG($I$7*1000000)+20*LOG(4*PI()*J16*1000)-20*LOG(300000000)))</f>
        <v>-0.23309426716764392</v>
      </c>
      <c r="K17" s="554">
        <f>-(I17-(20*LOG($I$7*1000000)+20*LOG(4*PI()*K16*1000)-20*LOG(300000000)))</f>
        <v>0.0558298439311784</v>
      </c>
      <c r="L17" s="208">
        <f>I17+((J17+K17)/3)</f>
        <v>190.80525645175115</v>
      </c>
      <c r="M17" s="533">
        <f>(J17^2+K17^2-(K17*J17))/18</f>
        <v>0.003914640300945704</v>
      </c>
      <c r="N17" s="20">
        <f>10*LOG(1/(1/((10^(L17/10))*(L10*1000000))))</f>
        <v>268.9343900181797</v>
      </c>
      <c r="O17" s="20">
        <f>10^(-N17/10)</f>
        <v>1.2780887089987302E-27</v>
      </c>
      <c r="P17" s="20">
        <f>O17*SQRT(M17)</f>
        <v>7.996628668647148E-29</v>
      </c>
      <c r="Q17" s="39" t="s">
        <v>36</v>
      </c>
      <c r="R17" s="24" t="s">
        <v>46</v>
      </c>
      <c r="S17" s="296" t="s">
        <v>256</v>
      </c>
      <c r="T17" s="311"/>
      <c r="U17" s="312" t="s">
        <v>290</v>
      </c>
      <c r="V17" s="313" t="s">
        <v>324</v>
      </c>
      <c r="W17"/>
      <c r="X17"/>
      <c r="Y17"/>
      <c r="Z17"/>
      <c r="AA17"/>
    </row>
    <row r="18" spans="1:27" s="2" customFormat="1" ht="13.5" thickBot="1">
      <c r="A18" s="138" t="s">
        <v>47</v>
      </c>
      <c r="B18" s="139"/>
      <c r="C18" s="139"/>
      <c r="D18" s="140"/>
      <c r="E18" s="20" t="s">
        <v>27</v>
      </c>
      <c r="F18" s="51">
        <v>0</v>
      </c>
      <c r="G18" s="51">
        <v>0.36</v>
      </c>
      <c r="H18" s="22" t="s">
        <v>244</v>
      </c>
      <c r="I18" s="525">
        <v>0.36</v>
      </c>
      <c r="J18" s="551">
        <f>-(0.36-0.14)</f>
        <v>-0.21999999999999997</v>
      </c>
      <c r="K18" s="551">
        <f>-(0.36-1.83)</f>
        <v>1.4700000000000002</v>
      </c>
      <c r="L18" s="20">
        <f>I18+((J18+K18)/2)</f>
        <v>0.9850000000000001</v>
      </c>
      <c r="M18" s="53">
        <f>((J18-K18)^2)/36</f>
        <v>0.07933611111111112</v>
      </c>
      <c r="N18" s="20"/>
      <c r="O18" s="20"/>
      <c r="P18" s="20"/>
      <c r="Q18" s="20" t="s">
        <v>32</v>
      </c>
      <c r="R18" s="216" t="s">
        <v>48</v>
      </c>
      <c r="S18" s="334"/>
      <c r="T18" s="316" t="s">
        <v>301</v>
      </c>
      <c r="U18" s="315" t="s">
        <v>292</v>
      </c>
      <c r="V18" s="316" t="s">
        <v>324</v>
      </c>
      <c r="W18"/>
      <c r="X18"/>
      <c r="Y18"/>
      <c r="Z18"/>
      <c r="AA18"/>
    </row>
    <row r="19" spans="1:27" s="341" customFormat="1" ht="13.5" thickBot="1">
      <c r="A19" s="103" t="s">
        <v>49</v>
      </c>
      <c r="B19" s="103"/>
      <c r="C19" s="103"/>
      <c r="D19" s="103"/>
      <c r="E19" s="13"/>
      <c r="F19" s="90"/>
      <c r="G19" s="90"/>
      <c r="H19" s="13"/>
      <c r="I19" s="13"/>
      <c r="J19" s="13"/>
      <c r="K19" s="13"/>
      <c r="L19" s="13"/>
      <c r="M19" s="353"/>
      <c r="N19" s="13"/>
      <c r="O19" s="13"/>
      <c r="P19" s="13"/>
      <c r="Q19" s="13"/>
      <c r="S19" s="408"/>
      <c r="T19" s="409"/>
      <c r="U19" s="410"/>
      <c r="V19" s="411"/>
      <c r="W19" s="119"/>
      <c r="X19" s="119"/>
      <c r="Y19" s="119"/>
      <c r="Z19" s="119"/>
      <c r="AA19" s="119"/>
    </row>
    <row r="20" spans="1:27" s="2" customFormat="1" ht="12.75">
      <c r="A20" s="116"/>
      <c r="B20" s="106" t="s">
        <v>22</v>
      </c>
      <c r="C20" s="106"/>
      <c r="D20" s="104"/>
      <c r="E20" s="36" t="s">
        <v>23</v>
      </c>
      <c r="F20" s="39" t="s">
        <v>24</v>
      </c>
      <c r="G20" s="39" t="s">
        <v>24</v>
      </c>
      <c r="H20" s="22"/>
      <c r="I20" s="52" t="str">
        <f>G20</f>
        <v>linear</v>
      </c>
      <c r="J20" s="23"/>
      <c r="K20" s="23"/>
      <c r="L20" s="23"/>
      <c r="M20" s="352"/>
      <c r="N20" s="23"/>
      <c r="O20" s="23"/>
      <c r="P20" s="23"/>
      <c r="Q20" s="23"/>
      <c r="R20" s="137" t="s">
        <v>25</v>
      </c>
      <c r="S20" s="332"/>
      <c r="T20" s="306" t="s">
        <v>267</v>
      </c>
      <c r="U20" s="307"/>
      <c r="V20" s="308"/>
      <c r="W20"/>
      <c r="X20"/>
      <c r="Y20"/>
      <c r="Z20"/>
      <c r="AA20"/>
    </row>
    <row r="21" spans="1:27" s="2" customFormat="1" ht="12.75">
      <c r="A21" s="116"/>
      <c r="B21" s="106" t="s">
        <v>26</v>
      </c>
      <c r="C21" s="106"/>
      <c r="D21" s="104"/>
      <c r="E21" s="36" t="s">
        <v>27</v>
      </c>
      <c r="F21" s="39" t="s">
        <v>28</v>
      </c>
      <c r="G21" s="39" t="s">
        <v>28</v>
      </c>
      <c r="H21" s="22"/>
      <c r="I21" s="52" t="str">
        <f>G21</f>
        <v> --</v>
      </c>
      <c r="J21" s="23"/>
      <c r="K21" s="23"/>
      <c r="L21" s="23"/>
      <c r="M21" s="352"/>
      <c r="N21" s="23"/>
      <c r="O21" s="23"/>
      <c r="P21" s="23"/>
      <c r="Q21" s="23"/>
      <c r="R21" s="24" t="s">
        <v>29</v>
      </c>
      <c r="S21" s="319"/>
      <c r="T21" s="309" t="s">
        <v>267</v>
      </c>
      <c r="U21" s="310"/>
      <c r="V21" s="311"/>
      <c r="W21"/>
      <c r="X21"/>
      <c r="Y21"/>
      <c r="Z21"/>
      <c r="AA21"/>
    </row>
    <row r="22" spans="1:27" s="2" customFormat="1" ht="12.75">
      <c r="A22" s="116" t="s">
        <v>50</v>
      </c>
      <c r="B22" s="106"/>
      <c r="C22" s="106"/>
      <c r="D22" s="104"/>
      <c r="E22" s="36" t="s">
        <v>27</v>
      </c>
      <c r="F22" s="39">
        <v>0.2</v>
      </c>
      <c r="G22" s="39">
        <v>0.2</v>
      </c>
      <c r="H22" s="538" t="str">
        <f>IF(J22=-K22,CONCATENATE("±",TEXT(ABS(J22),"0.0#")),CONCATENATE(TEXT(J22,"+0.0#;-0.0#"),"/",TEXT(K22,"+0.0#;-0.0#")))</f>
        <v>±0.2</v>
      </c>
      <c r="I22" s="524">
        <v>0.2</v>
      </c>
      <c r="J22" s="335">
        <v>-0.2</v>
      </c>
      <c r="K22" s="551">
        <v>0.2</v>
      </c>
      <c r="L22" s="20">
        <f>I22+((J22+K22)/2)</f>
        <v>0.2</v>
      </c>
      <c r="M22" s="53">
        <f>((J22-K22)^2)/12</f>
        <v>0.013333333333333336</v>
      </c>
      <c r="N22" s="20"/>
      <c r="O22" s="20"/>
      <c r="P22" s="20"/>
      <c r="Q22" s="20" t="s">
        <v>39</v>
      </c>
      <c r="R22" s="24" t="s">
        <v>51</v>
      </c>
      <c r="S22" s="319"/>
      <c r="T22" s="311"/>
      <c r="U22" s="312" t="s">
        <v>291</v>
      </c>
      <c r="V22" s="313" t="s">
        <v>324</v>
      </c>
      <c r="W22"/>
      <c r="X22"/>
      <c r="Y22"/>
      <c r="Z22"/>
      <c r="AA22"/>
    </row>
    <row r="23" spans="1:27" s="2" customFormat="1" ht="12.75">
      <c r="A23" s="116" t="s">
        <v>52</v>
      </c>
      <c r="B23" s="106"/>
      <c r="C23" s="106"/>
      <c r="D23" s="104"/>
      <c r="E23" s="36" t="s">
        <v>35</v>
      </c>
      <c r="F23" s="239" t="s">
        <v>53</v>
      </c>
      <c r="G23" s="239" t="s">
        <v>53</v>
      </c>
      <c r="H23" s="30"/>
      <c r="I23" s="240" t="s">
        <v>53</v>
      </c>
      <c r="J23" s="38"/>
      <c r="K23" s="38"/>
      <c r="L23" s="38"/>
      <c r="M23" s="352"/>
      <c r="N23" s="38"/>
      <c r="O23" s="38"/>
      <c r="P23" s="38"/>
      <c r="Q23" s="38"/>
      <c r="R23" s="24"/>
      <c r="S23" s="319"/>
      <c r="T23" s="309" t="s">
        <v>269</v>
      </c>
      <c r="U23" s="318"/>
      <c r="V23" s="311"/>
      <c r="W23"/>
      <c r="X23"/>
      <c r="Y23"/>
      <c r="Z23"/>
      <c r="AA23"/>
    </row>
    <row r="24" spans="1:27" s="2" customFormat="1" ht="12.75">
      <c r="A24" s="116" t="s">
        <v>54</v>
      </c>
      <c r="B24" s="106"/>
      <c r="C24" s="106"/>
      <c r="D24" s="104"/>
      <c r="E24" s="235" t="s">
        <v>35</v>
      </c>
      <c r="F24" s="241">
        <f>F12-F13-F14-F17-F18-F22</f>
        <v>-89</v>
      </c>
      <c r="G24" s="241">
        <f>G12-G13-G14-G17-G18-G22</f>
        <v>-96.92434459282998</v>
      </c>
      <c r="H24" s="55"/>
      <c r="I24" s="237">
        <f>I12-I13-I14-I17-I18-I22</f>
        <v>-96.02434459282998</v>
      </c>
      <c r="J24" s="238"/>
      <c r="K24" s="33"/>
      <c r="L24" s="34">
        <f>L12-L13-L14-L17-L18-L22</f>
        <v>-96.59025645175115</v>
      </c>
      <c r="M24" s="356">
        <f>M12+M13+M14+M17+M18+M22</f>
        <v>0.22158408474539018</v>
      </c>
      <c r="N24" s="34"/>
      <c r="O24" s="34"/>
      <c r="P24" s="34"/>
      <c r="Q24" s="35" t="s">
        <v>32</v>
      </c>
      <c r="R24" s="24"/>
      <c r="S24" s="297" t="s">
        <v>249</v>
      </c>
      <c r="T24" s="311"/>
      <c r="U24" s="298" t="s">
        <v>293</v>
      </c>
      <c r="V24" s="313" t="s">
        <v>302</v>
      </c>
      <c r="W24"/>
      <c r="X24"/>
      <c r="Y24"/>
      <c r="Z24"/>
      <c r="AA24"/>
    </row>
    <row r="25" spans="1:27" s="2" customFormat="1" ht="12.75">
      <c r="A25" s="116"/>
      <c r="B25" s="106" t="s">
        <v>55</v>
      </c>
      <c r="C25" s="106"/>
      <c r="D25" s="104"/>
      <c r="E25" s="36" t="s">
        <v>56</v>
      </c>
      <c r="F25" s="39">
        <v>11</v>
      </c>
      <c r="G25" s="72">
        <v>13.5</v>
      </c>
      <c r="H25" s="538" t="str">
        <f>IF(J25=-K25,CONCATENATE("±",TEXT(ABS(J25),"0.0#")),CONCATENATE(TEXT(J25,"+0.0#;-0.0#"),"/",TEXT(K25,"+0.0#;-0.0#")))</f>
        <v>±0.1</v>
      </c>
      <c r="I25" s="52">
        <f>G25+J25</f>
        <v>13.6</v>
      </c>
      <c r="J25" s="26">
        <v>0.1</v>
      </c>
      <c r="K25" s="26">
        <v>-0.1</v>
      </c>
      <c r="L25" s="20">
        <f>I25+((J25+K25)/3)</f>
        <v>13.6</v>
      </c>
      <c r="M25" s="53">
        <f>(J25^2+K25^2-(K25*J25))/18</f>
        <v>0.001666666666666667</v>
      </c>
      <c r="N25" s="20"/>
      <c r="O25" s="20"/>
      <c r="P25" s="20"/>
      <c r="Q25" s="20" t="s">
        <v>36</v>
      </c>
      <c r="R25" s="24" t="s">
        <v>57</v>
      </c>
      <c r="S25" s="319"/>
      <c r="T25" s="313" t="s">
        <v>272</v>
      </c>
      <c r="U25" s="312" t="s">
        <v>290</v>
      </c>
      <c r="V25" s="313" t="s">
        <v>324</v>
      </c>
      <c r="W25"/>
      <c r="X25"/>
      <c r="Y25"/>
      <c r="Z25"/>
      <c r="AA25"/>
    </row>
    <row r="26" spans="1:27" s="2" customFormat="1" ht="12.75">
      <c r="A26" s="116"/>
      <c r="B26" s="106" t="s">
        <v>58</v>
      </c>
      <c r="C26" s="106"/>
      <c r="D26" s="104"/>
      <c r="E26" s="36" t="s">
        <v>27</v>
      </c>
      <c r="F26" s="39">
        <v>1.8</v>
      </c>
      <c r="G26" s="72">
        <v>0.35</v>
      </c>
      <c r="H26" s="538" t="str">
        <f>IF(J26=-K26,CONCATENATE("±",TEXT(ABS(J26),"0.0#")),CONCATENATE(TEXT(J26,"+0.0#;-0.0#"),"/",TEXT(K26,"+0.0#;-0.0#")))</f>
        <v>±0.05</v>
      </c>
      <c r="I26" s="52">
        <f>G26+J26</f>
        <v>0.3</v>
      </c>
      <c r="J26" s="551">
        <v>-0.05</v>
      </c>
      <c r="K26" s="551">
        <v>0.05</v>
      </c>
      <c r="L26" s="40">
        <f>I26+((J26+K26)/3)</f>
        <v>0.3</v>
      </c>
      <c r="M26" s="53">
        <f>(J26^2+K26^2-(K26*J26))/18</f>
        <v>0.00041666666666666675</v>
      </c>
      <c r="N26" s="41"/>
      <c r="O26" s="41"/>
      <c r="P26" s="41"/>
      <c r="Q26" s="20" t="s">
        <v>36</v>
      </c>
      <c r="R26" s="24" t="s">
        <v>59</v>
      </c>
      <c r="S26" s="319"/>
      <c r="T26" s="313" t="s">
        <v>279</v>
      </c>
      <c r="U26" s="312" t="s">
        <v>290</v>
      </c>
      <c r="V26" s="313" t="s">
        <v>324</v>
      </c>
      <c r="W26"/>
      <c r="X26"/>
      <c r="Y26"/>
      <c r="Z26"/>
      <c r="AA26"/>
    </row>
    <row r="27" spans="1:27" s="2" customFormat="1" ht="12.75">
      <c r="A27" s="116"/>
      <c r="B27" s="106"/>
      <c r="C27" s="106" t="s">
        <v>60</v>
      </c>
      <c r="D27" s="104"/>
      <c r="E27" s="20" t="s">
        <v>61</v>
      </c>
      <c r="F27" s="29">
        <f>F24+F25-F26</f>
        <v>-79.8</v>
      </c>
      <c r="G27" s="29">
        <f>G24+G25-G26</f>
        <v>-83.77434459282998</v>
      </c>
      <c r="H27" s="25"/>
      <c r="I27" s="37"/>
      <c r="J27" s="38"/>
      <c r="K27" s="38"/>
      <c r="L27" s="38"/>
      <c r="M27" s="352"/>
      <c r="N27" s="38"/>
      <c r="O27" s="38"/>
      <c r="P27" s="38"/>
      <c r="Q27" s="38"/>
      <c r="R27" s="24" t="s">
        <v>62</v>
      </c>
      <c r="S27" s="319"/>
      <c r="T27" s="311"/>
      <c r="U27" s="318"/>
      <c r="V27" s="311"/>
      <c r="W27"/>
      <c r="X27"/>
      <c r="Y27"/>
      <c r="Z27"/>
      <c r="AA27"/>
    </row>
    <row r="28" spans="1:27" s="2" customFormat="1" ht="12.75">
      <c r="A28" s="116"/>
      <c r="B28" s="106"/>
      <c r="C28" s="106" t="s">
        <v>63</v>
      </c>
      <c r="D28" s="104"/>
      <c r="E28" s="36" t="s">
        <v>64</v>
      </c>
      <c r="F28" s="39" t="s">
        <v>65</v>
      </c>
      <c r="G28" s="39">
        <v>150</v>
      </c>
      <c r="H28" s="22"/>
      <c r="I28" s="52">
        <v>150</v>
      </c>
      <c r="J28" s="551">
        <v>-5</v>
      </c>
      <c r="K28" s="551">
        <v>5</v>
      </c>
      <c r="L28" s="23"/>
      <c r="M28" s="352"/>
      <c r="N28" s="23"/>
      <c r="O28" s="23"/>
      <c r="P28" s="23"/>
      <c r="Q28" s="23"/>
      <c r="R28" s="24" t="s">
        <v>66</v>
      </c>
      <c r="S28" s="319"/>
      <c r="T28" s="313" t="s">
        <v>338</v>
      </c>
      <c r="U28" s="310"/>
      <c r="V28" s="311"/>
      <c r="W28"/>
      <c r="X28"/>
      <c r="Y28"/>
      <c r="Z28"/>
      <c r="AA28"/>
    </row>
    <row r="29" spans="1:27" s="2" customFormat="1" ht="12.75">
      <c r="A29" s="116"/>
      <c r="B29" s="106"/>
      <c r="C29" s="106"/>
      <c r="D29" s="104" t="s">
        <v>67</v>
      </c>
      <c r="E29" s="36" t="s">
        <v>27</v>
      </c>
      <c r="F29" s="39" t="s">
        <v>65</v>
      </c>
      <c r="G29" s="555">
        <v>4.61</v>
      </c>
      <c r="H29" s="538" t="str">
        <f>IF(J29=-K29,CONCATENATE("±",TEXT(ABS(J29),"0.0#")),CONCATENATE(TEXT(J29,"+0.0#;-0.0#"),"/",TEXT(K29,"+0.0#;-0.0#")))</f>
        <v>±1.03</v>
      </c>
      <c r="I29" s="525">
        <f>G29+J29</f>
        <v>3.58</v>
      </c>
      <c r="J29" s="26">
        <v>-1.03</v>
      </c>
      <c r="K29" s="26">
        <f>-J29</f>
        <v>1.03</v>
      </c>
      <c r="L29" s="23"/>
      <c r="M29" s="352"/>
      <c r="N29" s="23"/>
      <c r="O29" s="23"/>
      <c r="P29" s="23"/>
      <c r="Q29" s="23"/>
      <c r="R29" s="24" t="s">
        <v>69</v>
      </c>
      <c r="S29" s="319"/>
      <c r="T29" s="313" t="s">
        <v>279</v>
      </c>
      <c r="U29" s="310"/>
      <c r="V29" s="311"/>
      <c r="W29"/>
      <c r="X29"/>
      <c r="Y29"/>
      <c r="Z29"/>
      <c r="AA29"/>
    </row>
    <row r="30" spans="1:27" s="2" customFormat="1" ht="12.75">
      <c r="A30" s="116"/>
      <c r="B30" s="106"/>
      <c r="C30" s="106"/>
      <c r="D30" s="104" t="s">
        <v>70</v>
      </c>
      <c r="E30" s="36" t="s">
        <v>27</v>
      </c>
      <c r="F30" s="39" t="s">
        <v>65</v>
      </c>
      <c r="G30" s="39">
        <v>0.2</v>
      </c>
      <c r="H30" s="25"/>
      <c r="I30" s="525">
        <v>0.2</v>
      </c>
      <c r="J30" s="26">
        <v>0</v>
      </c>
      <c r="K30" s="26">
        <v>0</v>
      </c>
      <c r="L30" s="23"/>
      <c r="M30" s="352"/>
      <c r="N30" s="23"/>
      <c r="O30" s="23"/>
      <c r="P30" s="23"/>
      <c r="Q30" s="23"/>
      <c r="R30" s="24" t="s">
        <v>69</v>
      </c>
      <c r="S30" s="319"/>
      <c r="T30" s="313" t="s">
        <v>273</v>
      </c>
      <c r="U30" s="310"/>
      <c r="V30" s="311"/>
      <c r="W30"/>
      <c r="X30"/>
      <c r="Y30"/>
      <c r="Z30"/>
      <c r="AA30"/>
    </row>
    <row r="31" spans="1:27" s="2" customFormat="1" ht="12.75">
      <c r="A31" s="116"/>
      <c r="B31" s="106"/>
      <c r="C31" s="106" t="s">
        <v>71</v>
      </c>
      <c r="D31" s="104"/>
      <c r="E31" s="36" t="s">
        <v>64</v>
      </c>
      <c r="F31" s="42" t="s">
        <v>65</v>
      </c>
      <c r="G31" s="42">
        <f>290*(10^((G29+G30)*0.1)-1)</f>
        <v>587.8048941493788</v>
      </c>
      <c r="H31" s="22"/>
      <c r="I31" s="43">
        <f>290*(10^((I29+I30)/10)-1)</f>
        <v>402.4652720448216</v>
      </c>
      <c r="J31" s="44">
        <f>(290*(10^((I29+J29+I30+J30)*0.1)-1))-I31</f>
        <v>-146.20703609277933</v>
      </c>
      <c r="K31" s="44">
        <f>(290*(10^((I29+K29+I30+K30)*0.1)-1))-I31</f>
        <v>185.33962210455724</v>
      </c>
      <c r="L31" s="23"/>
      <c r="M31" s="352"/>
      <c r="N31" s="23"/>
      <c r="O31" s="23"/>
      <c r="P31" s="23"/>
      <c r="Q31" s="23"/>
      <c r="R31" s="24" t="s">
        <v>72</v>
      </c>
      <c r="S31" s="297" t="s">
        <v>250</v>
      </c>
      <c r="T31" s="311"/>
      <c r="U31" s="310"/>
      <c r="V31" s="311"/>
      <c r="W31"/>
      <c r="X31"/>
      <c r="Y31"/>
      <c r="Z31"/>
      <c r="AA31"/>
    </row>
    <row r="32" spans="1:27" s="2" customFormat="1" ht="12.75">
      <c r="A32" s="116"/>
      <c r="B32" s="106" t="s">
        <v>73</v>
      </c>
      <c r="C32" s="106"/>
      <c r="D32" s="104"/>
      <c r="E32" s="36" t="s">
        <v>74</v>
      </c>
      <c r="F32" s="42" t="s">
        <v>65</v>
      </c>
      <c r="G32" s="42">
        <f>10*LOG(G28+G31)</f>
        <v>28.67941531746056</v>
      </c>
      <c r="H32" s="22"/>
      <c r="I32" s="43">
        <f>10*LOG(I28+I31)</f>
        <v>27.42304983473304</v>
      </c>
      <c r="J32" s="44">
        <f>(10*LOG(I28+J28+I31+J31))-I32</f>
        <v>-1.388810239374667</v>
      </c>
      <c r="K32" s="44">
        <f>(10*LOG(I28+K28+I31+K31))-I32</f>
        <v>1.2856977305791055</v>
      </c>
      <c r="L32" s="40">
        <f>I32+((J32+K32)/2)</f>
        <v>27.371493580335258</v>
      </c>
      <c r="M32" s="53">
        <f>((J32-K32)^2)/36</f>
        <v>0.1986942467040625</v>
      </c>
      <c r="N32" s="41"/>
      <c r="O32" s="41"/>
      <c r="P32" s="41"/>
      <c r="Q32" s="20" t="s">
        <v>32</v>
      </c>
      <c r="R32" s="24" t="s">
        <v>75</v>
      </c>
      <c r="S32" s="297" t="s">
        <v>251</v>
      </c>
      <c r="T32" s="311"/>
      <c r="U32" s="312" t="s">
        <v>292</v>
      </c>
      <c r="V32" s="313" t="s">
        <v>324</v>
      </c>
      <c r="W32"/>
      <c r="X32"/>
      <c r="Y32"/>
      <c r="Z32"/>
      <c r="AA32"/>
    </row>
    <row r="33" spans="1:27" s="2" customFormat="1" ht="12.75">
      <c r="A33" s="116" t="s">
        <v>76</v>
      </c>
      <c r="B33" s="106"/>
      <c r="C33" s="106"/>
      <c r="D33" s="104"/>
      <c r="E33" s="36" t="s">
        <v>77</v>
      </c>
      <c r="F33" s="45">
        <v>-25</v>
      </c>
      <c r="G33" s="45">
        <f>G25-G26-G32</f>
        <v>-15.52941531746056</v>
      </c>
      <c r="H33" s="22"/>
      <c r="I33" s="43">
        <f>I25-I26-I32</f>
        <v>-14.12304983473304</v>
      </c>
      <c r="J33" s="23"/>
      <c r="K33" s="23"/>
      <c r="L33" s="44">
        <f>L25-L26-L32</f>
        <v>-14.07149358033526</v>
      </c>
      <c r="M33" s="355">
        <f>M25+M26+M32</f>
        <v>0.20077758003739582</v>
      </c>
      <c r="N33" s="44"/>
      <c r="O33" s="44"/>
      <c r="P33" s="44"/>
      <c r="Q33" s="26" t="s">
        <v>32</v>
      </c>
      <c r="R33" s="24"/>
      <c r="S33" s="297" t="s">
        <v>252</v>
      </c>
      <c r="T33" s="311"/>
      <c r="U33" s="298" t="s">
        <v>294</v>
      </c>
      <c r="V33" s="313" t="s">
        <v>302</v>
      </c>
      <c r="W33"/>
      <c r="X33"/>
      <c r="Y33"/>
      <c r="Z33"/>
      <c r="AA33"/>
    </row>
    <row r="34" spans="1:27" s="2" customFormat="1" ht="12.75">
      <c r="A34" s="116" t="s">
        <v>78</v>
      </c>
      <c r="B34" s="106"/>
      <c r="C34" s="106"/>
      <c r="D34" s="104"/>
      <c r="E34" s="36" t="s">
        <v>79</v>
      </c>
      <c r="F34" s="46">
        <v>-198.6</v>
      </c>
      <c r="G34" s="46">
        <v>-198.6</v>
      </c>
      <c r="H34" s="22"/>
      <c r="I34" s="52">
        <v>-198.6</v>
      </c>
      <c r="J34" s="26">
        <v>0</v>
      </c>
      <c r="K34" s="26">
        <v>0</v>
      </c>
      <c r="L34" s="20">
        <f>I34</f>
        <v>-198.6</v>
      </c>
      <c r="M34" s="53">
        <v>0</v>
      </c>
      <c r="N34" s="20"/>
      <c r="O34" s="20"/>
      <c r="P34" s="20"/>
      <c r="Q34" s="20" t="s">
        <v>80</v>
      </c>
      <c r="R34" s="24" t="s">
        <v>81</v>
      </c>
      <c r="S34" s="319"/>
      <c r="T34" s="311"/>
      <c r="U34" s="330" t="s">
        <v>303</v>
      </c>
      <c r="V34" s="313" t="s">
        <v>302</v>
      </c>
      <c r="W34"/>
      <c r="X34"/>
      <c r="Y34"/>
      <c r="Z34"/>
      <c r="AA34"/>
    </row>
    <row r="35" spans="1:27" s="2" customFormat="1" ht="12.75">
      <c r="A35" s="116" t="s">
        <v>82</v>
      </c>
      <c r="B35" s="106"/>
      <c r="C35" s="106"/>
      <c r="D35" s="104"/>
      <c r="E35" s="36" t="s">
        <v>83</v>
      </c>
      <c r="F35" s="42">
        <f>F24+F33-F34</f>
        <v>84.6</v>
      </c>
      <c r="G35" s="42">
        <f>G24+G33-G34</f>
        <v>86.14624008970945</v>
      </c>
      <c r="H35" s="22"/>
      <c r="I35" s="43">
        <f>I24+I33-I34</f>
        <v>88.45260557243698</v>
      </c>
      <c r="J35" s="23"/>
      <c r="K35" s="23"/>
      <c r="L35" s="44">
        <f>L24+L33-L34</f>
        <v>87.93824996791359</v>
      </c>
      <c r="M35" s="355">
        <f>M24+M33+M34</f>
        <v>0.42236166478278603</v>
      </c>
      <c r="N35" s="47"/>
      <c r="O35" s="20">
        <f>10^(-L35/10)</f>
        <v>1.6075889161881038E-09</v>
      </c>
      <c r="P35" s="20">
        <f>O35*SQRT(M35)</f>
        <v>1.0447617152389238E-09</v>
      </c>
      <c r="Q35" s="26" t="s">
        <v>32</v>
      </c>
      <c r="R35" s="24"/>
      <c r="S35" s="297" t="s">
        <v>331</v>
      </c>
      <c r="T35" s="311"/>
      <c r="U35" s="298" t="s">
        <v>295</v>
      </c>
      <c r="V35" s="313" t="s">
        <v>302</v>
      </c>
      <c r="W35"/>
      <c r="X35"/>
      <c r="Y35"/>
      <c r="Z35"/>
      <c r="AA35"/>
    </row>
    <row r="36" spans="1:27" s="2" customFormat="1" ht="13.5" thickBot="1">
      <c r="A36" s="138" t="s">
        <v>84</v>
      </c>
      <c r="B36" s="139"/>
      <c r="C36" s="139"/>
      <c r="D36" s="140"/>
      <c r="E36" s="31" t="s">
        <v>83</v>
      </c>
      <c r="F36" s="48">
        <f>F35</f>
        <v>84.6</v>
      </c>
      <c r="G36" s="48">
        <f>10*LOG(1/(1/((10^(G10/10))*(G5*1000000))+1/((10^(G11/10))*(G5*1000000))+1/(10^(G35/10))))</f>
        <v>85.91412455001368</v>
      </c>
      <c r="H36" s="142"/>
      <c r="I36" s="141">
        <f>10*LOG(1/(1/((10^(I10/10))*(I5*1000000))+1/((10^(I11/10))*(I5*1000000))+1/(10^(I35/10))))</f>
        <v>88.06492843426042</v>
      </c>
      <c r="J36" s="18"/>
      <c r="K36" s="18"/>
      <c r="L36" s="48">
        <f>10*LOG(1/(1/((10^(L10/10))*(L5*1000000))+1/((10^(L11/10))*(L5*1000000))+1/(10^(L35/10))))</f>
        <v>87.59219504054062</v>
      </c>
      <c r="M36" s="402">
        <f>(P36/O36)^2</f>
        <v>0.37915056973947175</v>
      </c>
      <c r="N36" s="49"/>
      <c r="O36" s="87">
        <f>O10+O11+O35</f>
        <v>1.740926740022499E-09</v>
      </c>
      <c r="P36" s="87">
        <f>P10+P11+P35</f>
        <v>1.0719791845562057E-09</v>
      </c>
      <c r="Q36" s="26" t="s">
        <v>32</v>
      </c>
      <c r="R36" s="216" t="s">
        <v>85</v>
      </c>
      <c r="S36" s="302" t="s">
        <v>253</v>
      </c>
      <c r="T36" s="328"/>
      <c r="U36" s="321" t="s">
        <v>299</v>
      </c>
      <c r="V36" s="316" t="s">
        <v>288</v>
      </c>
      <c r="W36"/>
      <c r="X36"/>
      <c r="Y36"/>
      <c r="Z36"/>
      <c r="AA36"/>
    </row>
    <row r="37" spans="1:27" s="341" customFormat="1" ht="13.5" thickBot="1">
      <c r="A37" s="103" t="s">
        <v>86</v>
      </c>
      <c r="B37" s="103"/>
      <c r="C37" s="103"/>
      <c r="D37" s="103"/>
      <c r="E37" s="13"/>
      <c r="F37" s="90"/>
      <c r="G37" s="90"/>
      <c r="H37" s="13"/>
      <c r="I37" s="13"/>
      <c r="J37" s="13"/>
      <c r="K37" s="13"/>
      <c r="L37" s="13"/>
      <c r="M37" s="353"/>
      <c r="N37" s="13"/>
      <c r="O37" s="13"/>
      <c r="P37" s="13"/>
      <c r="Q37" s="13"/>
      <c r="R37" s="348"/>
      <c r="S37" s="408"/>
      <c r="T37" s="409"/>
      <c r="U37" s="410"/>
      <c r="V37" s="411"/>
      <c r="W37" s="119"/>
      <c r="X37" s="119"/>
      <c r="Y37" s="119"/>
      <c r="Z37" s="119"/>
      <c r="AA37" s="119"/>
    </row>
    <row r="38" spans="1:27" s="2" customFormat="1" ht="12.75">
      <c r="A38" s="127" t="s">
        <v>87</v>
      </c>
      <c r="B38" s="128"/>
      <c r="C38" s="128"/>
      <c r="D38" s="115"/>
      <c r="E38" s="15" t="s">
        <v>19</v>
      </c>
      <c r="F38" s="16">
        <v>1685.7</v>
      </c>
      <c r="G38" s="16">
        <v>1685.7</v>
      </c>
      <c r="H38" s="17"/>
      <c r="I38" s="523">
        <f>G38</f>
        <v>1685.7</v>
      </c>
      <c r="J38" s="18"/>
      <c r="K38" s="18"/>
      <c r="L38" s="18"/>
      <c r="M38" s="351"/>
      <c r="N38" s="18"/>
      <c r="O38" s="18"/>
      <c r="P38" s="18"/>
      <c r="Q38" s="18"/>
      <c r="R38" s="137"/>
      <c r="S38" s="332"/>
      <c r="T38" s="306" t="s">
        <v>266</v>
      </c>
      <c r="U38" s="307"/>
      <c r="V38" s="308"/>
      <c r="W38"/>
      <c r="X38"/>
      <c r="Y38"/>
      <c r="Z38"/>
      <c r="AA38"/>
    </row>
    <row r="39" spans="1:27" s="2" customFormat="1" ht="12.75">
      <c r="A39" s="116"/>
      <c r="B39" s="106"/>
      <c r="C39" s="106" t="s">
        <v>88</v>
      </c>
      <c r="D39" s="104"/>
      <c r="E39" s="20" t="s">
        <v>89</v>
      </c>
      <c r="F39" s="94">
        <v>11.749090210743004</v>
      </c>
      <c r="G39" s="51">
        <v>35</v>
      </c>
      <c r="H39" s="22"/>
      <c r="I39" s="549">
        <f>(10^(I40/10))/1000</f>
        <v>40.41736946413105</v>
      </c>
      <c r="J39" s="23"/>
      <c r="K39" s="23"/>
      <c r="L39" s="23"/>
      <c r="M39" s="352"/>
      <c r="N39" s="23"/>
      <c r="O39" s="23"/>
      <c r="P39" s="23"/>
      <c r="Q39" s="23"/>
      <c r="R39" s="24" t="s">
        <v>90</v>
      </c>
      <c r="S39" s="319"/>
      <c r="T39" s="313" t="s">
        <v>270</v>
      </c>
      <c r="U39" s="310"/>
      <c r="V39" s="311"/>
      <c r="W39"/>
      <c r="X39"/>
      <c r="Y39"/>
      <c r="Z39"/>
      <c r="AA39"/>
    </row>
    <row r="40" spans="1:27" s="2" customFormat="1" ht="12.75">
      <c r="A40" s="116"/>
      <c r="B40" s="106" t="s">
        <v>88</v>
      </c>
      <c r="C40" s="106"/>
      <c r="D40" s="104"/>
      <c r="E40" s="20" t="s">
        <v>61</v>
      </c>
      <c r="F40" s="92">
        <f>10*LOG(F39)+30</f>
        <v>40.70004238373584</v>
      </c>
      <c r="G40" s="92">
        <f>10*LOG(G39)+30</f>
        <v>45.44068044350276</v>
      </c>
      <c r="H40" s="538" t="str">
        <f>IF(J40=-K40,CONCATENATE("±",TEXT(ABS(J40),"0.0##")),CONCATENATE(TEXT(J40,"+0.0##;-0.0##"),"/",TEXT(K40,"+0.0##;-0.0##")))</f>
        <v>±0.625</v>
      </c>
      <c r="I40" s="525">
        <f>G40+J40</f>
        <v>46.06568044350276</v>
      </c>
      <c r="J40" s="26">
        <v>0.625</v>
      </c>
      <c r="K40" s="26">
        <v>-0.625</v>
      </c>
      <c r="L40" s="40">
        <f>I40+((J40+K40)/3)</f>
        <v>46.06568044350276</v>
      </c>
      <c r="M40" s="53">
        <f>(J40^2+K40^2-(K40*J40))/18</f>
        <v>0.06510416666666667</v>
      </c>
      <c r="N40" s="41"/>
      <c r="O40" s="41"/>
      <c r="P40" s="41"/>
      <c r="Q40" s="20" t="s">
        <v>36</v>
      </c>
      <c r="R40" s="24" t="s">
        <v>91</v>
      </c>
      <c r="S40" s="319"/>
      <c r="T40" s="313" t="s">
        <v>270</v>
      </c>
      <c r="U40" s="312" t="s">
        <v>290</v>
      </c>
      <c r="V40" s="313" t="s">
        <v>324</v>
      </c>
      <c r="W40"/>
      <c r="X40"/>
      <c r="Y40"/>
      <c r="Z40"/>
      <c r="AA40"/>
    </row>
    <row r="41" spans="1:27" s="2" customFormat="1" ht="12.75">
      <c r="A41" s="116"/>
      <c r="B41" s="106" t="s">
        <v>92</v>
      </c>
      <c r="C41" s="106"/>
      <c r="D41" s="104"/>
      <c r="E41" s="20" t="s">
        <v>27</v>
      </c>
      <c r="F41" s="101" t="s">
        <v>65</v>
      </c>
      <c r="G41" s="39">
        <v>1.5</v>
      </c>
      <c r="H41" s="538" t="str">
        <f>IF(J41=-K41,CONCATENATE("±",TEXT(ABS(J41),"0.0##")),CONCATENATE(TEXT(J41,"+0.0##;-0.0##"),"/",TEXT(K41,"+0.0##;-0.0##")))</f>
        <v>±0.375</v>
      </c>
      <c r="I41" s="52">
        <f>G41+J41</f>
        <v>1.125</v>
      </c>
      <c r="J41" s="26">
        <v>-0.375</v>
      </c>
      <c r="K41" s="26">
        <v>0.375</v>
      </c>
      <c r="L41" s="40">
        <f>I41+((J41+K41)/2)</f>
        <v>1.125</v>
      </c>
      <c r="M41" s="53">
        <f>((J41-K41)^2)/12</f>
        <v>0.046875</v>
      </c>
      <c r="N41" s="41"/>
      <c r="O41" s="41"/>
      <c r="P41" s="41"/>
      <c r="Q41" s="20" t="s">
        <v>39</v>
      </c>
      <c r="R41" s="24" t="s">
        <v>93</v>
      </c>
      <c r="S41" s="319"/>
      <c r="T41" s="313" t="s">
        <v>271</v>
      </c>
      <c r="U41" s="312" t="s">
        <v>291</v>
      </c>
      <c r="V41" s="313" t="s">
        <v>324</v>
      </c>
      <c r="W41"/>
      <c r="X41"/>
      <c r="Y41"/>
      <c r="Z41"/>
      <c r="AA41"/>
    </row>
    <row r="42" spans="1:27" s="2" customFormat="1" ht="12.75">
      <c r="A42" s="116"/>
      <c r="B42" s="106" t="s">
        <v>94</v>
      </c>
      <c r="C42" s="106"/>
      <c r="D42" s="104"/>
      <c r="E42" s="20" t="s">
        <v>27</v>
      </c>
      <c r="F42" s="51">
        <v>2.9</v>
      </c>
      <c r="G42" s="555">
        <v>1.49</v>
      </c>
      <c r="H42" s="538" t="str">
        <f>IF(J42=-K42,CONCATENATE("±",TEXT(ABS(J42),"0.0##")),CONCATENATE(TEXT(J42,"+0.0##;-0.0##"),"/",TEXT(K42,"+0.0##;-0.0##")))</f>
        <v>±0.25</v>
      </c>
      <c r="I42" s="550">
        <f>G42+J42</f>
        <v>1.24</v>
      </c>
      <c r="J42" s="26">
        <v>-0.25</v>
      </c>
      <c r="K42" s="26">
        <v>0.25</v>
      </c>
      <c r="L42" s="40">
        <f>I42+((J42+K42)/2)</f>
        <v>1.24</v>
      </c>
      <c r="M42" s="53">
        <f>((J42-K42)^2)/12</f>
        <v>0.020833333333333332</v>
      </c>
      <c r="N42" s="41"/>
      <c r="O42" s="41"/>
      <c r="P42" s="41"/>
      <c r="Q42" s="20" t="s">
        <v>39</v>
      </c>
      <c r="R42" s="24" t="s">
        <v>95</v>
      </c>
      <c r="S42" s="319"/>
      <c r="T42" s="313" t="s">
        <v>279</v>
      </c>
      <c r="U42" s="312" t="s">
        <v>291</v>
      </c>
      <c r="V42" s="313" t="s">
        <v>324</v>
      </c>
      <c r="W42"/>
      <c r="X42"/>
      <c r="Y42"/>
      <c r="Z42"/>
      <c r="AA42"/>
    </row>
    <row r="43" spans="1:27" s="2" customFormat="1" ht="12.75">
      <c r="A43" s="116"/>
      <c r="B43" s="106"/>
      <c r="C43" s="106" t="s">
        <v>96</v>
      </c>
      <c r="D43" s="104"/>
      <c r="E43" s="20" t="s">
        <v>61</v>
      </c>
      <c r="F43" s="29" t="s">
        <v>65</v>
      </c>
      <c r="G43" s="29">
        <f>G40-G41-G42</f>
        <v>42.450680443502755</v>
      </c>
      <c r="H43" s="25"/>
      <c r="I43" s="99">
        <f>I40-I41-I42</f>
        <v>43.700680443502755</v>
      </c>
      <c r="J43" s="99">
        <f>3*SQRT(M43)</f>
        <v>1.093303480283494</v>
      </c>
      <c r="K43" s="99">
        <f>-3*SQRT(M43)</f>
        <v>-1.093303480283494</v>
      </c>
      <c r="L43" s="99">
        <f>L40-L41-L42</f>
        <v>43.700680443502755</v>
      </c>
      <c r="M43" s="591">
        <f>M40+M41+M42</f>
        <v>0.1328125</v>
      </c>
      <c r="N43" s="99"/>
      <c r="O43" s="99"/>
      <c r="P43" s="99"/>
      <c r="Q43" s="26" t="s">
        <v>32</v>
      </c>
      <c r="R43" s="24" t="s">
        <v>97</v>
      </c>
      <c r="S43" s="297" t="s">
        <v>384</v>
      </c>
      <c r="T43" s="311"/>
      <c r="U43" s="298" t="s">
        <v>385</v>
      </c>
      <c r="V43" s="425" t="s">
        <v>302</v>
      </c>
      <c r="W43"/>
      <c r="X43"/>
      <c r="Y43"/>
      <c r="Z43"/>
      <c r="AA43"/>
    </row>
    <row r="44" spans="1:27" s="2" customFormat="1" ht="12.75">
      <c r="A44" s="116"/>
      <c r="B44" s="106" t="s">
        <v>58</v>
      </c>
      <c r="C44" s="106"/>
      <c r="D44" s="104"/>
      <c r="E44" s="20" t="s">
        <v>27</v>
      </c>
      <c r="F44" s="51" t="s">
        <v>65</v>
      </c>
      <c r="G44" s="51">
        <v>0.44</v>
      </c>
      <c r="H44" s="538" t="str">
        <f>IF(J44=-K44,CONCATENATE("±",TEXT(ABS(J44),"0.0##")),CONCATENATE(TEXT(J44,"+0.0##;-0.0##"),"/",TEXT(K44,"+0.0##;-0.0##")))</f>
        <v>±0.05</v>
      </c>
      <c r="I44" s="550">
        <f>G44+J44</f>
        <v>0.39</v>
      </c>
      <c r="J44" s="26">
        <v>-0.05</v>
      </c>
      <c r="K44" s="26">
        <v>0.05</v>
      </c>
      <c r="L44" s="40">
        <f>I44+((J44+K44)/2)</f>
        <v>0.39</v>
      </c>
      <c r="M44" s="53">
        <f>((J44-K44)^2)/12</f>
        <v>0.0008333333333333335</v>
      </c>
      <c r="N44" s="41"/>
      <c r="O44" s="41"/>
      <c r="P44" s="41"/>
      <c r="Q44" s="20" t="s">
        <v>39</v>
      </c>
      <c r="R44" s="24" t="s">
        <v>98</v>
      </c>
      <c r="S44" s="319"/>
      <c r="T44" s="313" t="s">
        <v>279</v>
      </c>
      <c r="U44" s="312" t="s">
        <v>291</v>
      </c>
      <c r="V44" s="313" t="s">
        <v>324</v>
      </c>
      <c r="W44"/>
      <c r="X44"/>
      <c r="Y44"/>
      <c r="Z44"/>
      <c r="AA44"/>
    </row>
    <row r="45" spans="1:27" s="2" customFormat="1" ht="12.75">
      <c r="A45" s="116"/>
      <c r="B45" s="106" t="s">
        <v>55</v>
      </c>
      <c r="C45" s="106"/>
      <c r="D45" s="104"/>
      <c r="E45" s="20" t="s">
        <v>56</v>
      </c>
      <c r="F45" s="51">
        <v>16.5</v>
      </c>
      <c r="G45" s="51">
        <v>14.5</v>
      </c>
      <c r="H45" s="538" t="str">
        <f>IF(J45=-K45,CONCATENATE("±",TEXT(ABS(J45),"0.0##")),CONCATENATE(TEXT(J45,"+0.0##;-0.0##"),"/",TEXT(K45,"+0.0##;-0.0##")))</f>
        <v>±0.15</v>
      </c>
      <c r="I45" s="52">
        <f>G45+J45</f>
        <v>14.65</v>
      </c>
      <c r="J45" s="26">
        <v>0.15</v>
      </c>
      <c r="K45" s="26">
        <v>-0.15</v>
      </c>
      <c r="L45" s="40">
        <f>I45+((J45+K45)/3)</f>
        <v>14.65</v>
      </c>
      <c r="M45" s="53">
        <f>(J45^2+K45^2-(K45*J45))/18</f>
        <v>0.0037500000000000003</v>
      </c>
      <c r="N45" s="41"/>
      <c r="O45" s="41"/>
      <c r="P45" s="41"/>
      <c r="Q45" s="20" t="s">
        <v>36</v>
      </c>
      <c r="R45" s="24" t="s">
        <v>57</v>
      </c>
      <c r="S45" s="319"/>
      <c r="T45" s="313" t="s">
        <v>272</v>
      </c>
      <c r="U45" s="312" t="s">
        <v>290</v>
      </c>
      <c r="V45" s="313" t="s">
        <v>324</v>
      </c>
      <c r="W45"/>
      <c r="X45"/>
      <c r="Y45"/>
      <c r="Z45"/>
      <c r="AA45"/>
    </row>
    <row r="46" spans="1:27" s="2" customFormat="1" ht="12.75">
      <c r="A46" s="116"/>
      <c r="B46" s="106"/>
      <c r="C46" s="106" t="s">
        <v>22</v>
      </c>
      <c r="D46" s="104"/>
      <c r="E46" s="36" t="s">
        <v>23</v>
      </c>
      <c r="F46" s="46" t="s">
        <v>24</v>
      </c>
      <c r="G46" s="46" t="s">
        <v>24</v>
      </c>
      <c r="H46" s="22"/>
      <c r="I46" s="52" t="str">
        <f>G46</f>
        <v>linear</v>
      </c>
      <c r="J46" s="23"/>
      <c r="K46" s="23"/>
      <c r="L46" s="23"/>
      <c r="M46" s="352"/>
      <c r="N46" s="23"/>
      <c r="O46" s="23"/>
      <c r="P46" s="23"/>
      <c r="Q46" s="23"/>
      <c r="R46" s="24" t="s">
        <v>25</v>
      </c>
      <c r="S46" s="319"/>
      <c r="T46" s="309" t="s">
        <v>267</v>
      </c>
      <c r="U46" s="310"/>
      <c r="V46" s="311"/>
      <c r="W46"/>
      <c r="X46"/>
      <c r="Y46"/>
      <c r="Z46"/>
      <c r="AA46"/>
    </row>
    <row r="47" spans="1:27" s="2" customFormat="1" ht="12.75">
      <c r="A47" s="116"/>
      <c r="B47" s="106"/>
      <c r="C47" s="106" t="s">
        <v>26</v>
      </c>
      <c r="D47" s="104"/>
      <c r="E47" s="36" t="s">
        <v>27</v>
      </c>
      <c r="F47" s="39" t="s">
        <v>28</v>
      </c>
      <c r="G47" s="39" t="s">
        <v>28</v>
      </c>
      <c r="H47" s="22"/>
      <c r="I47" s="52" t="str">
        <f>G47</f>
        <v> --</v>
      </c>
      <c r="J47" s="23"/>
      <c r="K47" s="23"/>
      <c r="L47" s="23"/>
      <c r="M47" s="352"/>
      <c r="N47" s="23"/>
      <c r="O47" s="23"/>
      <c r="P47" s="23"/>
      <c r="Q47" s="23"/>
      <c r="R47" s="24" t="s">
        <v>29</v>
      </c>
      <c r="S47" s="319"/>
      <c r="T47" s="309" t="s">
        <v>267</v>
      </c>
      <c r="U47" s="310"/>
      <c r="V47" s="311"/>
      <c r="W47"/>
      <c r="X47"/>
      <c r="Y47"/>
      <c r="Z47"/>
      <c r="AA47"/>
    </row>
    <row r="48" spans="1:27" s="2" customFormat="1" ht="12.75">
      <c r="A48" s="116" t="s">
        <v>34</v>
      </c>
      <c r="B48" s="106"/>
      <c r="C48" s="106"/>
      <c r="D48" s="104"/>
      <c r="E48" s="20" t="s">
        <v>35</v>
      </c>
      <c r="F48" s="29">
        <f>F40-F42+F45</f>
        <v>54.30004238373584</v>
      </c>
      <c r="G48" s="29">
        <f>G40-G41-G42-G44+G45</f>
        <v>56.51068044350276</v>
      </c>
      <c r="H48" s="22"/>
      <c r="I48" s="43">
        <f>I40-I41-I42-I44+I45</f>
        <v>57.96068044350275</v>
      </c>
      <c r="J48" s="23"/>
      <c r="K48" s="23"/>
      <c r="L48" s="43">
        <f>L40-L41-L42-L44+L45</f>
        <v>57.96068044350275</v>
      </c>
      <c r="M48" s="354">
        <f>M40+M41+M42+M44+M45</f>
        <v>0.13739583333333333</v>
      </c>
      <c r="N48" s="84"/>
      <c r="O48" s="84"/>
      <c r="P48" s="84"/>
      <c r="Q48" s="20" t="s">
        <v>32</v>
      </c>
      <c r="R48" s="24"/>
      <c r="S48" s="297" t="s">
        <v>254</v>
      </c>
      <c r="T48" s="311"/>
      <c r="U48" s="298" t="s">
        <v>296</v>
      </c>
      <c r="V48" s="313" t="s">
        <v>302</v>
      </c>
      <c r="W48"/>
      <c r="X48"/>
      <c r="Y48"/>
      <c r="Z48"/>
      <c r="AA48"/>
    </row>
    <row r="49" spans="1:27" s="2" customFormat="1" ht="12.75">
      <c r="A49" s="143" t="s">
        <v>38</v>
      </c>
      <c r="B49" s="106"/>
      <c r="C49" s="106"/>
      <c r="D49" s="104"/>
      <c r="E49" s="20" t="s">
        <v>27</v>
      </c>
      <c r="F49" s="51">
        <v>0</v>
      </c>
      <c r="G49" s="51">
        <v>0</v>
      </c>
      <c r="H49" s="22"/>
      <c r="I49" s="52">
        <v>0</v>
      </c>
      <c r="J49" s="26">
        <v>0</v>
      </c>
      <c r="K49" s="26">
        <v>0</v>
      </c>
      <c r="L49" s="20">
        <f>I49+((J49+K49)/2)</f>
        <v>0</v>
      </c>
      <c r="M49" s="53">
        <f>((J49-K49)^2)/12</f>
        <v>0</v>
      </c>
      <c r="N49" s="20"/>
      <c r="O49" s="20"/>
      <c r="P49" s="20"/>
      <c r="Q49" s="20" t="s">
        <v>39</v>
      </c>
      <c r="R49" s="24" t="s">
        <v>40</v>
      </c>
      <c r="S49" s="319"/>
      <c r="T49" s="309" t="s">
        <v>267</v>
      </c>
      <c r="U49" s="312" t="s">
        <v>291</v>
      </c>
      <c r="V49" s="313" t="s">
        <v>324</v>
      </c>
      <c r="W49"/>
      <c r="X49"/>
      <c r="Y49"/>
      <c r="Z49"/>
      <c r="AA49"/>
    </row>
    <row r="50" spans="1:27" s="2" customFormat="1" ht="12.75">
      <c r="A50" s="116" t="s">
        <v>99</v>
      </c>
      <c r="B50" s="106"/>
      <c r="C50" s="106"/>
      <c r="D50" s="104"/>
      <c r="E50" s="20"/>
      <c r="F50" s="51">
        <v>1</v>
      </c>
      <c r="G50" s="51">
        <v>1</v>
      </c>
      <c r="H50" s="22"/>
      <c r="I50" s="52">
        <v>1</v>
      </c>
      <c r="J50" s="23"/>
      <c r="K50" s="23"/>
      <c r="L50" s="23"/>
      <c r="M50" s="352"/>
      <c r="N50" s="23"/>
      <c r="O50" s="23"/>
      <c r="P50" s="23"/>
      <c r="Q50" s="23"/>
      <c r="R50" s="24" t="s">
        <v>100</v>
      </c>
      <c r="S50" s="319"/>
      <c r="T50" s="309" t="s">
        <v>274</v>
      </c>
      <c r="U50" s="310"/>
      <c r="V50" s="311"/>
      <c r="W50"/>
      <c r="X50"/>
      <c r="Y50"/>
      <c r="Z50"/>
      <c r="AA50"/>
    </row>
    <row r="51" spans="1:27" s="2" customFormat="1" ht="13.5" thickBot="1">
      <c r="A51" s="138" t="s">
        <v>101</v>
      </c>
      <c r="B51" s="139"/>
      <c r="C51" s="139"/>
      <c r="D51" s="140"/>
      <c r="E51" s="15" t="s">
        <v>35</v>
      </c>
      <c r="F51" s="170">
        <f>F48-F49-10*LOG(F50)</f>
        <v>54.30004238373584</v>
      </c>
      <c r="G51" s="170">
        <f>G48-G49-10*LOG(G50)</f>
        <v>56.51068044350276</v>
      </c>
      <c r="H51" s="3"/>
      <c r="I51" s="247">
        <f>I48-I49-10*LOG(I50)</f>
        <v>57.96068044350275</v>
      </c>
      <c r="J51" s="18"/>
      <c r="K51" s="18"/>
      <c r="L51" s="32">
        <f>L48-L49-10*LOG(I50)</f>
        <v>57.96068044350275</v>
      </c>
      <c r="M51" s="355">
        <f>M48+M49</f>
        <v>0.13739583333333333</v>
      </c>
      <c r="N51" s="44"/>
      <c r="O51" s="44"/>
      <c r="P51" s="44"/>
      <c r="Q51" s="20" t="s">
        <v>32</v>
      </c>
      <c r="R51" s="216" t="s">
        <v>102</v>
      </c>
      <c r="S51" s="322" t="s">
        <v>335</v>
      </c>
      <c r="T51" s="328"/>
      <c r="U51" s="299" t="s">
        <v>297</v>
      </c>
      <c r="V51" s="316" t="s">
        <v>302</v>
      </c>
      <c r="W51"/>
      <c r="X51"/>
      <c r="Y51"/>
      <c r="Z51"/>
      <c r="AA51"/>
    </row>
    <row r="52" spans="1:27" s="341" customFormat="1" ht="13.5" thickBot="1">
      <c r="A52" s="103" t="s">
        <v>103</v>
      </c>
      <c r="B52" s="103"/>
      <c r="C52" s="103"/>
      <c r="D52" s="103"/>
      <c r="E52" s="13"/>
      <c r="F52" s="90"/>
      <c r="G52" s="90"/>
      <c r="H52" s="13"/>
      <c r="I52" s="13"/>
      <c r="J52" s="13"/>
      <c r="K52" s="13"/>
      <c r="L52" s="13"/>
      <c r="M52" s="353"/>
      <c r="N52" s="13"/>
      <c r="O52" s="13"/>
      <c r="P52" s="13"/>
      <c r="Q52" s="13"/>
      <c r="S52" s="408"/>
      <c r="T52" s="409"/>
      <c r="U52" s="410"/>
      <c r="V52" s="411"/>
      <c r="W52" s="119"/>
      <c r="X52" s="119"/>
      <c r="Y52" s="119"/>
      <c r="Z52" s="119"/>
      <c r="AA52" s="119"/>
    </row>
    <row r="53" spans="1:27" s="2" customFormat="1" ht="12.75">
      <c r="A53" s="127"/>
      <c r="B53" s="128" t="s">
        <v>43</v>
      </c>
      <c r="C53" s="128"/>
      <c r="D53" s="115"/>
      <c r="E53" s="15" t="s">
        <v>44</v>
      </c>
      <c r="F53" s="91"/>
      <c r="G53" s="91">
        <v>41126.8</v>
      </c>
      <c r="H53" s="17"/>
      <c r="I53" s="523">
        <v>41126.8</v>
      </c>
      <c r="J53" s="27">
        <v>40037.8</v>
      </c>
      <c r="K53" s="27">
        <v>41392</v>
      </c>
      <c r="L53" s="18"/>
      <c r="M53" s="351"/>
      <c r="N53" s="18"/>
      <c r="O53" s="18"/>
      <c r="P53" s="18"/>
      <c r="Q53" s="18"/>
      <c r="R53" s="137" t="s">
        <v>304</v>
      </c>
      <c r="S53" s="332"/>
      <c r="T53" s="306" t="s">
        <v>276</v>
      </c>
      <c r="U53" s="307"/>
      <c r="V53" s="308"/>
      <c r="W53"/>
      <c r="X53"/>
      <c r="Y53"/>
      <c r="Z53"/>
      <c r="AA53"/>
    </row>
    <row r="54" spans="1:27" s="2" customFormat="1" ht="12.75">
      <c r="A54" s="116" t="s">
        <v>45</v>
      </c>
      <c r="B54" s="106"/>
      <c r="C54" s="106"/>
      <c r="D54" s="104"/>
      <c r="E54" s="20" t="s">
        <v>27</v>
      </c>
      <c r="F54" s="29">
        <v>189.4</v>
      </c>
      <c r="G54" s="29">
        <f>(20*LOG(G38*1000000)+20*LOG(4*PI()*G53*1000)-20*LOG(300000000))</f>
        <v>189.25987630585809</v>
      </c>
      <c r="H54" s="30"/>
      <c r="I54" s="100">
        <f>(20*LOG($I$38*1000000)+20*LOG(4*PI()*I53*1000)-20*LOG(300000000))</f>
        <v>189.25987630585809</v>
      </c>
      <c r="J54" s="42">
        <f>-(I54-(20*LOG($I$38*1000000)+20*LOG(4*PI()*J53*1000)-20*LOG(300000000)))</f>
        <v>-0.23309426716758708</v>
      </c>
      <c r="K54" s="42">
        <f>-(I54-(20*LOG($I$38*1000000)+20*LOG(4*PI()*K53*1000)-20*LOG(300000000)))</f>
        <v>0.055829843931235246</v>
      </c>
      <c r="L54" s="40">
        <f>I54+((J54+K54)/3)</f>
        <v>189.2007881647793</v>
      </c>
      <c r="M54" s="53">
        <f>(J54^2+K54^2-(K54*J54))/18</f>
        <v>0.003914640300945144</v>
      </c>
      <c r="N54" s="41"/>
      <c r="O54" s="41"/>
      <c r="P54" s="41"/>
      <c r="Q54" s="20" t="s">
        <v>36</v>
      </c>
      <c r="R54" s="24" t="s">
        <v>46</v>
      </c>
      <c r="S54" s="296" t="s">
        <v>257</v>
      </c>
      <c r="T54" s="311"/>
      <c r="U54" s="312" t="s">
        <v>290</v>
      </c>
      <c r="V54" s="313" t="s">
        <v>324</v>
      </c>
      <c r="W54"/>
      <c r="X54"/>
      <c r="Y54"/>
      <c r="Z54"/>
      <c r="AA54"/>
    </row>
    <row r="55" spans="1:27" s="2" customFormat="1" ht="13.5" thickBot="1">
      <c r="A55" s="138" t="s">
        <v>47</v>
      </c>
      <c r="B55" s="139"/>
      <c r="C55" s="139"/>
      <c r="D55" s="140"/>
      <c r="E55" s="20" t="s">
        <v>27</v>
      </c>
      <c r="F55" s="51">
        <v>0</v>
      </c>
      <c r="G55" s="51">
        <v>0.35</v>
      </c>
      <c r="H55" s="22" t="s">
        <v>104</v>
      </c>
      <c r="I55" s="52">
        <v>0.35</v>
      </c>
      <c r="J55" s="26">
        <f>-(0.35-0.13)</f>
        <v>-0.21999999999999997</v>
      </c>
      <c r="K55" s="26">
        <f>-(0.35-1.67)</f>
        <v>1.3199999999999998</v>
      </c>
      <c r="L55" s="20">
        <f>I55+((J55+K55)/2)</f>
        <v>0.8999999999999999</v>
      </c>
      <c r="M55" s="53">
        <f>((J55-K55)^2)/36</f>
        <v>0.06587777777777776</v>
      </c>
      <c r="N55" s="20"/>
      <c r="O55" s="20"/>
      <c r="P55" s="20"/>
      <c r="Q55" s="20" t="s">
        <v>32</v>
      </c>
      <c r="R55" s="216" t="s">
        <v>48</v>
      </c>
      <c r="S55" s="334"/>
      <c r="T55" s="316" t="s">
        <v>301</v>
      </c>
      <c r="U55" s="315" t="s">
        <v>292</v>
      </c>
      <c r="V55" s="316" t="s">
        <v>324</v>
      </c>
      <c r="W55"/>
      <c r="X55"/>
      <c r="Y55"/>
      <c r="Z55"/>
      <c r="AA55"/>
    </row>
    <row r="56" spans="1:27" s="341" customFormat="1" ht="13.5" thickBot="1">
      <c r="A56" s="103" t="s">
        <v>105</v>
      </c>
      <c r="B56" s="103"/>
      <c r="C56" s="103"/>
      <c r="D56" s="103"/>
      <c r="E56" s="13"/>
      <c r="F56" s="90"/>
      <c r="G56" s="90"/>
      <c r="H56" s="13"/>
      <c r="I56" s="13"/>
      <c r="J56" s="13"/>
      <c r="K56" s="13"/>
      <c r="L56" s="13"/>
      <c r="M56" s="353"/>
      <c r="N56" s="13"/>
      <c r="O56" s="13"/>
      <c r="P56" s="13"/>
      <c r="Q56" s="13"/>
      <c r="R56" s="348"/>
      <c r="S56" s="408"/>
      <c r="T56" s="409"/>
      <c r="U56" s="410"/>
      <c r="V56" s="411"/>
      <c r="W56" s="119"/>
      <c r="X56" s="119"/>
      <c r="Y56" s="119"/>
      <c r="Z56" s="119"/>
      <c r="AA56" s="119"/>
    </row>
    <row r="57" spans="1:27" s="2" customFormat="1" ht="12.75">
      <c r="A57" s="127" t="s">
        <v>106</v>
      </c>
      <c r="B57" s="128"/>
      <c r="C57" s="128"/>
      <c r="D57" s="115"/>
      <c r="E57" s="15" t="s">
        <v>35</v>
      </c>
      <c r="F57" s="50">
        <f>F51-F54-F55</f>
        <v>-135.09995761626416</v>
      </c>
      <c r="G57" s="50">
        <f>G51-G54-G55</f>
        <v>-133.09919586235532</v>
      </c>
      <c r="H57" s="17"/>
      <c r="I57" s="32">
        <f>I51-I54-I55</f>
        <v>-131.64919586235533</v>
      </c>
      <c r="J57" s="18"/>
      <c r="K57" s="18"/>
      <c r="L57" s="34">
        <f>L51-L54-L55</f>
        <v>-132.14010772127656</v>
      </c>
      <c r="M57" s="356">
        <f>M51+M54+M55</f>
        <v>0.20718825141205624</v>
      </c>
      <c r="N57" s="34"/>
      <c r="O57" s="34"/>
      <c r="P57" s="34"/>
      <c r="Q57" s="20" t="s">
        <v>32</v>
      </c>
      <c r="R57" s="137"/>
      <c r="S57" s="323" t="s">
        <v>258</v>
      </c>
      <c r="T57" s="308"/>
      <c r="U57" s="323" t="s">
        <v>305</v>
      </c>
      <c r="V57" s="324" t="s">
        <v>302</v>
      </c>
      <c r="W57"/>
      <c r="X57"/>
      <c r="Y57"/>
      <c r="Z57"/>
      <c r="AA57"/>
    </row>
    <row r="58" spans="1:27" s="2" customFormat="1" ht="12.75">
      <c r="A58" s="116" t="s">
        <v>107</v>
      </c>
      <c r="B58" s="106"/>
      <c r="C58" s="106"/>
      <c r="D58" s="104"/>
      <c r="E58" s="20" t="s">
        <v>108</v>
      </c>
      <c r="F58" s="51">
        <v>-154</v>
      </c>
      <c r="G58" s="51">
        <v>-154</v>
      </c>
      <c r="H58" s="25"/>
      <c r="I58" s="37"/>
      <c r="J58" s="38"/>
      <c r="K58" s="38"/>
      <c r="L58" s="38"/>
      <c r="M58" s="352"/>
      <c r="N58" s="38"/>
      <c r="O58" s="38"/>
      <c r="P58" s="38"/>
      <c r="Q58" s="38"/>
      <c r="R58" s="24" t="s">
        <v>281</v>
      </c>
      <c r="S58" s="319"/>
      <c r="T58" s="309" t="s">
        <v>280</v>
      </c>
      <c r="U58" s="318"/>
      <c r="V58" s="311"/>
      <c r="W58"/>
      <c r="X58"/>
      <c r="Y58"/>
      <c r="Z58"/>
      <c r="AA58"/>
    </row>
    <row r="59" spans="1:27" s="2" customFormat="1" ht="12.75">
      <c r="A59" s="116" t="s">
        <v>109</v>
      </c>
      <c r="B59" s="106"/>
      <c r="C59" s="106"/>
      <c r="D59" s="104"/>
      <c r="E59" s="20" t="s">
        <v>108</v>
      </c>
      <c r="F59" s="93">
        <v>-164</v>
      </c>
      <c r="G59" s="93">
        <f>(G51-30)-10*LOG(G5*1000000)+10*LOG(4000)-G55-(10*LOG(4*PI()*(G53*1000)^2))</f>
        <v>-164.84812381314245</v>
      </c>
      <c r="H59" s="25"/>
      <c r="I59" s="37"/>
      <c r="J59" s="38"/>
      <c r="K59" s="38"/>
      <c r="L59" s="38"/>
      <c r="M59" s="352"/>
      <c r="N59" s="38"/>
      <c r="O59" s="38"/>
      <c r="P59" s="38"/>
      <c r="Q59" s="38"/>
      <c r="R59" s="24" t="s">
        <v>282</v>
      </c>
      <c r="S59" s="319"/>
      <c r="T59" s="311"/>
      <c r="U59" s="318"/>
      <c r="V59" s="311"/>
      <c r="W59"/>
      <c r="X59"/>
      <c r="Y59"/>
      <c r="Z59"/>
      <c r="AA59"/>
    </row>
    <row r="60" spans="1:27" s="2" customFormat="1" ht="12.75">
      <c r="A60" s="116"/>
      <c r="B60" s="106" t="s">
        <v>110</v>
      </c>
      <c r="C60" s="106"/>
      <c r="D60" s="104"/>
      <c r="E60" s="20" t="s">
        <v>77</v>
      </c>
      <c r="F60" s="51">
        <v>15.2</v>
      </c>
      <c r="G60" s="51">
        <v>15.2</v>
      </c>
      <c r="H60" s="538" t="str">
        <f>IF(J60=-K60,CONCATENATE("±",TEXT(ABS(J60),"0.0##")),CONCATENATE(TEXT(J60,"+0.0##;-0.0##"),"/",TEXT(K60,"+0.0##;-0.0##")))</f>
        <v>±0.5</v>
      </c>
      <c r="I60" s="52">
        <v>15.2</v>
      </c>
      <c r="J60" s="26">
        <v>0.5</v>
      </c>
      <c r="K60" s="26">
        <v>-0.5</v>
      </c>
      <c r="L60" s="20">
        <f>I60+((J60+K60)/2)</f>
        <v>15.2</v>
      </c>
      <c r="M60" s="53">
        <f>((J60-K60)^2)/36</f>
        <v>0.027777777777777776</v>
      </c>
      <c r="N60" s="20"/>
      <c r="O60" s="20"/>
      <c r="P60" s="20"/>
      <c r="Q60" s="20" t="s">
        <v>32</v>
      </c>
      <c r="R60" s="24" t="s">
        <v>283</v>
      </c>
      <c r="S60" s="319"/>
      <c r="T60" s="309" t="s">
        <v>268</v>
      </c>
      <c r="U60" s="312" t="s">
        <v>292</v>
      </c>
      <c r="V60" s="313" t="s">
        <v>324</v>
      </c>
      <c r="W60"/>
      <c r="X60"/>
      <c r="Y60"/>
      <c r="Z60"/>
      <c r="AA60"/>
    </row>
    <row r="61" spans="1:27" s="2" customFormat="1" ht="12.75">
      <c r="A61" s="116"/>
      <c r="B61" s="106" t="s">
        <v>111</v>
      </c>
      <c r="C61" s="106"/>
      <c r="D61" s="104"/>
      <c r="E61" s="20" t="s">
        <v>27</v>
      </c>
      <c r="F61" s="51">
        <v>0.5</v>
      </c>
      <c r="G61" s="51">
        <v>0.5</v>
      </c>
      <c r="H61" s="538" t="str">
        <f>IF(J61=-K61,CONCATENATE("±",TEXT(ABS(J61),"0.0##")),CONCATENATE(TEXT(J61,"+0.0##;-0.0##"),"/",TEXT(K61,"+0.0##;-0.0##")))</f>
        <v>±0.25</v>
      </c>
      <c r="I61" s="525">
        <v>0.25</v>
      </c>
      <c r="J61" s="99">
        <v>-0.25</v>
      </c>
      <c r="K61" s="26">
        <v>0.25</v>
      </c>
      <c r="L61" s="20">
        <f>I61+((J61+K61)/2)</f>
        <v>0.25</v>
      </c>
      <c r="M61" s="53">
        <f>((J61-K61)^2)/12</f>
        <v>0.020833333333333332</v>
      </c>
      <c r="N61" s="20"/>
      <c r="O61" s="20"/>
      <c r="P61" s="20"/>
      <c r="Q61" s="20" t="s">
        <v>39</v>
      </c>
      <c r="R61" s="24" t="s">
        <v>283</v>
      </c>
      <c r="S61" s="319"/>
      <c r="T61" s="309" t="s">
        <v>268</v>
      </c>
      <c r="U61" s="312" t="s">
        <v>291</v>
      </c>
      <c r="V61" s="313" t="s">
        <v>324</v>
      </c>
      <c r="W61"/>
      <c r="X61"/>
      <c r="Y61"/>
      <c r="Z61"/>
      <c r="AA61"/>
    </row>
    <row r="62" spans="1:27" s="2" customFormat="1" ht="12.75">
      <c r="A62" s="116"/>
      <c r="B62" s="106"/>
      <c r="C62" s="106" t="s">
        <v>22</v>
      </c>
      <c r="D62" s="104"/>
      <c r="E62" s="36" t="s">
        <v>23</v>
      </c>
      <c r="F62" s="46" t="s">
        <v>24</v>
      </c>
      <c r="G62" s="46" t="s">
        <v>24</v>
      </c>
      <c r="H62" s="22"/>
      <c r="I62" s="52" t="str">
        <f>G62</f>
        <v>linear</v>
      </c>
      <c r="J62" s="23"/>
      <c r="K62" s="23"/>
      <c r="L62" s="23"/>
      <c r="M62" s="352"/>
      <c r="N62" s="23"/>
      <c r="O62" s="23"/>
      <c r="P62" s="23"/>
      <c r="Q62" s="23"/>
      <c r="R62" s="24" t="s">
        <v>25</v>
      </c>
      <c r="S62" s="319"/>
      <c r="T62" s="309" t="s">
        <v>267</v>
      </c>
      <c r="U62" s="310"/>
      <c r="V62" s="311"/>
      <c r="W62"/>
      <c r="X62"/>
      <c r="Y62"/>
      <c r="Z62"/>
      <c r="AA62"/>
    </row>
    <row r="63" spans="1:27" s="2" customFormat="1" ht="12.75">
      <c r="A63" s="116"/>
      <c r="B63" s="106"/>
      <c r="C63" s="106" t="s">
        <v>26</v>
      </c>
      <c r="D63" s="104"/>
      <c r="E63" s="36" t="s">
        <v>27</v>
      </c>
      <c r="F63" s="39" t="s">
        <v>28</v>
      </c>
      <c r="G63" s="39" t="s">
        <v>28</v>
      </c>
      <c r="H63" s="22"/>
      <c r="I63" s="52" t="str">
        <f>G63</f>
        <v> --</v>
      </c>
      <c r="J63" s="23"/>
      <c r="K63" s="23"/>
      <c r="L63" s="23"/>
      <c r="M63" s="352"/>
      <c r="N63" s="23"/>
      <c r="O63" s="23"/>
      <c r="P63" s="23"/>
      <c r="Q63" s="23"/>
      <c r="R63" s="24" t="s">
        <v>29</v>
      </c>
      <c r="S63" s="319"/>
      <c r="T63" s="309" t="s">
        <v>267</v>
      </c>
      <c r="U63" s="310"/>
      <c r="V63" s="311"/>
      <c r="W63"/>
      <c r="X63"/>
      <c r="Y63"/>
      <c r="Z63"/>
      <c r="AA63"/>
    </row>
    <row r="64" spans="1:27" s="2" customFormat="1" ht="12" customHeight="1">
      <c r="A64" s="116"/>
      <c r="B64" s="106" t="s">
        <v>50</v>
      </c>
      <c r="C64" s="106"/>
      <c r="D64" s="104"/>
      <c r="E64" s="20" t="s">
        <v>27</v>
      </c>
      <c r="F64" s="51">
        <v>0.2</v>
      </c>
      <c r="G64" s="51">
        <v>0.2</v>
      </c>
      <c r="H64" s="538" t="str">
        <f>IF(J64=-K64,CONCATENATE("±",TEXT(ABS(J64),"0.0##")),CONCATENATE(TEXT(J64,"+0.0##;-0.0##"),"/",TEXT(K64,"+0.0##;-0.0##")))</f>
        <v>±0.2</v>
      </c>
      <c r="I64" s="52">
        <v>0.2</v>
      </c>
      <c r="J64" s="26">
        <v>-0.2</v>
      </c>
      <c r="K64" s="26">
        <v>0.2</v>
      </c>
      <c r="L64" s="20">
        <f>I64+((J64+K64)/2)</f>
        <v>0.2</v>
      </c>
      <c r="M64" s="53">
        <f>((J64-K64)^2)/12</f>
        <v>0.013333333333333336</v>
      </c>
      <c r="N64" s="20"/>
      <c r="O64" s="20"/>
      <c r="P64" s="20"/>
      <c r="Q64" s="20" t="s">
        <v>39</v>
      </c>
      <c r="R64" s="24" t="s">
        <v>51</v>
      </c>
      <c r="S64" s="319"/>
      <c r="T64" s="311"/>
      <c r="U64" s="312" t="s">
        <v>291</v>
      </c>
      <c r="V64" s="313" t="s">
        <v>324</v>
      </c>
      <c r="W64"/>
      <c r="X64"/>
      <c r="Y64"/>
      <c r="Z64"/>
      <c r="AA64"/>
    </row>
    <row r="65" spans="1:27" s="2" customFormat="1" ht="12.75">
      <c r="A65" s="116"/>
      <c r="B65" s="106" t="s">
        <v>78</v>
      </c>
      <c r="C65" s="106"/>
      <c r="D65" s="104"/>
      <c r="E65" s="20" t="s">
        <v>79</v>
      </c>
      <c r="F65" s="21">
        <v>-198.6</v>
      </c>
      <c r="G65" s="21">
        <v>-198.6</v>
      </c>
      <c r="H65" s="22"/>
      <c r="I65" s="52">
        <v>-198.6</v>
      </c>
      <c r="J65" s="26">
        <v>0</v>
      </c>
      <c r="K65" s="26">
        <v>0</v>
      </c>
      <c r="L65" s="20">
        <f>I65</f>
        <v>-198.6</v>
      </c>
      <c r="M65" s="53">
        <v>0</v>
      </c>
      <c r="N65" s="20"/>
      <c r="O65" s="20"/>
      <c r="P65" s="20"/>
      <c r="Q65" s="20" t="s">
        <v>80</v>
      </c>
      <c r="R65" s="24" t="s">
        <v>81</v>
      </c>
      <c r="S65" s="319"/>
      <c r="T65" s="311"/>
      <c r="U65" s="330" t="s">
        <v>303</v>
      </c>
      <c r="V65" s="313" t="s">
        <v>302</v>
      </c>
      <c r="W65"/>
      <c r="X65"/>
      <c r="Y65"/>
      <c r="Z65"/>
      <c r="AA65"/>
    </row>
    <row r="66" spans="1:27" s="2" customFormat="1" ht="12.75">
      <c r="A66" s="116" t="s">
        <v>112</v>
      </c>
      <c r="B66" s="106"/>
      <c r="C66" s="106"/>
      <c r="D66" s="104"/>
      <c r="E66" s="36" t="s">
        <v>83</v>
      </c>
      <c r="F66" s="42">
        <f>F57+F60-F61-F64-F65</f>
        <v>78.00004238373583</v>
      </c>
      <c r="G66" s="42">
        <f>G57+G60-G61-G64-G65</f>
        <v>80.00080413764468</v>
      </c>
      <c r="H66" s="22"/>
      <c r="I66" s="43">
        <f>I57+I60-I61-I64-I65</f>
        <v>81.70080413764467</v>
      </c>
      <c r="J66" s="23"/>
      <c r="K66" s="23"/>
      <c r="L66" s="44">
        <f>L57+L60-L61-L64-L65</f>
        <v>81.20989227872343</v>
      </c>
      <c r="M66" s="355">
        <f>M57+M60+M61+M64+M65</f>
        <v>0.2691326958565007</v>
      </c>
      <c r="N66" s="44"/>
      <c r="O66" s="44"/>
      <c r="P66" s="44"/>
      <c r="Q66" s="23"/>
      <c r="R66" s="24"/>
      <c r="S66" s="297" t="s">
        <v>259</v>
      </c>
      <c r="T66" s="311"/>
      <c r="U66" s="360" t="s">
        <v>321</v>
      </c>
      <c r="V66" s="313" t="s">
        <v>302</v>
      </c>
      <c r="W66"/>
      <c r="X66"/>
      <c r="Y66"/>
      <c r="Z66"/>
      <c r="AA66"/>
    </row>
    <row r="67" spans="1:27" s="2" customFormat="1" ht="12.75">
      <c r="A67" s="116"/>
      <c r="B67" s="106" t="s">
        <v>113</v>
      </c>
      <c r="C67" s="106"/>
      <c r="D67" s="104"/>
      <c r="E67" s="20" t="s">
        <v>27</v>
      </c>
      <c r="F67" s="51" t="s">
        <v>31</v>
      </c>
      <c r="G67" s="51">
        <v>0.05</v>
      </c>
      <c r="H67" s="2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c r="R67" s="24" t="s">
        <v>114</v>
      </c>
      <c r="S67" s="319"/>
      <c r="T67" s="313" t="s">
        <v>279</v>
      </c>
      <c r="U67" s="312" t="s">
        <v>292</v>
      </c>
      <c r="V67" s="313" t="s">
        <v>324</v>
      </c>
      <c r="W67"/>
      <c r="X67"/>
      <c r="Y67"/>
      <c r="Z67"/>
      <c r="AA67"/>
    </row>
    <row r="68" spans="1:27" s="2" customFormat="1" ht="12.75">
      <c r="A68" s="116"/>
      <c r="B68" s="106" t="s">
        <v>115</v>
      </c>
      <c r="C68" s="106"/>
      <c r="D68" s="104"/>
      <c r="E68" s="20" t="s">
        <v>27</v>
      </c>
      <c r="F68" s="51">
        <v>0</v>
      </c>
      <c r="G68" s="51">
        <v>0</v>
      </c>
      <c r="H68" s="22"/>
      <c r="I68" s="52">
        <v>0</v>
      </c>
      <c r="J68" s="26">
        <v>0</v>
      </c>
      <c r="K68" s="26">
        <v>0</v>
      </c>
      <c r="L68" s="20">
        <f>I68+((J68+K68)/2)</f>
        <v>0</v>
      </c>
      <c r="M68" s="53">
        <f>((J68-K68)^2)/12</f>
        <v>0</v>
      </c>
      <c r="N68" s="20"/>
      <c r="O68" s="20"/>
      <c r="P68" s="20"/>
      <c r="Q68" s="20" t="s">
        <v>39</v>
      </c>
      <c r="R68" s="24" t="s">
        <v>116</v>
      </c>
      <c r="S68" s="319"/>
      <c r="T68" s="311"/>
      <c r="U68" s="312" t="s">
        <v>291</v>
      </c>
      <c r="V68" s="313" t="s">
        <v>324</v>
      </c>
      <c r="W68"/>
      <c r="X68"/>
      <c r="Y68"/>
      <c r="Z68"/>
      <c r="AA68"/>
    </row>
    <row r="69" spans="1:27" s="2" customFormat="1" ht="13.5" thickBot="1">
      <c r="A69" s="138" t="s">
        <v>117</v>
      </c>
      <c r="B69" s="139"/>
      <c r="C69" s="139"/>
      <c r="D69" s="140"/>
      <c r="E69" s="20" t="s">
        <v>83</v>
      </c>
      <c r="F69" s="29">
        <f>F66-F68</f>
        <v>78.00004238373583</v>
      </c>
      <c r="G69" s="29">
        <f>G66-G67-G68</f>
        <v>79.95080413764468</v>
      </c>
      <c r="H69" s="22"/>
      <c r="I69" s="43">
        <f>I66-I67-I68</f>
        <v>81.65580413764467</v>
      </c>
      <c r="J69" s="23"/>
      <c r="K69" s="23"/>
      <c r="L69" s="44">
        <f>L66-L67-L68</f>
        <v>81.16489227872343</v>
      </c>
      <c r="M69" s="355">
        <f>M66+M67+M68</f>
        <v>0.2691354736342785</v>
      </c>
      <c r="N69" s="44"/>
      <c r="O69" s="20">
        <f>10^(-L69/10)</f>
        <v>7.647346564836126E-09</v>
      </c>
      <c r="P69" s="20">
        <f>O69*SQRT(M69)</f>
        <v>3.967310979450237E-09</v>
      </c>
      <c r="Q69" s="20" t="s">
        <v>32</v>
      </c>
      <c r="R69" s="216"/>
      <c r="S69" s="325" t="s">
        <v>260</v>
      </c>
      <c r="T69" s="328"/>
      <c r="U69" s="299" t="s">
        <v>298</v>
      </c>
      <c r="V69" s="316" t="s">
        <v>302</v>
      </c>
      <c r="W69"/>
      <c r="X69"/>
      <c r="Y69"/>
      <c r="Z69"/>
      <c r="AA69"/>
    </row>
    <row r="70" spans="1:27" s="341" customFormat="1" ht="13.5" thickBot="1">
      <c r="A70" s="103" t="s">
        <v>118</v>
      </c>
      <c r="B70" s="103"/>
      <c r="C70" s="103"/>
      <c r="D70" s="103"/>
      <c r="E70" s="13"/>
      <c r="F70" s="90"/>
      <c r="G70" s="90"/>
      <c r="H70" s="13"/>
      <c r="I70" s="13"/>
      <c r="J70" s="13"/>
      <c r="K70" s="13"/>
      <c r="L70" s="13"/>
      <c r="M70" s="353"/>
      <c r="N70" s="13"/>
      <c r="O70" s="13"/>
      <c r="P70" s="13"/>
      <c r="Q70" s="13"/>
      <c r="S70" s="408"/>
      <c r="T70" s="409"/>
      <c r="U70" s="410"/>
      <c r="V70" s="411"/>
      <c r="W70" s="119"/>
      <c r="X70" s="119"/>
      <c r="Y70" s="119"/>
      <c r="Z70" s="119"/>
      <c r="AA70" s="119"/>
    </row>
    <row r="71" spans="1:27" s="2" customFormat="1" ht="12.75">
      <c r="A71" s="127" t="s">
        <v>119</v>
      </c>
      <c r="B71" s="128"/>
      <c r="C71" s="128"/>
      <c r="D71" s="115"/>
      <c r="E71" s="129" t="s">
        <v>83</v>
      </c>
      <c r="F71" s="130">
        <f>10*LOG(1/(1/(10^(F36/10))+1/(10^(F69/10))))</f>
        <v>77.1407952613819</v>
      </c>
      <c r="G71" s="131">
        <f>10*LOG(1/(1/(10^(G36/10))+1/(10^(G69/10))))</f>
        <v>78.9701875107551</v>
      </c>
      <c r="H71" s="132"/>
      <c r="I71" s="133">
        <f>10*LOG(1/(1/(10^(I36/10))+1/(10^(I69/10))))</f>
        <v>80.76167791980185</v>
      </c>
      <c r="J71" s="134"/>
      <c r="K71" s="134"/>
      <c r="L71" s="133">
        <f>10*LOG(1/(1/(10^(L36/10))+1/(10^(L69/10))))</f>
        <v>80.27414276011633</v>
      </c>
      <c r="M71" s="358">
        <f>(P71/O71)^2</f>
        <v>0.28811593837532795</v>
      </c>
      <c r="N71" s="135"/>
      <c r="O71" s="136">
        <f>O36+O69</f>
        <v>9.388273304858625E-09</v>
      </c>
      <c r="P71" s="136">
        <f>P36+P69</f>
        <v>5.039290164006443E-09</v>
      </c>
      <c r="Q71" s="129" t="s">
        <v>32</v>
      </c>
      <c r="R71" s="137" t="s">
        <v>120</v>
      </c>
      <c r="S71" s="326" t="s">
        <v>261</v>
      </c>
      <c r="T71" s="308"/>
      <c r="U71" s="327" t="s">
        <v>299</v>
      </c>
      <c r="V71" s="324" t="s">
        <v>288</v>
      </c>
      <c r="W71"/>
      <c r="X71"/>
      <c r="Y71"/>
      <c r="Z71"/>
      <c r="AA71"/>
    </row>
    <row r="72" spans="1:27" s="2" customFormat="1" ht="12.75">
      <c r="A72" s="116" t="s">
        <v>18</v>
      </c>
      <c r="B72" s="106"/>
      <c r="C72" s="106"/>
      <c r="D72" s="104"/>
      <c r="E72" s="120" t="s">
        <v>121</v>
      </c>
      <c r="F72" s="121">
        <f>10*LOG(2.11)+60</f>
        <v>63.24282455297693</v>
      </c>
      <c r="G72" s="121">
        <f>10*LOG(G5)+60</f>
        <v>63.754807146185726</v>
      </c>
      <c r="H72" s="122"/>
      <c r="I72" s="123">
        <f>10*LOG(I5)+60</f>
        <v>63.754807146185726</v>
      </c>
      <c r="J72" s="124"/>
      <c r="K72" s="124"/>
      <c r="L72" s="125">
        <f>I72</f>
        <v>63.754807146185726</v>
      </c>
      <c r="M72" s="403">
        <v>0</v>
      </c>
      <c r="N72" s="126"/>
      <c r="O72" s="126"/>
      <c r="P72" s="126"/>
      <c r="Q72" s="126" t="s">
        <v>80</v>
      </c>
      <c r="R72" s="24"/>
      <c r="S72" s="297" t="s">
        <v>262</v>
      </c>
      <c r="T72" s="309" t="s">
        <v>265</v>
      </c>
      <c r="U72" s="330" t="s">
        <v>303</v>
      </c>
      <c r="V72" s="313" t="s">
        <v>302</v>
      </c>
      <c r="W72"/>
      <c r="X72"/>
      <c r="Y72"/>
      <c r="Z72"/>
      <c r="AA72"/>
    </row>
    <row r="73" spans="1:27" s="2" customFormat="1" ht="13.5" thickBot="1">
      <c r="A73" s="138" t="s">
        <v>122</v>
      </c>
      <c r="B73" s="139"/>
      <c r="C73" s="139"/>
      <c r="D73" s="140"/>
      <c r="E73" s="36" t="s">
        <v>27</v>
      </c>
      <c r="F73" s="42">
        <f>F71-F72</f>
        <v>13.89797070840497</v>
      </c>
      <c r="G73" s="42">
        <f>G71-G72</f>
        <v>15.21538036456937</v>
      </c>
      <c r="H73" s="22"/>
      <c r="I73" s="43">
        <f>I71-I72</f>
        <v>17.00687077361613</v>
      </c>
      <c r="J73" s="23"/>
      <c r="K73" s="23"/>
      <c r="L73" s="44">
        <f>L71-L72</f>
        <v>16.519335613930608</v>
      </c>
      <c r="M73" s="355">
        <f>M71+M72</f>
        <v>0.28811593837532795</v>
      </c>
      <c r="N73" s="44"/>
      <c r="O73" s="44"/>
      <c r="P73" s="44"/>
      <c r="Q73" s="20" t="s">
        <v>32</v>
      </c>
      <c r="R73" s="216"/>
      <c r="S73" s="325" t="s">
        <v>263</v>
      </c>
      <c r="T73" s="328"/>
      <c r="U73" s="299" t="s">
        <v>300</v>
      </c>
      <c r="V73" s="316" t="s">
        <v>302</v>
      </c>
      <c r="W73"/>
      <c r="X73"/>
      <c r="Y73"/>
      <c r="Z73"/>
      <c r="AA73"/>
    </row>
    <row r="74" spans="1:27" s="341" customFormat="1" ht="13.5" thickBot="1">
      <c r="A74" s="103" t="s">
        <v>123</v>
      </c>
      <c r="B74" s="103"/>
      <c r="C74" s="103"/>
      <c r="D74" s="103"/>
      <c r="E74" s="13"/>
      <c r="F74" s="90"/>
      <c r="G74" s="90"/>
      <c r="H74" s="13"/>
      <c r="I74" s="13"/>
      <c r="J74" s="13"/>
      <c r="K74" s="13"/>
      <c r="L74" s="13"/>
      <c r="M74" s="353"/>
      <c r="N74" s="13"/>
      <c r="O74" s="13"/>
      <c r="P74" s="13"/>
      <c r="Q74" s="13"/>
      <c r="S74" s="408"/>
      <c r="T74" s="409"/>
      <c r="U74" s="410"/>
      <c r="V74" s="411"/>
      <c r="W74" s="119"/>
      <c r="X74" s="119"/>
      <c r="Y74" s="119"/>
      <c r="Z74" s="119"/>
      <c r="AA74" s="119"/>
    </row>
    <row r="75" spans="1:27" s="2" customFormat="1" ht="12.75">
      <c r="A75" s="127"/>
      <c r="B75" s="128" t="s">
        <v>124</v>
      </c>
      <c r="C75" s="128"/>
      <c r="D75" s="115"/>
      <c r="E75" s="20"/>
      <c r="F75" s="54">
        <v>1E-06</v>
      </c>
      <c r="G75" s="54">
        <v>1E-06</v>
      </c>
      <c r="H75" s="22"/>
      <c r="I75" s="526">
        <f>G75</f>
        <v>1E-06</v>
      </c>
      <c r="J75" s="23"/>
      <c r="K75" s="23"/>
      <c r="L75" s="23"/>
      <c r="M75" s="352"/>
      <c r="N75" s="23"/>
      <c r="O75" s="23"/>
      <c r="P75" s="23"/>
      <c r="Q75" s="23"/>
      <c r="R75" s="137"/>
      <c r="S75" s="332"/>
      <c r="T75" s="306" t="s">
        <v>265</v>
      </c>
      <c r="U75" s="307"/>
      <c r="V75" s="308"/>
      <c r="W75"/>
      <c r="X75"/>
      <c r="Y75"/>
      <c r="Z75"/>
      <c r="AA75"/>
    </row>
    <row r="76" spans="1:27" s="2" customFormat="1" ht="12.75">
      <c r="A76" s="116" t="s">
        <v>125</v>
      </c>
      <c r="B76" s="106"/>
      <c r="C76" s="106"/>
      <c r="D76" s="104"/>
      <c r="E76" s="20" t="s">
        <v>27</v>
      </c>
      <c r="F76" s="94">
        <v>10.8</v>
      </c>
      <c r="G76" s="94">
        <v>10.8</v>
      </c>
      <c r="H76" s="22"/>
      <c r="I76" s="524">
        <f>G76</f>
        <v>10.8</v>
      </c>
      <c r="J76" s="26">
        <v>0</v>
      </c>
      <c r="K76" s="26">
        <v>0</v>
      </c>
      <c r="L76" s="20">
        <f>I76</f>
        <v>10.8</v>
      </c>
      <c r="M76" s="352"/>
      <c r="N76" s="23"/>
      <c r="O76" s="23"/>
      <c r="P76" s="23"/>
      <c r="Q76" s="23"/>
      <c r="R76" s="24" t="s">
        <v>126</v>
      </c>
      <c r="S76" s="319"/>
      <c r="T76" s="311"/>
      <c r="U76" s="310"/>
      <c r="V76" s="311"/>
      <c r="W76"/>
      <c r="X76"/>
      <c r="Y76"/>
      <c r="Z76"/>
      <c r="AA76"/>
    </row>
    <row r="77" spans="1:27" s="2" customFormat="1" ht="12.75">
      <c r="A77" s="116" t="s">
        <v>127</v>
      </c>
      <c r="B77" s="106"/>
      <c r="C77" s="106"/>
      <c r="D77" s="104"/>
      <c r="E77" s="20" t="s">
        <v>27</v>
      </c>
      <c r="F77" s="51">
        <v>0.6</v>
      </c>
      <c r="G77" s="51">
        <v>2.3</v>
      </c>
      <c r="H77" s="538" t="str">
        <f>IF(J77=-K77,CONCATENATE("±",TEXT(ABS(J77),"0.0##")),CONCATENATE(TEXT(J77,"+0.0##;-0.0##"),"/",TEXT(K77,"+0.0##;-0.0##")))</f>
        <v>±0.25</v>
      </c>
      <c r="I77" s="52">
        <v>2.3</v>
      </c>
      <c r="J77" s="26">
        <v>-0.25</v>
      </c>
      <c r="K77" s="26">
        <v>0.25</v>
      </c>
      <c r="L77" s="20">
        <f>I77+((J77+K77)/2)</f>
        <v>2.3</v>
      </c>
      <c r="M77" s="53">
        <f>((J77-K77)^2)/12</f>
        <v>0.020833333333333332</v>
      </c>
      <c r="N77" s="53"/>
      <c r="O77" s="53"/>
      <c r="P77" s="53"/>
      <c r="Q77" s="20" t="s">
        <v>39</v>
      </c>
      <c r="R77" s="24"/>
      <c r="S77" s="319"/>
      <c r="T77" s="309" t="s">
        <v>265</v>
      </c>
      <c r="U77" s="312" t="s">
        <v>291</v>
      </c>
      <c r="V77" s="313" t="s">
        <v>324</v>
      </c>
      <c r="W77"/>
      <c r="X77"/>
      <c r="Y77"/>
      <c r="Z77"/>
      <c r="AA77"/>
    </row>
    <row r="78" spans="1:27" s="2" customFormat="1" ht="12.75">
      <c r="A78" s="116"/>
      <c r="B78" s="106" t="s">
        <v>128</v>
      </c>
      <c r="C78" s="106"/>
      <c r="D78" s="104"/>
      <c r="E78" s="20" t="s">
        <v>27</v>
      </c>
      <c r="F78" s="51"/>
      <c r="G78" s="51"/>
      <c r="H78" s="25"/>
      <c r="I78" s="37"/>
      <c r="J78" s="38"/>
      <c r="K78" s="38"/>
      <c r="L78" s="38"/>
      <c r="M78" s="352"/>
      <c r="N78" s="38"/>
      <c r="O78" s="38"/>
      <c r="P78" s="38"/>
      <c r="Q78" s="38"/>
      <c r="R78" s="24"/>
      <c r="S78" s="319"/>
      <c r="T78" s="311"/>
      <c r="U78" s="318"/>
      <c r="V78" s="311"/>
      <c r="W78"/>
      <c r="X78"/>
      <c r="Y78"/>
      <c r="Z78"/>
      <c r="AA78"/>
    </row>
    <row r="79" spans="1:27" s="2" customFormat="1" ht="12.75">
      <c r="A79" s="116"/>
      <c r="B79" s="106" t="s">
        <v>243</v>
      </c>
      <c r="D79" s="104"/>
      <c r="E79" s="20" t="s">
        <v>27</v>
      </c>
      <c r="F79" s="51"/>
      <c r="G79" s="51">
        <v>0.05</v>
      </c>
      <c r="H79" s="25"/>
      <c r="I79" s="37"/>
      <c r="J79" s="38"/>
      <c r="K79" s="38"/>
      <c r="L79" s="38"/>
      <c r="M79" s="352"/>
      <c r="N79" s="38"/>
      <c r="O79" s="38"/>
      <c r="P79" s="38"/>
      <c r="Q79" s="38"/>
      <c r="R79" s="24"/>
      <c r="S79" s="319"/>
      <c r="T79" s="311"/>
      <c r="U79" s="318"/>
      <c r="V79" s="311"/>
      <c r="W79"/>
      <c r="X79"/>
      <c r="Y79"/>
      <c r="Z79"/>
      <c r="AA79"/>
    </row>
    <row r="80" spans="1:27" s="2" customFormat="1" ht="12.75">
      <c r="A80" s="116"/>
      <c r="B80" s="106" t="s">
        <v>129</v>
      </c>
      <c r="C80" s="106"/>
      <c r="D80" s="104"/>
      <c r="E80" s="20" t="s">
        <v>27</v>
      </c>
      <c r="F80" s="51"/>
      <c r="G80" s="51">
        <f>SUM(G81:G83)</f>
        <v>0.312</v>
      </c>
      <c r="H80" s="25"/>
      <c r="I80" s="37"/>
      <c r="J80" s="38"/>
      <c r="K80" s="38"/>
      <c r="L80" s="38"/>
      <c r="M80" s="352"/>
      <c r="N80" s="38"/>
      <c r="O80" s="38"/>
      <c r="P80" s="38"/>
      <c r="Q80" s="38"/>
      <c r="R80" s="24"/>
      <c r="S80" s="319"/>
      <c r="T80" s="311"/>
      <c r="U80" s="318"/>
      <c r="V80" s="311"/>
      <c r="W80"/>
      <c r="X80"/>
      <c r="Y80"/>
      <c r="Z80"/>
      <c r="AA80"/>
    </row>
    <row r="81" spans="1:27" s="2" customFormat="1" ht="12.75">
      <c r="A81" s="116"/>
      <c r="B81" s="106"/>
      <c r="C81" s="106" t="s">
        <v>130</v>
      </c>
      <c r="D81" s="104"/>
      <c r="E81" s="20" t="s">
        <v>27</v>
      </c>
      <c r="F81" s="51"/>
      <c r="G81" s="51">
        <v>0.3</v>
      </c>
      <c r="H81" s="25"/>
      <c r="I81" s="37"/>
      <c r="J81" s="38"/>
      <c r="K81" s="38"/>
      <c r="L81" s="38"/>
      <c r="M81" s="352"/>
      <c r="N81" s="38"/>
      <c r="O81" s="38"/>
      <c r="P81" s="38"/>
      <c r="Q81" s="38"/>
      <c r="R81" s="24"/>
      <c r="S81" s="319"/>
      <c r="T81" s="311"/>
      <c r="U81" s="318"/>
      <c r="V81" s="311"/>
      <c r="W81"/>
      <c r="X81"/>
      <c r="Y81"/>
      <c r="Z81"/>
      <c r="AA81"/>
    </row>
    <row r="82" spans="1:27" s="2" customFormat="1" ht="12.75">
      <c r="A82" s="116"/>
      <c r="B82" s="106"/>
      <c r="C82" s="106" t="s">
        <v>131</v>
      </c>
      <c r="D82" s="104"/>
      <c r="E82" s="20" t="s">
        <v>27</v>
      </c>
      <c r="F82" s="51"/>
      <c r="G82" s="51"/>
      <c r="H82" s="25"/>
      <c r="I82" s="37"/>
      <c r="J82" s="38"/>
      <c r="K82" s="38"/>
      <c r="L82" s="38"/>
      <c r="M82" s="352"/>
      <c r="N82" s="38"/>
      <c r="O82" s="38"/>
      <c r="P82" s="38"/>
      <c r="Q82" s="38"/>
      <c r="R82" s="24"/>
      <c r="S82" s="319"/>
      <c r="T82" s="311"/>
      <c r="U82" s="318"/>
      <c r="V82" s="311"/>
      <c r="W82"/>
      <c r="X82"/>
      <c r="Y82"/>
      <c r="Z82"/>
      <c r="AA82"/>
    </row>
    <row r="83" spans="1:27" s="2" customFormat="1" ht="12.75">
      <c r="A83" s="116"/>
      <c r="B83" s="106"/>
      <c r="C83" s="106" t="s">
        <v>132</v>
      </c>
      <c r="D83" s="104"/>
      <c r="E83" s="20" t="s">
        <v>27</v>
      </c>
      <c r="F83" s="51"/>
      <c r="G83" s="51">
        <v>0.012</v>
      </c>
      <c r="H83" s="25"/>
      <c r="I83" s="37"/>
      <c r="J83" s="38"/>
      <c r="K83" s="38"/>
      <c r="L83" s="38"/>
      <c r="M83" s="352"/>
      <c r="N83" s="38"/>
      <c r="O83" s="38"/>
      <c r="P83" s="38"/>
      <c r="Q83" s="38"/>
      <c r="R83" s="24"/>
      <c r="S83" s="319"/>
      <c r="T83" s="311"/>
      <c r="U83" s="318"/>
      <c r="V83" s="311"/>
      <c r="W83"/>
      <c r="X83"/>
      <c r="Y83"/>
      <c r="Z83"/>
      <c r="AA83"/>
    </row>
    <row r="84" spans="1:27" s="2" customFormat="1" ht="12.75">
      <c r="A84" s="116" t="s">
        <v>133</v>
      </c>
      <c r="B84" s="106"/>
      <c r="C84" s="106"/>
      <c r="D84" s="104"/>
      <c r="E84" s="20" t="s">
        <v>27</v>
      </c>
      <c r="F84" s="51">
        <v>1.8</v>
      </c>
      <c r="G84" s="92">
        <f>SUM(G85:G89)</f>
        <v>0.9308033000000001</v>
      </c>
      <c r="H84" s="25" t="s">
        <v>134</v>
      </c>
      <c r="I84" s="525">
        <f>G84*0.9</f>
        <v>0.8377229700000001</v>
      </c>
      <c r="J84" s="99">
        <f>-G84*0.1</f>
        <v>-0.09308033000000002</v>
      </c>
      <c r="K84" s="99">
        <f>G84*0.1</f>
        <v>0.09308033000000002</v>
      </c>
      <c r="L84" s="40">
        <f>I84+((J84+K84)/3)</f>
        <v>0.8377229700000001</v>
      </c>
      <c r="M84" s="53">
        <f>(J84^2+K84^2-(K84*J84))/18</f>
        <v>0.0014439913054848173</v>
      </c>
      <c r="N84" s="20"/>
      <c r="O84" s="20"/>
      <c r="P84" s="20"/>
      <c r="Q84" s="20" t="s">
        <v>36</v>
      </c>
      <c r="R84" s="24"/>
      <c r="S84" s="319"/>
      <c r="T84" s="309" t="s">
        <v>135</v>
      </c>
      <c r="U84" s="312" t="s">
        <v>290</v>
      </c>
      <c r="V84" s="313" t="s">
        <v>324</v>
      </c>
      <c r="W84"/>
      <c r="X84"/>
      <c r="Y84"/>
      <c r="Z84"/>
      <c r="AA84"/>
    </row>
    <row r="85" spans="1:27" s="2" customFormat="1" ht="12.75">
      <c r="A85" s="116"/>
      <c r="B85" s="106"/>
      <c r="C85" s="106" t="s">
        <v>130</v>
      </c>
      <c r="D85" s="104"/>
      <c r="E85" s="20" t="s">
        <v>27</v>
      </c>
      <c r="F85" s="51"/>
      <c r="G85" s="51">
        <v>0.78</v>
      </c>
      <c r="H85" s="25"/>
      <c r="I85" s="37"/>
      <c r="J85" s="38"/>
      <c r="K85" s="38"/>
      <c r="L85" s="38"/>
      <c r="M85" s="352"/>
      <c r="N85" s="38"/>
      <c r="O85" s="38"/>
      <c r="P85" s="38"/>
      <c r="Q85" s="38"/>
      <c r="R85" s="24"/>
      <c r="S85" s="319"/>
      <c r="T85" s="313" t="s">
        <v>289</v>
      </c>
      <c r="U85" s="318"/>
      <c r="V85" s="311"/>
      <c r="W85"/>
      <c r="X85"/>
      <c r="Y85"/>
      <c r="Z85"/>
      <c r="AA85"/>
    </row>
    <row r="86" spans="1:27" s="2" customFormat="1" ht="12.75">
      <c r="A86" s="116"/>
      <c r="B86" s="106"/>
      <c r="C86" s="106" t="s">
        <v>136</v>
      </c>
      <c r="D86" s="104"/>
      <c r="E86" s="20" t="s">
        <v>27</v>
      </c>
      <c r="F86" s="95"/>
      <c r="G86" s="95">
        <v>3.3E-06</v>
      </c>
      <c r="H86" s="25"/>
      <c r="I86" s="37"/>
      <c r="J86" s="38"/>
      <c r="K86" s="38"/>
      <c r="L86" s="38"/>
      <c r="M86" s="352"/>
      <c r="N86" s="38"/>
      <c r="O86" s="38"/>
      <c r="P86" s="38"/>
      <c r="Q86" s="38"/>
      <c r="R86" s="24"/>
      <c r="S86" s="319"/>
      <c r="T86" s="313" t="s">
        <v>289</v>
      </c>
      <c r="U86" s="318"/>
      <c r="V86" s="311"/>
      <c r="W86"/>
      <c r="X86"/>
      <c r="Y86"/>
      <c r="Z86"/>
      <c r="AA86"/>
    </row>
    <row r="87" spans="1:27" s="2" customFormat="1" ht="12.75">
      <c r="A87" s="116"/>
      <c r="B87" s="106"/>
      <c r="C87" s="106" t="s">
        <v>137</v>
      </c>
      <c r="D87" s="104"/>
      <c r="E87" s="20" t="s">
        <v>27</v>
      </c>
      <c r="F87" s="51"/>
      <c r="G87" s="51">
        <v>0.0008</v>
      </c>
      <c r="H87" s="25"/>
      <c r="I87" s="37"/>
      <c r="J87" s="38"/>
      <c r="K87" s="38"/>
      <c r="L87" s="38"/>
      <c r="M87" s="352"/>
      <c r="N87" s="38"/>
      <c r="O87" s="38"/>
      <c r="P87" s="38"/>
      <c r="Q87" s="38"/>
      <c r="R87" s="24"/>
      <c r="S87" s="319"/>
      <c r="T87" s="313" t="s">
        <v>289</v>
      </c>
      <c r="U87" s="318"/>
      <c r="V87" s="311"/>
      <c r="W87"/>
      <c r="X87"/>
      <c r="Y87"/>
      <c r="Z87"/>
      <c r="AA87"/>
    </row>
    <row r="88" spans="1:27" s="2" customFormat="1" ht="12.75">
      <c r="A88" s="116"/>
      <c r="B88" s="106"/>
      <c r="C88" s="106" t="s">
        <v>138</v>
      </c>
      <c r="D88" s="104"/>
      <c r="E88" s="20" t="s">
        <v>27</v>
      </c>
      <c r="F88" s="51"/>
      <c r="G88" s="51">
        <v>0.05</v>
      </c>
      <c r="H88" s="25"/>
      <c r="I88" s="37"/>
      <c r="J88" s="38"/>
      <c r="K88" s="38"/>
      <c r="L88" s="38"/>
      <c r="M88" s="352"/>
      <c r="N88" s="38"/>
      <c r="O88" s="38"/>
      <c r="P88" s="38"/>
      <c r="Q88" s="38"/>
      <c r="R88" s="24"/>
      <c r="S88" s="319"/>
      <c r="T88" s="313" t="s">
        <v>275</v>
      </c>
      <c r="U88" s="318"/>
      <c r="V88" s="311"/>
      <c r="W88"/>
      <c r="X88"/>
      <c r="Y88"/>
      <c r="Z88"/>
      <c r="AA88"/>
    </row>
    <row r="89" spans="1:27" s="2" customFormat="1" ht="12.75">
      <c r="A89" s="276"/>
      <c r="B89" s="277"/>
      <c r="C89" s="277" t="s">
        <v>248</v>
      </c>
      <c r="D89" s="278"/>
      <c r="E89" s="20" t="s">
        <v>27</v>
      </c>
      <c r="F89" s="283"/>
      <c r="G89" s="283">
        <v>0.1</v>
      </c>
      <c r="H89" s="280"/>
      <c r="I89" s="281"/>
      <c r="J89" s="238"/>
      <c r="K89" s="238"/>
      <c r="L89" s="38"/>
      <c r="M89" s="352"/>
      <c r="N89" s="38"/>
      <c r="O89" s="38"/>
      <c r="P89" s="38"/>
      <c r="Q89" s="38"/>
      <c r="R89" s="24"/>
      <c r="S89" s="319"/>
      <c r="T89" s="342" t="s">
        <v>306</v>
      </c>
      <c r="U89" s="318"/>
      <c r="V89" s="311"/>
      <c r="W89"/>
      <c r="X89"/>
      <c r="Y89"/>
      <c r="Z89"/>
      <c r="AA89"/>
    </row>
    <row r="90" spans="1:27" s="2" customFormat="1" ht="13.5" thickBot="1">
      <c r="A90" s="138" t="s">
        <v>139</v>
      </c>
      <c r="B90" s="139"/>
      <c r="C90" s="139"/>
      <c r="D90" s="140"/>
      <c r="E90" s="20" t="s">
        <v>27</v>
      </c>
      <c r="F90" s="79">
        <f>F76+F77+F84</f>
        <v>13.200000000000001</v>
      </c>
      <c r="G90" s="79">
        <f>G76+G77+G84</f>
        <v>14.030803300000002</v>
      </c>
      <c r="H90" s="55"/>
      <c r="I90" s="56">
        <f>I76+I77+I84</f>
        <v>13.937722970000001</v>
      </c>
      <c r="J90" s="57"/>
      <c r="K90" s="57"/>
      <c r="L90" s="42">
        <f>L76+L77+L84</f>
        <v>13.937722970000001</v>
      </c>
      <c r="M90" s="352"/>
      <c r="N90" s="23"/>
      <c r="O90" s="23"/>
      <c r="P90" s="23"/>
      <c r="Q90" s="23"/>
      <c r="R90" s="216"/>
      <c r="S90" s="325" t="s">
        <v>542</v>
      </c>
      <c r="T90" s="328"/>
      <c r="U90" s="329"/>
      <c r="V90" s="328"/>
      <c r="W90"/>
      <c r="X90"/>
      <c r="Y90"/>
      <c r="Z90"/>
      <c r="AA90"/>
    </row>
    <row r="91" spans="1:22" s="12" customFormat="1" ht="26.25" thickBot="1">
      <c r="A91" s="762" t="s">
        <v>140</v>
      </c>
      <c r="B91" s="763"/>
      <c r="C91" s="763"/>
      <c r="D91" s="764"/>
      <c r="E91" s="491" t="s">
        <v>27</v>
      </c>
      <c r="F91" s="492">
        <f>F73-F90</f>
        <v>0.6979707084049682</v>
      </c>
      <c r="G91" s="492">
        <f>G73-G90</f>
        <v>1.1845770645693676</v>
      </c>
      <c r="H91" s="493"/>
      <c r="I91" s="494">
        <f>I73-I90</f>
        <v>3.0691478036161275</v>
      </c>
      <c r="J91" s="495"/>
      <c r="K91" s="495"/>
      <c r="L91" s="496">
        <f>L73-L90</f>
        <v>2.5816126439306064</v>
      </c>
      <c r="M91" s="542">
        <f>M73+M77+M84</f>
        <v>0.3103932630141461</v>
      </c>
      <c r="N91" s="497"/>
      <c r="O91" s="497"/>
      <c r="P91" s="497"/>
      <c r="Q91" s="498" t="s">
        <v>32</v>
      </c>
      <c r="R91" s="499"/>
      <c r="S91" s="484" t="s">
        <v>264</v>
      </c>
      <c r="T91" s="500"/>
      <c r="U91" s="484" t="s">
        <v>543</v>
      </c>
      <c r="V91" s="501" t="s">
        <v>302</v>
      </c>
    </row>
    <row r="92" spans="1:22" ht="13.5" thickBot="1">
      <c r="A92" s="98"/>
      <c r="B92" s="108"/>
      <c r="C92" s="108"/>
      <c r="D92" s="108" t="s">
        <v>141</v>
      </c>
      <c r="E92" s="270" t="s">
        <v>27</v>
      </c>
      <c r="F92" s="275"/>
      <c r="G92" s="274">
        <f>G73-F90</f>
        <v>2.015380364569369</v>
      </c>
      <c r="L92" s="64" t="s">
        <v>142</v>
      </c>
      <c r="M92" s="65">
        <f>SQRT(M91)</f>
        <v>0.5571294849621101</v>
      </c>
      <c r="N92" s="86"/>
      <c r="O92" s="86"/>
      <c r="P92" s="86"/>
      <c r="Q92" s="66" t="s">
        <v>27</v>
      </c>
      <c r="S92" s="319"/>
      <c r="T92" s="311"/>
      <c r="U92" s="318"/>
      <c r="V92" s="311"/>
    </row>
    <row r="93" spans="1:22" ht="13.5" thickBot="1">
      <c r="A93" s="648" t="s">
        <v>802</v>
      </c>
      <c r="B93" s="649"/>
      <c r="C93" s="649"/>
      <c r="D93" s="649"/>
      <c r="E93" s="592" t="s">
        <v>27</v>
      </c>
      <c r="F93" s="593"/>
      <c r="G93" s="593">
        <v>1</v>
      </c>
      <c r="H93" s="594"/>
      <c r="I93" s="595">
        <v>1</v>
      </c>
      <c r="L93" s="64" t="s">
        <v>143</v>
      </c>
      <c r="M93" s="67">
        <f>2*M92</f>
        <v>1.1142589699242202</v>
      </c>
      <c r="N93" s="68"/>
      <c r="O93" s="68"/>
      <c r="P93" s="68"/>
      <c r="Q93" s="66" t="s">
        <v>27</v>
      </c>
      <c r="U93" s="286"/>
      <c r="V93"/>
    </row>
    <row r="94" spans="1:22" ht="13.5" thickBot="1">
      <c r="A94" s="648" t="s">
        <v>813</v>
      </c>
      <c r="B94" s="650"/>
      <c r="C94" s="650"/>
      <c r="D94" s="650"/>
      <c r="E94" s="592" t="s">
        <v>27</v>
      </c>
      <c r="F94" s="593"/>
      <c r="G94" s="593"/>
      <c r="H94" s="594"/>
      <c r="I94" s="596">
        <f>I91-I93</f>
        <v>2.0691478036161275</v>
      </c>
      <c r="L94" s="64"/>
      <c r="M94" s="68"/>
      <c r="N94" s="68"/>
      <c r="O94" s="68"/>
      <c r="P94" s="68"/>
      <c r="Q94" s="66"/>
      <c r="U94" s="286"/>
      <c r="V94"/>
    </row>
    <row r="95" spans="1:22" ht="13.5" thickBot="1">
      <c r="A95" s="569"/>
      <c r="B95" s="287"/>
      <c r="C95" s="287"/>
      <c r="D95" s="287"/>
      <c r="E95" s="633"/>
      <c r="F95" s="634"/>
      <c r="G95" s="634"/>
      <c r="H95" s="288"/>
      <c r="I95" s="635"/>
      <c r="L95" s="64"/>
      <c r="M95" s="68"/>
      <c r="N95" s="68"/>
      <c r="O95" s="68"/>
      <c r="P95" s="68"/>
      <c r="Q95" s="66"/>
      <c r="U95" s="286"/>
      <c r="V95"/>
    </row>
    <row r="96" spans="1:22" ht="13.5" thickBot="1">
      <c r="A96" s="658" t="s">
        <v>884</v>
      </c>
      <c r="B96" s="654"/>
      <c r="C96" s="654"/>
      <c r="D96" s="654"/>
      <c r="E96" s="655" t="s">
        <v>27</v>
      </c>
      <c r="F96" s="656"/>
      <c r="G96" s="659">
        <f>G77+G84+G93</f>
        <v>4.2308033</v>
      </c>
      <c r="H96" s="657"/>
      <c r="I96" s="659">
        <f>I77+I84+I93</f>
        <v>4.1377229700000004</v>
      </c>
      <c r="L96" s="64"/>
      <c r="M96" s="68"/>
      <c r="N96" s="68"/>
      <c r="O96" s="68"/>
      <c r="P96" s="68"/>
      <c r="Q96" s="66"/>
      <c r="U96" s="286"/>
      <c r="V96"/>
    </row>
    <row r="97" spans="6:22" ht="12.75">
      <c r="F97" s="63"/>
      <c r="G97" s="63"/>
      <c r="H97" s="180" t="s">
        <v>144</v>
      </c>
      <c r="L97" s="64"/>
      <c r="M97" s="68"/>
      <c r="N97" s="68"/>
      <c r="O97" s="68"/>
      <c r="P97" s="68"/>
      <c r="Q97" s="66"/>
      <c r="U97" s="286"/>
      <c r="V97"/>
    </row>
    <row r="98" spans="1:22" ht="12.75">
      <c r="A98" s="181"/>
      <c r="B98" s="181"/>
      <c r="C98" s="181"/>
      <c r="D98" s="181"/>
      <c r="F98" s="63"/>
      <c r="G98" s="180" t="s">
        <v>145</v>
      </c>
      <c r="H98" s="180" t="s">
        <v>146</v>
      </c>
      <c r="I98" s="180" t="s">
        <v>147</v>
      </c>
      <c r="J98" s="69"/>
      <c r="L98" s="64"/>
      <c r="M98" s="68"/>
      <c r="N98" s="68"/>
      <c r="O98" s="68"/>
      <c r="P98" s="68"/>
      <c r="Q98" s="66"/>
      <c r="U98" s="286"/>
      <c r="V98"/>
    </row>
    <row r="99" spans="1:22" ht="13.5" thickBot="1">
      <c r="A99" s="181"/>
      <c r="B99" s="181"/>
      <c r="C99" s="181"/>
      <c r="D99" s="181"/>
      <c r="E99" s="180"/>
      <c r="F99" s="63"/>
      <c r="G99" s="180" t="s">
        <v>148</v>
      </c>
      <c r="H99" s="180" t="s">
        <v>148</v>
      </c>
      <c r="I99" s="180" t="s">
        <v>148</v>
      </c>
      <c r="J99" s="284"/>
      <c r="L99" s="64"/>
      <c r="M99" s="68"/>
      <c r="N99" s="68"/>
      <c r="O99" s="68"/>
      <c r="P99" s="68"/>
      <c r="Q99" s="66"/>
      <c r="U99" s="286"/>
      <c r="V99"/>
    </row>
    <row r="100" spans="1:22" ht="12.75">
      <c r="A100" s="182" t="s">
        <v>149</v>
      </c>
      <c r="B100" s="183"/>
      <c r="C100" s="183"/>
      <c r="D100" s="183"/>
      <c r="E100" s="184" t="s">
        <v>27</v>
      </c>
      <c r="F100" s="63"/>
      <c r="G100" s="133">
        <f>I94+M93</f>
        <v>3.183406773540348</v>
      </c>
      <c r="H100" s="185">
        <v>2</v>
      </c>
      <c r="I100" s="186">
        <f>G100-H100</f>
        <v>1.183406773540348</v>
      </c>
      <c r="L100" s="64"/>
      <c r="M100" s="68"/>
      <c r="N100" s="68"/>
      <c r="O100" s="68"/>
      <c r="P100" s="68"/>
      <c r="Q100" s="66"/>
      <c r="R100" s="119"/>
      <c r="S100" s="451"/>
      <c r="T100" s="306" t="s">
        <v>268</v>
      </c>
      <c r="U100" s="454"/>
      <c r="V100" s="363"/>
    </row>
    <row r="101" spans="1:22" ht="12.75">
      <c r="A101" s="187" t="s">
        <v>150</v>
      </c>
      <c r="B101" s="188"/>
      <c r="C101" s="188"/>
      <c r="D101" s="188"/>
      <c r="E101" s="189" t="s">
        <v>27</v>
      </c>
      <c r="F101" s="63"/>
      <c r="G101" s="597">
        <f>I94</f>
        <v>2.0691478036161275</v>
      </c>
      <c r="H101" s="190">
        <v>1</v>
      </c>
      <c r="I101" s="191">
        <f>G101-H101</f>
        <v>1.0691478036161275</v>
      </c>
      <c r="K101"/>
      <c r="L101"/>
      <c r="M101"/>
      <c r="N101"/>
      <c r="O101"/>
      <c r="P101"/>
      <c r="Q101"/>
      <c r="R101" s="341"/>
      <c r="S101" s="452"/>
      <c r="T101" s="309" t="s">
        <v>268</v>
      </c>
      <c r="U101" s="418"/>
      <c r="V101" s="364"/>
    </row>
    <row r="102" spans="1:22" ht="13.5" thickBot="1">
      <c r="A102" s="192" t="s">
        <v>151</v>
      </c>
      <c r="B102" s="193"/>
      <c r="C102" s="193"/>
      <c r="D102" s="193"/>
      <c r="E102" s="194" t="s">
        <v>27</v>
      </c>
      <c r="F102" s="63"/>
      <c r="G102" s="598">
        <f>I94-M93</f>
        <v>0.9548888336919072</v>
      </c>
      <c r="H102" s="195">
        <v>0</v>
      </c>
      <c r="I102" s="196">
        <f>G102-H102</f>
        <v>0.9548888336919072</v>
      </c>
      <c r="K102"/>
      <c r="L102"/>
      <c r="M102"/>
      <c r="N102"/>
      <c r="O102"/>
      <c r="P102"/>
      <c r="Q102"/>
      <c r="R102" s="119"/>
      <c r="S102" s="453"/>
      <c r="T102" s="314" t="s">
        <v>268</v>
      </c>
      <c r="U102" s="420"/>
      <c r="V102" s="361"/>
    </row>
    <row r="103" spans="6:22" ht="13.5" thickBot="1">
      <c r="F103"/>
      <c r="G103"/>
      <c r="H103" s="88"/>
      <c r="I103"/>
      <c r="J103"/>
      <c r="K103"/>
      <c r="L103"/>
      <c r="M103"/>
      <c r="N103"/>
      <c r="O103"/>
      <c r="P103"/>
      <c r="Q103"/>
      <c r="U103" s="287"/>
      <c r="V103"/>
    </row>
    <row r="104" spans="1:11" ht="12.75">
      <c r="A104" s="119"/>
      <c r="B104" s="765" t="s">
        <v>433</v>
      </c>
      <c r="C104" s="766"/>
      <c r="D104" s="766"/>
      <c r="E104" s="766"/>
      <c r="F104" s="766"/>
      <c r="G104" s="766"/>
      <c r="H104" s="766"/>
      <c r="I104" s="766"/>
      <c r="J104" s="567"/>
      <c r="K104" s="568"/>
    </row>
    <row r="105" spans="1:24" ht="12.75">
      <c r="A105" s="119"/>
      <c r="B105" s="579"/>
      <c r="C105" s="571"/>
      <c r="D105" s="570"/>
      <c r="E105" s="789" t="s">
        <v>435</v>
      </c>
      <c r="F105" s="790"/>
      <c r="G105" s="791" t="s">
        <v>801</v>
      </c>
      <c r="H105" s="792"/>
      <c r="I105" s="790" t="s">
        <v>146</v>
      </c>
      <c r="J105" s="790"/>
      <c r="K105" s="580"/>
      <c r="R105" s="63"/>
      <c r="S105" s="63"/>
      <c r="U105" s="66"/>
      <c r="V105"/>
      <c r="W105" s="288"/>
      <c r="X105" s="82"/>
    </row>
    <row r="106" spans="1:24" ht="12.75">
      <c r="A106" s="119"/>
      <c r="B106" s="572"/>
      <c r="C106" s="573"/>
      <c r="D106" s="574" t="s">
        <v>4</v>
      </c>
      <c r="E106" s="636" t="s">
        <v>431</v>
      </c>
      <c r="F106" s="637" t="s">
        <v>432</v>
      </c>
      <c r="G106" s="637" t="s">
        <v>431</v>
      </c>
      <c r="H106" s="637" t="s">
        <v>432</v>
      </c>
      <c r="I106" s="637" t="s">
        <v>431</v>
      </c>
      <c r="J106" s="637" t="s">
        <v>432</v>
      </c>
      <c r="K106" s="575" t="s">
        <v>5</v>
      </c>
      <c r="R106" s="63"/>
      <c r="S106" s="63"/>
      <c r="U106" s="66"/>
      <c r="V106"/>
      <c r="W106" s="288"/>
      <c r="X106" s="82"/>
    </row>
    <row r="107" spans="1:24" ht="12.75">
      <c r="A107" s="119"/>
      <c r="B107" s="576" t="s">
        <v>67</v>
      </c>
      <c r="C107" s="569"/>
      <c r="D107" s="569"/>
      <c r="E107" s="638">
        <f>I107+G107</f>
        <v>2.61</v>
      </c>
      <c r="F107" s="639">
        <f>J107-H107</f>
        <v>4.550000000000001</v>
      </c>
      <c r="G107" s="640">
        <v>0.06</v>
      </c>
      <c r="H107" s="640">
        <v>0.06</v>
      </c>
      <c r="I107" s="641">
        <f>I29+J29</f>
        <v>2.55</v>
      </c>
      <c r="J107" s="642">
        <f>I29+K29</f>
        <v>4.61</v>
      </c>
      <c r="K107" s="577" t="s">
        <v>27</v>
      </c>
      <c r="R107" s="63"/>
      <c r="S107" s="63"/>
      <c r="U107" s="66"/>
      <c r="V107"/>
      <c r="W107" s="288"/>
      <c r="X107" s="82"/>
    </row>
    <row r="108" spans="1:24" ht="12.75">
      <c r="A108" s="119"/>
      <c r="B108" s="576" t="s">
        <v>96</v>
      </c>
      <c r="C108" s="569"/>
      <c r="D108" s="569"/>
      <c r="E108" s="638">
        <f>I108+G108</f>
        <v>42.78737696321926</v>
      </c>
      <c r="F108" s="639">
        <f>J108-H108</f>
        <v>44.61398392378625</v>
      </c>
      <c r="G108" s="640">
        <v>0.18</v>
      </c>
      <c r="H108" s="640">
        <v>0.18</v>
      </c>
      <c r="I108" s="638">
        <f>I43+K43</f>
        <v>42.60737696321926</v>
      </c>
      <c r="J108" s="639">
        <f>I43+J43</f>
        <v>44.79398392378625</v>
      </c>
      <c r="K108" s="577" t="s">
        <v>61</v>
      </c>
      <c r="R108" s="63"/>
      <c r="S108" s="63"/>
      <c r="U108" s="66"/>
      <c r="V108"/>
      <c r="W108" s="288"/>
      <c r="X108" s="82"/>
    </row>
    <row r="109" spans="2:24" ht="13.5" thickBot="1">
      <c r="B109" s="643" t="s">
        <v>885</v>
      </c>
      <c r="C109" s="644"/>
      <c r="D109" s="644"/>
      <c r="E109" s="645">
        <f>I109+G109</f>
        <v>0</v>
      </c>
      <c r="F109" s="646">
        <f>J109-H109</f>
        <v>4.13772297</v>
      </c>
      <c r="G109" s="647">
        <v>0</v>
      </c>
      <c r="H109" s="647">
        <f>K84</f>
        <v>0.09308033000000002</v>
      </c>
      <c r="I109" s="645">
        <v>0</v>
      </c>
      <c r="J109" s="646">
        <f>G96</f>
        <v>4.2308033</v>
      </c>
      <c r="K109" s="578" t="s">
        <v>27</v>
      </c>
      <c r="R109" s="63"/>
      <c r="S109" s="63"/>
      <c r="U109" s="66"/>
      <c r="V109"/>
      <c r="W109" s="288"/>
      <c r="X109" s="82"/>
    </row>
  </sheetData>
  <mergeCells count="5">
    <mergeCell ref="A91:D91"/>
    <mergeCell ref="B104:I104"/>
    <mergeCell ref="E105:F105"/>
    <mergeCell ref="G105:H105"/>
    <mergeCell ref="I105:J105"/>
  </mergeCells>
  <printOptions gridLines="1" headings="1" horizontalCentered="1" verticalCentered="1"/>
  <pageMargins left="0.75" right="0.25" top="0.75" bottom="0.75" header="0.25" footer="0.25"/>
  <pageSetup fitToHeight="1" fitToWidth="1" horizontalDpi="600" verticalDpi="600" orientation="portrait" scale="45"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colBreaks count="1" manualBreakCount="1">
    <brk id="20" min="1" max="99" man="1"/>
  </colBreaks>
</worksheet>
</file>

<file path=xl/worksheets/sheet5.xml><?xml version="1.0" encoding="utf-8"?>
<worksheet xmlns="http://schemas.openxmlformats.org/spreadsheetml/2006/main" xmlns:r="http://schemas.openxmlformats.org/officeDocument/2006/relationships">
  <sheetPr>
    <pageSetUpPr fitToPage="1"/>
  </sheetPr>
  <dimension ref="A1:Z108"/>
  <sheetViews>
    <sheetView workbookViewId="0" topLeftCell="A78">
      <selection activeCell="F110" sqref="F110"/>
    </sheetView>
  </sheetViews>
  <sheetFormatPr defaultColWidth="9.140625" defaultRowHeight="12.75"/>
  <cols>
    <col min="1" max="3" width="3.421875" style="0" customWidth="1"/>
    <col min="4" max="4" width="24.421875" style="0" customWidth="1"/>
    <col min="5" max="5" width="11.7109375" style="63" customWidth="1"/>
    <col min="6" max="7" width="11.7109375" style="144" customWidth="1"/>
    <col min="8" max="8" width="11.7109375" style="63" customWidth="1"/>
    <col min="9" max="13" width="10.7109375" style="63" customWidth="1"/>
    <col min="14" max="16" width="10.7109375" style="63" hidden="1" customWidth="1"/>
    <col min="17" max="17" width="10.7109375" style="63" customWidth="1"/>
    <col min="18" max="18" width="44.7109375" style="0" customWidth="1"/>
    <col min="19" max="19" width="114.00390625" style="0" customWidth="1"/>
    <col min="20" max="20" width="101.7109375" style="0" bestFit="1" customWidth="1"/>
    <col min="21" max="21" width="92.140625" style="82" bestFit="1" customWidth="1"/>
    <col min="22" max="22" width="101.57421875" style="0" bestFit="1" customWidth="1"/>
    <col min="23" max="16384" width="8.8515625" style="0" customWidth="1"/>
  </cols>
  <sheetData>
    <row r="1" spans="1:22" s="2" customFormat="1" ht="13.5" thickBot="1">
      <c r="A1" s="109"/>
      <c r="B1" s="110"/>
      <c r="C1" s="110"/>
      <c r="D1" s="111"/>
      <c r="E1" s="4"/>
      <c r="F1" s="5" t="s">
        <v>0</v>
      </c>
      <c r="G1" s="5" t="s">
        <v>1</v>
      </c>
      <c r="H1" s="6"/>
      <c r="I1" s="7" t="s">
        <v>2</v>
      </c>
      <c r="J1" s="7"/>
      <c r="K1" s="6"/>
      <c r="L1" s="5" t="s">
        <v>3</v>
      </c>
      <c r="M1" s="6"/>
      <c r="N1" s="83"/>
      <c r="O1" s="83"/>
      <c r="P1" s="83"/>
      <c r="Q1" s="8"/>
      <c r="R1" s="9"/>
      <c r="S1" s="289"/>
      <c r="T1" s="290"/>
      <c r="U1" s="291"/>
      <c r="V1" s="292"/>
    </row>
    <row r="2" spans="1:22" s="12" customFormat="1" ht="39" customHeight="1" thickBot="1">
      <c r="A2" s="112" t="s">
        <v>4</v>
      </c>
      <c r="B2" s="113"/>
      <c r="C2" s="113"/>
      <c r="D2" s="114"/>
      <c r="E2" s="10" t="s">
        <v>5</v>
      </c>
      <c r="F2" s="245" t="s">
        <v>6</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row>
    <row r="3" spans="1:21" s="341" customFormat="1" ht="13.5" thickBot="1">
      <c r="A3" s="103" t="s">
        <v>16</v>
      </c>
      <c r="B3" s="103"/>
      <c r="C3" s="103"/>
      <c r="D3" s="103"/>
      <c r="E3" s="13"/>
      <c r="F3" s="145"/>
      <c r="G3" s="145"/>
      <c r="H3" s="13"/>
      <c r="I3" s="13"/>
      <c r="J3" s="13"/>
      <c r="K3" s="13"/>
      <c r="L3" s="13"/>
      <c r="M3" s="13"/>
      <c r="N3" s="13"/>
      <c r="O3" s="13"/>
      <c r="P3" s="13"/>
      <c r="Q3" s="13"/>
      <c r="R3" s="348"/>
      <c r="U3" s="400"/>
    </row>
    <row r="4" spans="1:22" s="2" customFormat="1" ht="12.75">
      <c r="A4" s="127" t="s">
        <v>165</v>
      </c>
      <c r="B4" s="128"/>
      <c r="C4" s="128"/>
      <c r="D4" s="115"/>
      <c r="E4"/>
      <c r="F4" s="146" t="s">
        <v>166</v>
      </c>
      <c r="G4" s="146" t="s">
        <v>167</v>
      </c>
      <c r="H4"/>
      <c r="I4" s="75"/>
      <c r="J4" s="18"/>
      <c r="K4" s="18"/>
      <c r="L4" s="18"/>
      <c r="M4" s="351"/>
      <c r="N4" s="18"/>
      <c r="O4" s="18"/>
      <c r="P4" s="18"/>
      <c r="Q4" s="18"/>
      <c r="R4" s="294"/>
      <c r="S4" s="303"/>
      <c r="T4" s="337" t="s">
        <v>265</v>
      </c>
      <c r="U4" s="338"/>
      <c r="V4" s="304"/>
    </row>
    <row r="5" spans="1:22" s="2" customFormat="1" ht="13.5" thickBot="1">
      <c r="A5" s="138" t="s">
        <v>18</v>
      </c>
      <c r="B5" s="139"/>
      <c r="C5" s="139"/>
      <c r="D5" s="140"/>
      <c r="E5" s="22" t="s">
        <v>19</v>
      </c>
      <c r="F5" s="147" t="s">
        <v>168</v>
      </c>
      <c r="G5" s="147">
        <v>0.128</v>
      </c>
      <c r="H5" s="22"/>
      <c r="I5" s="52">
        <f>G5</f>
        <v>0.128</v>
      </c>
      <c r="J5" s="23"/>
      <c r="K5" s="78"/>
      <c r="L5" s="77">
        <f>I5</f>
        <v>0.128</v>
      </c>
      <c r="M5" s="352"/>
      <c r="N5" s="23"/>
      <c r="O5" s="23"/>
      <c r="P5" s="23"/>
      <c r="Q5" s="23"/>
      <c r="R5" s="295"/>
      <c r="S5" s="331"/>
      <c r="T5" s="339" t="s">
        <v>265</v>
      </c>
      <c r="U5" s="340"/>
      <c r="V5" s="305"/>
    </row>
    <row r="6" spans="1:26" s="341" customFormat="1" ht="13.5" thickBot="1">
      <c r="A6" s="103" t="s">
        <v>20</v>
      </c>
      <c r="B6" s="103"/>
      <c r="C6" s="103"/>
      <c r="D6" s="103"/>
      <c r="E6" s="13"/>
      <c r="F6" s="145"/>
      <c r="G6" s="145"/>
      <c r="H6" s="13"/>
      <c r="I6" s="13"/>
      <c r="J6" s="13"/>
      <c r="K6" s="13"/>
      <c r="L6" s="13"/>
      <c r="M6" s="353"/>
      <c r="N6" s="13"/>
      <c r="O6" s="13"/>
      <c r="P6" s="13"/>
      <c r="Q6" s="13"/>
      <c r="R6" s="348"/>
      <c r="S6" s="119"/>
      <c r="T6" s="119"/>
      <c r="U6" s="119"/>
      <c r="V6" s="119"/>
      <c r="W6" s="119"/>
      <c r="X6" s="119"/>
      <c r="Y6" s="119"/>
      <c r="Z6" s="119"/>
    </row>
    <row r="7" spans="1:26" s="2" customFormat="1" ht="12.75">
      <c r="A7" s="127" t="s">
        <v>21</v>
      </c>
      <c r="B7" s="128"/>
      <c r="C7" s="128"/>
      <c r="D7" s="115"/>
      <c r="E7" s="15" t="s">
        <v>19</v>
      </c>
      <c r="F7" s="148">
        <v>2033</v>
      </c>
      <c r="G7" s="148">
        <v>2033</v>
      </c>
      <c r="H7" s="17"/>
      <c r="I7" s="527">
        <f>G7</f>
        <v>2033</v>
      </c>
      <c r="J7" s="18"/>
      <c r="K7" s="18"/>
      <c r="L7" s="76">
        <f>I7</f>
        <v>2033</v>
      </c>
      <c r="M7" s="351"/>
      <c r="N7" s="18"/>
      <c r="O7" s="18"/>
      <c r="P7" s="18"/>
      <c r="Q7" s="18"/>
      <c r="R7" s="19"/>
      <c r="S7" s="332"/>
      <c r="T7" s="306" t="s">
        <v>266</v>
      </c>
      <c r="U7" s="307"/>
      <c r="V7" s="308"/>
      <c r="W7"/>
      <c r="X7"/>
      <c r="Y7"/>
      <c r="Z7"/>
    </row>
    <row r="8" spans="1:26" s="2" customFormat="1" ht="12.75">
      <c r="A8" s="116"/>
      <c r="B8" s="106" t="s">
        <v>22</v>
      </c>
      <c r="C8" s="106"/>
      <c r="D8" s="104"/>
      <c r="E8" s="20" t="s">
        <v>23</v>
      </c>
      <c r="F8" s="147" t="s">
        <v>24</v>
      </c>
      <c r="G8" s="147" t="s">
        <v>24</v>
      </c>
      <c r="H8" s="22"/>
      <c r="I8" s="52" t="str">
        <f>G8</f>
        <v>linear</v>
      </c>
      <c r="J8" s="23"/>
      <c r="K8" s="23"/>
      <c r="L8" s="23"/>
      <c r="M8" s="352"/>
      <c r="N8" s="23"/>
      <c r="O8" s="23"/>
      <c r="P8" s="23"/>
      <c r="Q8" s="23"/>
      <c r="R8" s="24" t="s">
        <v>25</v>
      </c>
      <c r="S8" s="319"/>
      <c r="T8" s="309" t="s">
        <v>267</v>
      </c>
      <c r="U8" s="310"/>
      <c r="V8" s="311"/>
      <c r="W8"/>
      <c r="X8"/>
      <c r="Y8"/>
      <c r="Z8"/>
    </row>
    <row r="9" spans="1:26" s="2" customFormat="1" ht="12.75">
      <c r="A9" s="116"/>
      <c r="B9" s="106" t="s">
        <v>26</v>
      </c>
      <c r="C9" s="106"/>
      <c r="D9" s="104"/>
      <c r="E9" s="20" t="s">
        <v>27</v>
      </c>
      <c r="F9" s="149" t="s">
        <v>28</v>
      </c>
      <c r="G9" s="149" t="s">
        <v>28</v>
      </c>
      <c r="H9" s="22"/>
      <c r="I9" s="52" t="str">
        <f>G9</f>
        <v> --</v>
      </c>
      <c r="J9" s="23"/>
      <c r="K9" s="23"/>
      <c r="L9" s="23"/>
      <c r="M9" s="352"/>
      <c r="N9" s="23"/>
      <c r="O9" s="23"/>
      <c r="P9" s="23"/>
      <c r="Q9" s="23"/>
      <c r="R9" s="24" t="s">
        <v>29</v>
      </c>
      <c r="S9" s="319"/>
      <c r="T9" s="309" t="s">
        <v>267</v>
      </c>
      <c r="U9" s="310"/>
      <c r="V9" s="311"/>
      <c r="W9"/>
      <c r="X9"/>
      <c r="Y9"/>
      <c r="Z9"/>
    </row>
    <row r="10" spans="1:26" s="2" customFormat="1" ht="12.75">
      <c r="A10" s="116" t="s">
        <v>30</v>
      </c>
      <c r="B10" s="106"/>
      <c r="C10" s="106"/>
      <c r="D10" s="104"/>
      <c r="E10" s="20" t="s">
        <v>27</v>
      </c>
      <c r="F10" s="149" t="s">
        <v>31</v>
      </c>
      <c r="G10" s="149">
        <v>65</v>
      </c>
      <c r="H10" s="538" t="str">
        <f>IF(J10=-K10,CONCATENATE("±",TEXT(ABS(J10),"0.0##")),CONCATENATE(TEXT(J10,"+0.0##;-0.0##"),"/",TEXT(K10,"+0.0##;-0.0##")))</f>
        <v>±0.5</v>
      </c>
      <c r="I10" s="524">
        <f>G10</f>
        <v>65</v>
      </c>
      <c r="J10" s="151">
        <v>0.5</v>
      </c>
      <c r="K10" s="151">
        <v>-0.5</v>
      </c>
      <c r="L10" s="20">
        <f>I10+((J10+K10)/3)</f>
        <v>65</v>
      </c>
      <c r="M10" s="401">
        <f>(J10^2+K10^2-(K10*J10))/18</f>
        <v>0.041666666666666664</v>
      </c>
      <c r="N10" s="20">
        <f>10*LOG(1/(1/((10^(L10/10))*(L5*1000000))))</f>
        <v>116.07209969647869</v>
      </c>
      <c r="O10" s="20">
        <f>10^(-N10/10)</f>
        <v>2.4705294220065364E-12</v>
      </c>
      <c r="P10" s="20">
        <f>O10*SQRT(M10)</f>
        <v>5.04294706537422E-13</v>
      </c>
      <c r="Q10" s="155" t="s">
        <v>36</v>
      </c>
      <c r="R10" s="24" t="s">
        <v>278</v>
      </c>
      <c r="S10" s="333"/>
      <c r="T10" s="309" t="s">
        <v>277</v>
      </c>
      <c r="U10" s="312" t="s">
        <v>290</v>
      </c>
      <c r="V10" s="313" t="s">
        <v>324</v>
      </c>
      <c r="W10"/>
      <c r="X10"/>
      <c r="Y10"/>
      <c r="Z10"/>
    </row>
    <row r="11" spans="1:26" s="2" customFormat="1" ht="12.75">
      <c r="A11" s="116" t="s">
        <v>33</v>
      </c>
      <c r="B11" s="106"/>
      <c r="C11" s="106"/>
      <c r="D11" s="104"/>
      <c r="E11" s="20" t="s">
        <v>27</v>
      </c>
      <c r="F11" s="149" t="s">
        <v>31</v>
      </c>
      <c r="G11" s="149">
        <v>36</v>
      </c>
      <c r="H11" s="538" t="str">
        <f>IF(J11=-K11,CONCATENATE("±",TEXT(ABS(J11),"0.0##")),CONCATENATE(TEXT(J11,"+0.0##;-0.0##"),"/",TEXT(K11,"+0.0##;-0.0##")))</f>
        <v>±0.5</v>
      </c>
      <c r="I11" s="524">
        <f>G11</f>
        <v>36</v>
      </c>
      <c r="J11" s="151">
        <v>0.5</v>
      </c>
      <c r="K11" s="151">
        <v>-0.5</v>
      </c>
      <c r="L11" s="20">
        <f>I11+((J11+K11)/3)</f>
        <v>36</v>
      </c>
      <c r="M11" s="401">
        <f>(J11^2+K11^2-(K11*J11))/18</f>
        <v>0.041666666666666664</v>
      </c>
      <c r="N11" s="20">
        <f>10*LOG(1/(1/((10^(L11/10))*(L5*1000000))))</f>
        <v>87.07209969647869</v>
      </c>
      <c r="O11" s="20">
        <f>10^(-N11/10)</f>
        <v>1.962411274616853E-09</v>
      </c>
      <c r="P11" s="20">
        <f>O11*SQRT(M11)</f>
        <v>4.005755240246703E-10</v>
      </c>
      <c r="Q11" s="155" t="s">
        <v>36</v>
      </c>
      <c r="R11" s="24" t="s">
        <v>278</v>
      </c>
      <c r="S11" s="319"/>
      <c r="T11" s="309" t="s">
        <v>277</v>
      </c>
      <c r="U11" s="312" t="s">
        <v>290</v>
      </c>
      <c r="V11" s="313" t="s">
        <v>324</v>
      </c>
      <c r="W11"/>
      <c r="X11"/>
      <c r="Y11"/>
      <c r="Z11"/>
    </row>
    <row r="12" spans="1:26" s="157" customFormat="1" ht="12.75">
      <c r="A12" s="152" t="s">
        <v>34</v>
      </c>
      <c r="B12" s="153"/>
      <c r="C12" s="153"/>
      <c r="D12" s="154"/>
      <c r="E12" s="155" t="s">
        <v>35</v>
      </c>
      <c r="F12" s="149">
        <v>96.7</v>
      </c>
      <c r="G12" s="149">
        <v>83.7</v>
      </c>
      <c r="H12" s="538" t="str">
        <f>IF(J12=-K12,CONCATENATE("±",TEXT(ABS(J12),"0.0##")),CONCATENATE(TEXT(J12,"+0.0##;-0.0##"),"/",TEXT(K12,"+0.0##;-0.0##")))</f>
        <v>±0.5</v>
      </c>
      <c r="I12" s="529">
        <v>84.9</v>
      </c>
      <c r="J12" s="151">
        <v>0.5</v>
      </c>
      <c r="K12" s="151">
        <v>-0.5</v>
      </c>
      <c r="L12" s="155">
        <f>I12+((J12+K12)/3)</f>
        <v>84.9</v>
      </c>
      <c r="M12" s="401">
        <f>(J12^2+K12^2-(K12*J12))/18</f>
        <v>0.041666666666666664</v>
      </c>
      <c r="N12" s="155"/>
      <c r="O12" s="155"/>
      <c r="P12" s="155"/>
      <c r="Q12" s="155" t="s">
        <v>36</v>
      </c>
      <c r="R12" s="73"/>
      <c r="S12" s="319"/>
      <c r="T12" s="309" t="s">
        <v>267</v>
      </c>
      <c r="U12" s="312" t="s">
        <v>290</v>
      </c>
      <c r="V12" s="313" t="s">
        <v>324</v>
      </c>
      <c r="W12"/>
      <c r="X12"/>
      <c r="Y12"/>
      <c r="Z12"/>
    </row>
    <row r="13" spans="1:26" s="2" customFormat="1" ht="12.75">
      <c r="A13" s="143" t="s">
        <v>38</v>
      </c>
      <c r="B13" s="106"/>
      <c r="C13" s="106"/>
      <c r="D13" s="104"/>
      <c r="E13" s="20" t="s">
        <v>27</v>
      </c>
      <c r="F13" s="149">
        <v>0</v>
      </c>
      <c r="G13" s="149">
        <v>0</v>
      </c>
      <c r="H13" s="22"/>
      <c r="I13" s="52">
        <v>0</v>
      </c>
      <c r="J13" s="26">
        <v>0</v>
      </c>
      <c r="K13" s="26">
        <v>0</v>
      </c>
      <c r="L13" s="20">
        <f>I13+((J13+K13)/3)</f>
        <v>0</v>
      </c>
      <c r="M13" s="401">
        <f>(J13^2+K13^2-(K13*J13))/18</f>
        <v>0</v>
      </c>
      <c r="N13" s="20"/>
      <c r="O13" s="20"/>
      <c r="P13" s="20"/>
      <c r="Q13" s="155" t="s">
        <v>36</v>
      </c>
      <c r="R13" s="24" t="s">
        <v>40</v>
      </c>
      <c r="S13" s="319"/>
      <c r="T13" s="309" t="s">
        <v>267</v>
      </c>
      <c r="U13" s="312" t="s">
        <v>290</v>
      </c>
      <c r="V13" s="313" t="s">
        <v>324</v>
      </c>
      <c r="W13"/>
      <c r="X13"/>
      <c r="Y13"/>
      <c r="Z13"/>
    </row>
    <row r="14" spans="1:26" s="2" customFormat="1" ht="13.5" thickBot="1">
      <c r="A14" s="138" t="s">
        <v>41</v>
      </c>
      <c r="B14" s="139"/>
      <c r="C14" s="139"/>
      <c r="D14" s="140"/>
      <c r="E14" s="15" t="s">
        <v>27</v>
      </c>
      <c r="F14" s="158">
        <v>0.5</v>
      </c>
      <c r="G14" s="158">
        <v>0.5</v>
      </c>
      <c r="H14" s="538" t="str">
        <f>IF(J14=-K14,CONCATENATE("±",TEXT(ABS(J14),"0.0##")),CONCATENATE(TEXT(J14,"+0.0##;-0.0##"),"/",TEXT(K14,"+0.0##;-0.0##")))</f>
        <v>±0.5</v>
      </c>
      <c r="I14" s="52">
        <v>0.5</v>
      </c>
      <c r="J14" s="26">
        <v>-0.5</v>
      </c>
      <c r="K14" s="26">
        <v>0.5</v>
      </c>
      <c r="L14" s="20">
        <f>I14+((J14+K14)/2)</f>
        <v>0.5</v>
      </c>
      <c r="M14" s="53">
        <f>((J14-K14)^2)/12</f>
        <v>0.08333333333333333</v>
      </c>
      <c r="N14" s="20"/>
      <c r="O14" s="20"/>
      <c r="P14" s="20"/>
      <c r="Q14" s="20" t="s">
        <v>39</v>
      </c>
      <c r="R14" s="24"/>
      <c r="S14" s="334"/>
      <c r="T14" s="314" t="s">
        <v>268</v>
      </c>
      <c r="U14" s="315" t="s">
        <v>291</v>
      </c>
      <c r="V14" s="316" t="s">
        <v>324</v>
      </c>
      <c r="W14"/>
      <c r="X14"/>
      <c r="Y14"/>
      <c r="Z14"/>
    </row>
    <row r="15" spans="1:26" s="341" customFormat="1" ht="13.5" thickBot="1">
      <c r="A15" s="103" t="s">
        <v>42</v>
      </c>
      <c r="B15" s="103"/>
      <c r="C15" s="103"/>
      <c r="D15" s="103"/>
      <c r="E15" s="13"/>
      <c r="F15" s="145"/>
      <c r="G15" s="145"/>
      <c r="H15" s="13"/>
      <c r="I15" s="13"/>
      <c r="J15" s="28"/>
      <c r="K15" s="28"/>
      <c r="L15" s="13"/>
      <c r="M15" s="353"/>
      <c r="N15" s="13"/>
      <c r="O15" s="13"/>
      <c r="P15" s="13"/>
      <c r="Q15" s="13"/>
      <c r="R15" s="348"/>
      <c r="S15" s="119"/>
      <c r="T15" s="119"/>
      <c r="U15" s="119"/>
      <c r="V15" s="119"/>
      <c r="W15" s="119"/>
      <c r="X15" s="119"/>
      <c r="Y15" s="119"/>
      <c r="Z15" s="119"/>
    </row>
    <row r="16" spans="1:26" s="2" customFormat="1" ht="12.75">
      <c r="A16" s="127"/>
      <c r="B16" s="128" t="s">
        <v>43</v>
      </c>
      <c r="C16" s="128"/>
      <c r="D16" s="115"/>
      <c r="E16" s="15" t="s">
        <v>44</v>
      </c>
      <c r="F16" s="158"/>
      <c r="G16" s="158">
        <v>41126.8</v>
      </c>
      <c r="H16" s="17"/>
      <c r="I16" s="523">
        <v>41126.8</v>
      </c>
      <c r="J16" s="27">
        <v>40037.8</v>
      </c>
      <c r="K16" s="27">
        <v>41392</v>
      </c>
      <c r="L16" s="18"/>
      <c r="M16" s="351"/>
      <c r="N16" s="18"/>
      <c r="O16" s="18"/>
      <c r="P16" s="18"/>
      <c r="Q16" s="18"/>
      <c r="R16" s="137" t="s">
        <v>304</v>
      </c>
      <c r="S16" s="332"/>
      <c r="T16" s="306" t="s">
        <v>276</v>
      </c>
      <c r="U16" s="317"/>
      <c r="V16" s="308"/>
      <c r="W16"/>
      <c r="X16"/>
      <c r="Y16"/>
      <c r="Z16"/>
    </row>
    <row r="17" spans="1:26" s="2" customFormat="1" ht="12.75">
      <c r="A17" s="116" t="s">
        <v>45</v>
      </c>
      <c r="B17" s="106"/>
      <c r="C17" s="106"/>
      <c r="D17" s="104"/>
      <c r="E17" s="20" t="s">
        <v>27</v>
      </c>
      <c r="F17" s="159">
        <v>191</v>
      </c>
      <c r="G17" s="159">
        <f>(20*LOG(G7*1000000)+20*LOG(4*PI()*G16*1000)-20*LOG(300000000))</f>
        <v>190.88701814232763</v>
      </c>
      <c r="H17" s="30"/>
      <c r="I17" s="160">
        <f>(20*LOG($I$7*1000000)+20*LOG(4*PI()*I16*1000)-20*LOG(300000000))</f>
        <v>190.88701814232763</v>
      </c>
      <c r="J17" s="44">
        <f>-(I17-(20*LOG($I$7*1000000)+20*LOG(4*PI()*J16*1000)-20*LOG(300000000)))</f>
        <v>-0.23309426716764392</v>
      </c>
      <c r="K17" s="84">
        <f>-(I17-(20*LOG($I$7*1000000)+20*LOG(4*PI()*K16*1000)-20*LOG(300000000)))</f>
        <v>0.0558298439311784</v>
      </c>
      <c r="L17" s="40">
        <f>I17+((J17+K17)/3)</f>
        <v>190.8279300012488</v>
      </c>
      <c r="M17" s="401">
        <f>(J17^2+K17^2-(K17*J17))/18</f>
        <v>0.003914640300945704</v>
      </c>
      <c r="N17" s="20">
        <f>10*LOG(1/(1/((10^(L17/10))*(L10*1000000))))</f>
        <v>268.9570635676774</v>
      </c>
      <c r="O17" s="20">
        <f>10^(-N17/10)</f>
        <v>1.2714334798107465E-27</v>
      </c>
      <c r="P17" s="20">
        <f>O17*SQRT(M17)</f>
        <v>7.954988838683593E-29</v>
      </c>
      <c r="Q17" s="155" t="s">
        <v>36</v>
      </c>
      <c r="R17" s="24" t="s">
        <v>46</v>
      </c>
      <c r="S17" s="296" t="s">
        <v>256</v>
      </c>
      <c r="T17" s="311"/>
      <c r="U17" s="312" t="s">
        <v>290</v>
      </c>
      <c r="V17" s="313" t="s">
        <v>324</v>
      </c>
      <c r="W17"/>
      <c r="X17"/>
      <c r="Y17"/>
      <c r="Z17"/>
    </row>
    <row r="18" spans="1:26" s="2" customFormat="1" ht="13.5" thickBot="1">
      <c r="A18" s="138" t="s">
        <v>47</v>
      </c>
      <c r="B18" s="139"/>
      <c r="C18" s="139"/>
      <c r="D18" s="140"/>
      <c r="E18" s="20" t="s">
        <v>27</v>
      </c>
      <c r="F18" s="149">
        <v>0</v>
      </c>
      <c r="G18" s="149">
        <v>0.36</v>
      </c>
      <c r="H18" s="22" t="s">
        <v>244</v>
      </c>
      <c r="I18" s="525">
        <v>0.36</v>
      </c>
      <c r="J18" s="26">
        <f>-(0.36-0.14)</f>
        <v>-0.21999999999999997</v>
      </c>
      <c r="K18" s="26">
        <f>-(0.36-1.83)</f>
        <v>1.4700000000000002</v>
      </c>
      <c r="L18" s="20">
        <f>I18+((J18+K18)/2)</f>
        <v>0.9850000000000001</v>
      </c>
      <c r="M18" s="53">
        <f>((J18-K18)^2)/36</f>
        <v>0.07933611111111112</v>
      </c>
      <c r="N18" s="20"/>
      <c r="O18" s="20"/>
      <c r="P18" s="20"/>
      <c r="Q18" s="20" t="s">
        <v>32</v>
      </c>
      <c r="R18" s="216" t="s">
        <v>48</v>
      </c>
      <c r="S18" s="334"/>
      <c r="T18" s="316" t="s">
        <v>301</v>
      </c>
      <c r="U18" s="315" t="s">
        <v>292</v>
      </c>
      <c r="V18" s="316" t="s">
        <v>324</v>
      </c>
      <c r="W18"/>
      <c r="X18"/>
      <c r="Y18"/>
      <c r="Z18"/>
    </row>
    <row r="19" spans="1:26" s="341" customFormat="1" ht="13.5" thickBot="1">
      <c r="A19" s="103" t="s">
        <v>49</v>
      </c>
      <c r="B19" s="103"/>
      <c r="C19" s="103"/>
      <c r="D19" s="103"/>
      <c r="E19" s="13"/>
      <c r="F19" s="145"/>
      <c r="G19" s="145"/>
      <c r="H19" s="13"/>
      <c r="I19" s="13"/>
      <c r="J19" s="13"/>
      <c r="K19" s="13"/>
      <c r="L19" s="13"/>
      <c r="M19" s="353"/>
      <c r="N19" s="13"/>
      <c r="O19" s="13"/>
      <c r="P19" s="13"/>
      <c r="Q19" s="13"/>
      <c r="R19" s="348"/>
      <c r="S19" s="119"/>
      <c r="T19" s="119"/>
      <c r="U19" s="119"/>
      <c r="V19" s="119"/>
      <c r="W19" s="119"/>
      <c r="X19" s="119"/>
      <c r="Y19" s="119"/>
      <c r="Z19" s="119"/>
    </row>
    <row r="20" spans="1:26" s="2" customFormat="1" ht="12.75">
      <c r="A20" s="116"/>
      <c r="B20" s="106" t="s">
        <v>22</v>
      </c>
      <c r="C20" s="106"/>
      <c r="D20" s="104"/>
      <c r="E20" s="36" t="s">
        <v>23</v>
      </c>
      <c r="F20" s="155" t="s">
        <v>24</v>
      </c>
      <c r="G20" s="155" t="s">
        <v>24</v>
      </c>
      <c r="H20" s="22"/>
      <c r="I20" s="52" t="str">
        <f>G20</f>
        <v>linear</v>
      </c>
      <c r="J20" s="23"/>
      <c r="K20" s="23"/>
      <c r="L20" s="23"/>
      <c r="M20" s="352"/>
      <c r="N20" s="23"/>
      <c r="O20" s="23"/>
      <c r="P20" s="23"/>
      <c r="Q20" s="23"/>
      <c r="R20" s="137" t="s">
        <v>25</v>
      </c>
      <c r="S20" s="332"/>
      <c r="T20" s="306" t="s">
        <v>267</v>
      </c>
      <c r="U20" s="307"/>
      <c r="V20" s="308"/>
      <c r="W20"/>
      <c r="X20"/>
      <c r="Y20"/>
      <c r="Z20"/>
    </row>
    <row r="21" spans="1:26" s="2" customFormat="1" ht="12.75">
      <c r="A21" s="116"/>
      <c r="B21" s="106" t="s">
        <v>26</v>
      </c>
      <c r="C21" s="106"/>
      <c r="D21" s="104"/>
      <c r="E21" s="36" t="s">
        <v>27</v>
      </c>
      <c r="F21" s="155" t="s">
        <v>28</v>
      </c>
      <c r="G21" s="155" t="s">
        <v>28</v>
      </c>
      <c r="H21" s="22"/>
      <c r="I21" s="52" t="str">
        <f>G21</f>
        <v> --</v>
      </c>
      <c r="J21" s="23"/>
      <c r="K21" s="23"/>
      <c r="L21" s="23"/>
      <c r="M21" s="352"/>
      <c r="N21" s="23"/>
      <c r="O21" s="23"/>
      <c r="P21" s="23"/>
      <c r="Q21" s="23"/>
      <c r="R21" s="24" t="s">
        <v>29</v>
      </c>
      <c r="S21" s="319"/>
      <c r="T21" s="309" t="s">
        <v>267</v>
      </c>
      <c r="U21" s="310"/>
      <c r="V21" s="311"/>
      <c r="W21"/>
      <c r="X21"/>
      <c r="Y21"/>
      <c r="Z21"/>
    </row>
    <row r="22" spans="1:26" s="2" customFormat="1" ht="12.75">
      <c r="A22" s="116" t="s">
        <v>50</v>
      </c>
      <c r="B22" s="106"/>
      <c r="C22" s="106"/>
      <c r="D22" s="104"/>
      <c r="E22" s="36" t="s">
        <v>27</v>
      </c>
      <c r="F22" s="155">
        <v>0.2</v>
      </c>
      <c r="G22" s="155">
        <v>0.2</v>
      </c>
      <c r="H22" s="538" t="str">
        <f>IF(J22=-K22,CONCATENATE("±",TEXT(ABS(J22),"0.0##")),CONCATENATE(TEXT(J22,"+0.0##;-0.0##"),"/",TEXT(K22,"+0.0##;-0.0##")))</f>
        <v>±0.2</v>
      </c>
      <c r="I22" s="52">
        <v>0.2</v>
      </c>
      <c r="J22" s="26">
        <v>-0.2</v>
      </c>
      <c r="K22" s="26">
        <v>0.2</v>
      </c>
      <c r="L22" s="20">
        <f>I22+((J22+K22)/2)</f>
        <v>0.2</v>
      </c>
      <c r="M22" s="53">
        <f>((J22-K22)^2)/12</f>
        <v>0.013333333333333336</v>
      </c>
      <c r="N22" s="20"/>
      <c r="O22" s="20"/>
      <c r="P22" s="20"/>
      <c r="Q22" s="20" t="s">
        <v>39</v>
      </c>
      <c r="R22" s="24" t="s">
        <v>51</v>
      </c>
      <c r="S22" s="319"/>
      <c r="T22" s="311"/>
      <c r="U22" s="312" t="s">
        <v>291</v>
      </c>
      <c r="V22" s="313" t="s">
        <v>324</v>
      </c>
      <c r="W22"/>
      <c r="X22"/>
      <c r="Y22"/>
      <c r="Z22"/>
    </row>
    <row r="23" spans="1:26" s="2" customFormat="1" ht="12.75">
      <c r="A23" s="116" t="s">
        <v>52</v>
      </c>
      <c r="B23" s="106"/>
      <c r="C23" s="106"/>
      <c r="D23" s="104"/>
      <c r="E23" s="36" t="s">
        <v>35</v>
      </c>
      <c r="F23" s="234" t="s">
        <v>53</v>
      </c>
      <c r="G23" s="233" t="s">
        <v>169</v>
      </c>
      <c r="H23" s="30"/>
      <c r="I23" s="269" t="s">
        <v>169</v>
      </c>
      <c r="J23" s="38"/>
      <c r="K23" s="38"/>
      <c r="L23" s="38"/>
      <c r="M23" s="352"/>
      <c r="N23" s="38"/>
      <c r="O23" s="38"/>
      <c r="P23" s="38"/>
      <c r="Q23" s="38"/>
      <c r="R23" s="24"/>
      <c r="S23" s="319"/>
      <c r="T23" s="309" t="s">
        <v>269</v>
      </c>
      <c r="U23" s="318"/>
      <c r="V23" s="311"/>
      <c r="W23"/>
      <c r="X23"/>
      <c r="Y23"/>
      <c r="Z23"/>
    </row>
    <row r="24" spans="1:26" s="2" customFormat="1" ht="12.75">
      <c r="A24" s="116" t="s">
        <v>54</v>
      </c>
      <c r="B24" s="106"/>
      <c r="C24" s="106"/>
      <c r="D24" s="104"/>
      <c r="E24" s="235" t="s">
        <v>35</v>
      </c>
      <c r="F24" s="236">
        <f>F12-F13-F14-F17-F18-F22</f>
        <v>-95</v>
      </c>
      <c r="G24" s="236">
        <f>G12-G13-G14-G17-G18-G22</f>
        <v>-108.24701814232763</v>
      </c>
      <c r="H24" s="55"/>
      <c r="I24" s="237">
        <f>I12-I13-I14-I17-I18-I22</f>
        <v>-107.04701814232763</v>
      </c>
      <c r="J24" s="238"/>
      <c r="K24" s="33"/>
      <c r="L24" s="34">
        <f>L12-L13-L14-L17-L18-L22</f>
        <v>-107.6129300012488</v>
      </c>
      <c r="M24" s="356">
        <f>M12+M13+M14+M17+M18+M22</f>
        <v>0.22158408474539018</v>
      </c>
      <c r="N24" s="34"/>
      <c r="O24" s="34"/>
      <c r="P24" s="34"/>
      <c r="Q24" s="35" t="s">
        <v>32</v>
      </c>
      <c r="R24" s="24"/>
      <c r="S24" s="297" t="s">
        <v>249</v>
      </c>
      <c r="T24" s="311"/>
      <c r="U24" s="298" t="s">
        <v>293</v>
      </c>
      <c r="V24" s="313" t="s">
        <v>302</v>
      </c>
      <c r="W24"/>
      <c r="X24"/>
      <c r="Y24"/>
      <c r="Z24"/>
    </row>
    <row r="25" spans="1:26" s="2" customFormat="1" ht="12.75">
      <c r="A25" s="116"/>
      <c r="B25" s="106" t="s">
        <v>55</v>
      </c>
      <c r="C25" s="106"/>
      <c r="D25" s="104"/>
      <c r="E25" s="36" t="s">
        <v>56</v>
      </c>
      <c r="F25" s="155">
        <v>11</v>
      </c>
      <c r="G25" s="151">
        <v>13.5</v>
      </c>
      <c r="H25" s="538" t="str">
        <f>IF(J25=-K25,CONCATENATE("±",TEXT(ABS(J25),"0.0##")),CONCATENATE(TEXT(J25,"+0.0##;-0.0##"),"/",TEXT(K25,"+0.0##;-0.0##")))</f>
        <v>±0.1</v>
      </c>
      <c r="I25" s="52">
        <f>G25+J25</f>
        <v>13.6</v>
      </c>
      <c r="J25" s="26">
        <v>0.1</v>
      </c>
      <c r="K25" s="26">
        <v>-0.1</v>
      </c>
      <c r="L25" s="20">
        <f>I25+((J25+K25)/3)</f>
        <v>13.6</v>
      </c>
      <c r="M25" s="53">
        <f>(J25^2+K25^2-(K25*J25))/18</f>
        <v>0.001666666666666667</v>
      </c>
      <c r="N25" s="20"/>
      <c r="O25" s="20"/>
      <c r="P25" s="20"/>
      <c r="Q25" s="20" t="s">
        <v>36</v>
      </c>
      <c r="R25" s="24" t="s">
        <v>57</v>
      </c>
      <c r="S25" s="319"/>
      <c r="T25" s="313" t="s">
        <v>272</v>
      </c>
      <c r="U25" s="312" t="s">
        <v>290</v>
      </c>
      <c r="V25" s="313" t="s">
        <v>324</v>
      </c>
      <c r="W25"/>
      <c r="X25"/>
      <c r="Y25"/>
      <c r="Z25"/>
    </row>
    <row r="26" spans="1:26" s="2" customFormat="1" ht="12.75">
      <c r="A26" s="116"/>
      <c r="B26" s="106" t="s">
        <v>58</v>
      </c>
      <c r="C26" s="106"/>
      <c r="D26" s="104"/>
      <c r="E26" s="36" t="s">
        <v>27</v>
      </c>
      <c r="F26" s="155">
        <v>1.8</v>
      </c>
      <c r="G26" s="151">
        <v>0.35</v>
      </c>
      <c r="H26" s="538" t="str">
        <f>IF(J26=-K26,CONCATENATE("±",TEXT(ABS(J26),"0.0##")),CONCATENATE(TEXT(J26,"+0.0##;-0.0##"),"/",TEXT(K26,"+0.0##;-0.0##")))</f>
        <v>±0.05</v>
      </c>
      <c r="I26" s="52">
        <f>G26+J26</f>
        <v>0.3</v>
      </c>
      <c r="J26" s="26">
        <v>-0.05</v>
      </c>
      <c r="K26" s="26">
        <v>0.05</v>
      </c>
      <c r="L26" s="40">
        <f>I26+((J26+K26)/3)</f>
        <v>0.3</v>
      </c>
      <c r="M26" s="53">
        <f>(J26^2+K26^2-(K26*J26))/18</f>
        <v>0.00041666666666666675</v>
      </c>
      <c r="N26" s="41"/>
      <c r="O26" s="41"/>
      <c r="P26" s="41"/>
      <c r="Q26" s="20" t="s">
        <v>36</v>
      </c>
      <c r="R26" s="24" t="s">
        <v>59</v>
      </c>
      <c r="S26" s="319"/>
      <c r="T26" s="313" t="s">
        <v>279</v>
      </c>
      <c r="U26" s="312" t="s">
        <v>290</v>
      </c>
      <c r="V26" s="313" t="s">
        <v>324</v>
      </c>
      <c r="W26"/>
      <c r="X26"/>
      <c r="Y26"/>
      <c r="Z26"/>
    </row>
    <row r="27" spans="1:26" s="2" customFormat="1" ht="12.75">
      <c r="A27" s="116"/>
      <c r="B27" s="106"/>
      <c r="C27" s="106" t="s">
        <v>60</v>
      </c>
      <c r="D27" s="104"/>
      <c r="E27" s="20" t="s">
        <v>61</v>
      </c>
      <c r="F27" s="159">
        <f>F24+F25-F26</f>
        <v>-85.8</v>
      </c>
      <c r="G27" s="159">
        <f>G24+G25-G26</f>
        <v>-95.09701814232763</v>
      </c>
      <c r="H27" s="25"/>
      <c r="I27" s="37"/>
      <c r="J27" s="38"/>
      <c r="K27" s="38"/>
      <c r="L27" s="38"/>
      <c r="M27" s="352"/>
      <c r="N27" s="38"/>
      <c r="O27" s="38"/>
      <c r="P27" s="38"/>
      <c r="Q27" s="38"/>
      <c r="R27" s="24" t="s">
        <v>62</v>
      </c>
      <c r="S27" s="319"/>
      <c r="T27" s="311"/>
      <c r="U27" s="318"/>
      <c r="V27" s="311"/>
      <c r="W27"/>
      <c r="X27"/>
      <c r="Y27"/>
      <c r="Z27"/>
    </row>
    <row r="28" spans="1:26" s="2" customFormat="1" ht="12.75">
      <c r="A28" s="116"/>
      <c r="B28" s="106"/>
      <c r="C28" s="106" t="s">
        <v>63</v>
      </c>
      <c r="D28" s="104"/>
      <c r="E28" s="36" t="s">
        <v>64</v>
      </c>
      <c r="F28" s="155" t="s">
        <v>65</v>
      </c>
      <c r="G28" s="155">
        <v>150</v>
      </c>
      <c r="H28" s="22"/>
      <c r="I28" s="52">
        <v>150</v>
      </c>
      <c r="J28" s="26">
        <v>-5</v>
      </c>
      <c r="K28" s="26">
        <v>5</v>
      </c>
      <c r="L28" s="23"/>
      <c r="M28" s="352"/>
      <c r="N28" s="23"/>
      <c r="O28" s="23"/>
      <c r="P28" s="23"/>
      <c r="Q28" s="23"/>
      <c r="R28" s="24" t="s">
        <v>66</v>
      </c>
      <c r="S28" s="319"/>
      <c r="T28" s="313" t="s">
        <v>338</v>
      </c>
      <c r="U28" s="310"/>
      <c r="V28" s="311"/>
      <c r="W28"/>
      <c r="X28"/>
      <c r="Y28"/>
      <c r="Z28"/>
    </row>
    <row r="29" spans="1:26" s="2" customFormat="1" ht="12.75">
      <c r="A29" s="116"/>
      <c r="B29" s="106"/>
      <c r="C29" s="106"/>
      <c r="D29" s="104" t="s">
        <v>67</v>
      </c>
      <c r="E29" s="36" t="s">
        <v>27</v>
      </c>
      <c r="F29" s="155" t="s">
        <v>65</v>
      </c>
      <c r="G29" s="151">
        <v>4.61</v>
      </c>
      <c r="H29" s="538" t="str">
        <f>IF(J29=-K29,CONCATENATE("±",TEXT(ABS(J29),"0.0##")),CONCATENATE(TEXT(J29,"+0.0##;-0.0##"),"/",TEXT(K29,"+0.0##;-0.0##")))</f>
        <v>±1.03</v>
      </c>
      <c r="I29" s="525">
        <f>G29+J29</f>
        <v>3.58</v>
      </c>
      <c r="J29" s="26">
        <v>-1.03</v>
      </c>
      <c r="K29" s="26">
        <f>-J29</f>
        <v>1.03</v>
      </c>
      <c r="L29" s="23"/>
      <c r="M29" s="352"/>
      <c r="N29" s="23"/>
      <c r="O29" s="23"/>
      <c r="P29" s="23"/>
      <c r="Q29" s="23"/>
      <c r="R29" s="24" t="s">
        <v>69</v>
      </c>
      <c r="S29" s="319"/>
      <c r="T29" s="313" t="s">
        <v>279</v>
      </c>
      <c r="U29" s="310"/>
      <c r="V29" s="311"/>
      <c r="W29"/>
      <c r="X29"/>
      <c r="Y29"/>
      <c r="Z29"/>
    </row>
    <row r="30" spans="1:26" s="2" customFormat="1" ht="12.75">
      <c r="A30" s="116"/>
      <c r="B30" s="106"/>
      <c r="C30" s="106"/>
      <c r="D30" s="104" t="s">
        <v>70</v>
      </c>
      <c r="E30" s="36" t="s">
        <v>27</v>
      </c>
      <c r="F30" s="155" t="s">
        <v>65</v>
      </c>
      <c r="G30" s="155">
        <v>0.2</v>
      </c>
      <c r="H30" s="25"/>
      <c r="I30" s="525">
        <v>0.2</v>
      </c>
      <c r="J30" s="26">
        <v>0</v>
      </c>
      <c r="K30" s="26">
        <v>0</v>
      </c>
      <c r="L30" s="23"/>
      <c r="M30" s="352"/>
      <c r="N30" s="23"/>
      <c r="O30" s="23"/>
      <c r="P30" s="23"/>
      <c r="Q30" s="23"/>
      <c r="R30" s="24" t="s">
        <v>69</v>
      </c>
      <c r="S30" s="319"/>
      <c r="T30" s="313" t="s">
        <v>273</v>
      </c>
      <c r="U30" s="310"/>
      <c r="V30" s="311"/>
      <c r="W30"/>
      <c r="X30"/>
      <c r="Y30"/>
      <c r="Z30"/>
    </row>
    <row r="31" spans="1:26" s="2" customFormat="1" ht="12.75">
      <c r="A31" s="116"/>
      <c r="B31" s="106"/>
      <c r="C31" s="106" t="s">
        <v>71</v>
      </c>
      <c r="D31" s="104"/>
      <c r="E31" s="36" t="s">
        <v>64</v>
      </c>
      <c r="F31" s="44" t="s">
        <v>65</v>
      </c>
      <c r="G31" s="44">
        <f>290*(10^((G29+G30)*0.1)-1)</f>
        <v>587.8048941493788</v>
      </c>
      <c r="H31" s="22"/>
      <c r="I31" s="43">
        <f>290*(10^((I29+I30)/10)-1)</f>
        <v>402.4652720448216</v>
      </c>
      <c r="J31" s="44">
        <f>(290*(10^((I29+J29+I30+J30)*0.1)-1))-I31</f>
        <v>-146.20703609277933</v>
      </c>
      <c r="K31" s="44">
        <f>(290*(10^((I29+K29+I30+K30)*0.1)-1))-I31</f>
        <v>185.33962210455724</v>
      </c>
      <c r="L31" s="23"/>
      <c r="M31" s="352"/>
      <c r="N31" s="23"/>
      <c r="O31" s="23"/>
      <c r="P31" s="23"/>
      <c r="Q31" s="23"/>
      <c r="R31" s="24" t="s">
        <v>72</v>
      </c>
      <c r="S31" s="297" t="s">
        <v>250</v>
      </c>
      <c r="T31" s="311"/>
      <c r="U31" s="310"/>
      <c r="V31" s="311"/>
      <c r="W31"/>
      <c r="X31"/>
      <c r="Y31"/>
      <c r="Z31"/>
    </row>
    <row r="32" spans="1:26" s="2" customFormat="1" ht="12.75">
      <c r="A32" s="116"/>
      <c r="B32" s="106" t="s">
        <v>73</v>
      </c>
      <c r="C32" s="106"/>
      <c r="D32" s="104"/>
      <c r="E32" s="36" t="s">
        <v>74</v>
      </c>
      <c r="F32" s="44" t="s">
        <v>65</v>
      </c>
      <c r="G32" s="44">
        <f>10*LOG(G28+G31)</f>
        <v>28.67941531746056</v>
      </c>
      <c r="H32" s="22"/>
      <c r="I32" s="43">
        <f>10*LOG(I28+I31)</f>
        <v>27.42304983473304</v>
      </c>
      <c r="J32" s="44">
        <f>(10*LOG(I28+J28+I31+J31))-I32</f>
        <v>-1.388810239374667</v>
      </c>
      <c r="K32" s="44">
        <f>(10*LOG(I28+K28+I31+K31))-I32</f>
        <v>1.2856977305791055</v>
      </c>
      <c r="L32" s="40">
        <f>I32+((J32+K32)/2)</f>
        <v>27.371493580335258</v>
      </c>
      <c r="M32" s="53">
        <f>((J32-K32)^2)/36</f>
        <v>0.1986942467040625</v>
      </c>
      <c r="N32" s="41"/>
      <c r="O32" s="41"/>
      <c r="P32" s="41"/>
      <c r="Q32" s="20" t="s">
        <v>32</v>
      </c>
      <c r="R32" s="24" t="s">
        <v>75</v>
      </c>
      <c r="S32" s="297" t="s">
        <v>251</v>
      </c>
      <c r="T32" s="311"/>
      <c r="U32" s="312" t="s">
        <v>292</v>
      </c>
      <c r="V32" s="313" t="s">
        <v>324</v>
      </c>
      <c r="W32"/>
      <c r="X32"/>
      <c r="Y32"/>
      <c r="Z32"/>
    </row>
    <row r="33" spans="1:26" s="2" customFormat="1" ht="12.75">
      <c r="A33" s="116" t="s">
        <v>76</v>
      </c>
      <c r="B33" s="106"/>
      <c r="C33" s="106"/>
      <c r="D33" s="104"/>
      <c r="E33" s="36" t="s">
        <v>77</v>
      </c>
      <c r="F33" s="161">
        <v>-25</v>
      </c>
      <c r="G33" s="161">
        <f>G25-G26-G32</f>
        <v>-15.52941531746056</v>
      </c>
      <c r="H33" s="22"/>
      <c r="I33" s="43">
        <f>I25-I26-I32</f>
        <v>-14.12304983473304</v>
      </c>
      <c r="J33" s="23"/>
      <c r="K33" s="23"/>
      <c r="L33" s="44">
        <f>L25-L26-L32</f>
        <v>-14.07149358033526</v>
      </c>
      <c r="M33" s="355">
        <f>M25+M26+M32</f>
        <v>0.20077758003739582</v>
      </c>
      <c r="N33" s="44"/>
      <c r="O33" s="44"/>
      <c r="P33" s="44"/>
      <c r="Q33" s="26" t="s">
        <v>32</v>
      </c>
      <c r="R33" s="24"/>
      <c r="S33" s="297" t="s">
        <v>252</v>
      </c>
      <c r="T33" s="311"/>
      <c r="U33" s="298" t="s">
        <v>294</v>
      </c>
      <c r="V33" s="313" t="s">
        <v>302</v>
      </c>
      <c r="W33"/>
      <c r="X33"/>
      <c r="Y33"/>
      <c r="Z33"/>
    </row>
    <row r="34" spans="1:26" s="2" customFormat="1" ht="12.75">
      <c r="A34" s="116" t="s">
        <v>78</v>
      </c>
      <c r="B34" s="106"/>
      <c r="C34" s="106"/>
      <c r="D34" s="104"/>
      <c r="E34" s="36" t="s">
        <v>79</v>
      </c>
      <c r="F34" s="164">
        <v>-198.6</v>
      </c>
      <c r="G34" s="164">
        <v>-198.6</v>
      </c>
      <c r="H34" s="22"/>
      <c r="I34" s="52">
        <v>-198.6</v>
      </c>
      <c r="J34" s="26">
        <v>0</v>
      </c>
      <c r="K34" s="26">
        <v>0</v>
      </c>
      <c r="L34" s="20">
        <f>I34</f>
        <v>-198.6</v>
      </c>
      <c r="M34" s="53">
        <v>0</v>
      </c>
      <c r="N34" s="20"/>
      <c r="O34" s="20"/>
      <c r="P34" s="20"/>
      <c r="Q34" s="20" t="s">
        <v>80</v>
      </c>
      <c r="R34" s="24" t="s">
        <v>81</v>
      </c>
      <c r="S34" s="319"/>
      <c r="T34" s="311"/>
      <c r="U34" s="330" t="s">
        <v>303</v>
      </c>
      <c r="V34" s="313" t="s">
        <v>302</v>
      </c>
      <c r="W34"/>
      <c r="X34"/>
      <c r="Y34"/>
      <c r="Z34"/>
    </row>
    <row r="35" spans="1:26" s="2" customFormat="1" ht="12.75">
      <c r="A35" s="116" t="s">
        <v>82</v>
      </c>
      <c r="B35" s="106"/>
      <c r="C35" s="106"/>
      <c r="D35" s="104"/>
      <c r="E35" s="36" t="s">
        <v>83</v>
      </c>
      <c r="F35" s="44">
        <f>F24+F33-F34</f>
        <v>78.6</v>
      </c>
      <c r="G35" s="44">
        <f>G24+G33-G34</f>
        <v>74.8235665402118</v>
      </c>
      <c r="H35" s="22"/>
      <c r="I35" s="43">
        <f>I24+I33-I34</f>
        <v>77.42993202293933</v>
      </c>
      <c r="J35" s="23"/>
      <c r="K35" s="23"/>
      <c r="L35" s="44">
        <f>L24+L33-L34</f>
        <v>76.91557641841594</v>
      </c>
      <c r="M35" s="355">
        <f>M24+M33+M34</f>
        <v>0.42236166478278603</v>
      </c>
      <c r="N35" s="47"/>
      <c r="O35" s="20">
        <f>10^(-L35/10)</f>
        <v>2.0344281579543983E-08</v>
      </c>
      <c r="P35" s="20">
        <f>O35*SQRT(M35)</f>
        <v>1.322161797976777E-08</v>
      </c>
      <c r="Q35" s="26" t="s">
        <v>32</v>
      </c>
      <c r="R35" s="24"/>
      <c r="S35" s="297" t="s">
        <v>331</v>
      </c>
      <c r="T35" s="311"/>
      <c r="U35" s="298" t="s">
        <v>295</v>
      </c>
      <c r="V35" s="313" t="s">
        <v>302</v>
      </c>
      <c r="W35"/>
      <c r="X35"/>
      <c r="Y35"/>
      <c r="Z35"/>
    </row>
    <row r="36" spans="1:26" s="2" customFormat="1" ht="13.5" thickBot="1">
      <c r="A36" s="138" t="s">
        <v>84</v>
      </c>
      <c r="B36" s="139"/>
      <c r="C36" s="139"/>
      <c r="D36" s="140"/>
      <c r="E36" s="31" t="s">
        <v>83</v>
      </c>
      <c r="F36" s="165">
        <f>F35</f>
        <v>78.6</v>
      </c>
      <c r="G36" s="165">
        <f>10*LOG(1/(1/((10^(G10/10))*(G5*1000000))+1/((10^(G11/10))*(G5*1000000))+1/(10^(G35/10))))</f>
        <v>74.57189559331388</v>
      </c>
      <c r="H36" s="142"/>
      <c r="I36" s="166">
        <f>10*LOG(1/(1/((10^(I10/10))*(I5*1000000))+1/((10^(I11/10))*(I5*1000000))+1/(10^(I35/10))))</f>
        <v>76.98169340739084</v>
      </c>
      <c r="J36" s="18"/>
      <c r="K36" s="18"/>
      <c r="L36" s="165">
        <f>10*LOG(1/(1/((10^(L10/10))*(L5*1000000))+1/((10^(L11/10))*(L5*1000000))+1/(10^(L35/10))))</f>
        <v>76.51516715897522</v>
      </c>
      <c r="M36" s="402">
        <f>(P36/O36)^2</f>
        <v>0.37287191805360353</v>
      </c>
      <c r="N36" s="49"/>
      <c r="O36" s="87">
        <f>O10+O11+O35</f>
        <v>2.230916338358284E-08</v>
      </c>
      <c r="P36" s="87">
        <f>P10+P11+P35</f>
        <v>1.3622697798498977E-08</v>
      </c>
      <c r="Q36" s="26" t="s">
        <v>32</v>
      </c>
      <c r="R36" s="216" t="s">
        <v>85</v>
      </c>
      <c r="S36" s="302" t="s">
        <v>253</v>
      </c>
      <c r="T36" s="328"/>
      <c r="U36" s="321" t="s">
        <v>299</v>
      </c>
      <c r="V36" s="316" t="s">
        <v>288</v>
      </c>
      <c r="W36"/>
      <c r="X36"/>
      <c r="Y36"/>
      <c r="Z36"/>
    </row>
    <row r="37" spans="1:26" s="341" customFormat="1" ht="13.5" thickBot="1">
      <c r="A37" s="103" t="s">
        <v>86</v>
      </c>
      <c r="B37" s="103"/>
      <c r="C37" s="103"/>
      <c r="D37" s="103"/>
      <c r="E37" s="13"/>
      <c r="F37" s="145"/>
      <c r="G37" s="145"/>
      <c r="H37" s="13"/>
      <c r="I37" s="13"/>
      <c r="J37" s="13"/>
      <c r="K37" s="13"/>
      <c r="L37" s="13"/>
      <c r="M37" s="353"/>
      <c r="N37" s="13"/>
      <c r="O37" s="13"/>
      <c r="P37" s="13"/>
      <c r="Q37" s="13"/>
      <c r="R37" s="348"/>
      <c r="S37" s="119"/>
      <c r="T37" s="119"/>
      <c r="U37" s="119"/>
      <c r="V37" s="119"/>
      <c r="W37" s="119"/>
      <c r="X37" s="119"/>
      <c r="Y37" s="119"/>
      <c r="Z37" s="119"/>
    </row>
    <row r="38" spans="1:26" s="2" customFormat="1" ht="12.75">
      <c r="A38" s="127" t="s">
        <v>87</v>
      </c>
      <c r="B38" s="128"/>
      <c r="C38" s="128"/>
      <c r="D38" s="115"/>
      <c r="E38" s="15" t="s">
        <v>19</v>
      </c>
      <c r="F38" s="148">
        <v>1691</v>
      </c>
      <c r="G38" s="148">
        <v>1691</v>
      </c>
      <c r="H38" s="17"/>
      <c r="I38" s="523">
        <f>G38</f>
        <v>1691</v>
      </c>
      <c r="J38" s="18"/>
      <c r="K38" s="18"/>
      <c r="L38" s="18"/>
      <c r="M38" s="351"/>
      <c r="N38" s="18"/>
      <c r="O38" s="18"/>
      <c r="P38" s="18"/>
      <c r="Q38" s="18"/>
      <c r="R38" s="137"/>
      <c r="S38" s="332"/>
      <c r="T38" s="306" t="s">
        <v>266</v>
      </c>
      <c r="U38" s="307"/>
      <c r="V38" s="308"/>
      <c r="W38"/>
      <c r="X38"/>
      <c r="Y38"/>
      <c r="Z38"/>
    </row>
    <row r="39" spans="1:26" s="2" customFormat="1" ht="12.75">
      <c r="A39" s="116"/>
      <c r="B39" s="106"/>
      <c r="C39" s="106" t="s">
        <v>88</v>
      </c>
      <c r="D39" s="104"/>
      <c r="E39" s="20" t="s">
        <v>89</v>
      </c>
      <c r="F39" s="167">
        <v>11.749090210743004</v>
      </c>
      <c r="G39" s="167">
        <v>8.913</v>
      </c>
      <c r="H39" s="22"/>
      <c r="I39" s="524">
        <f>(10^(I40/10))/1000</f>
        <v>13.428388780922452</v>
      </c>
      <c r="J39" s="23"/>
      <c r="K39" s="23"/>
      <c r="L39" s="23"/>
      <c r="M39" s="352"/>
      <c r="N39" s="23"/>
      <c r="O39" s="23"/>
      <c r="P39" s="23"/>
      <c r="Q39" s="23"/>
      <c r="R39" s="24" t="s">
        <v>90</v>
      </c>
      <c r="S39" s="319"/>
      <c r="T39" s="313" t="s">
        <v>270</v>
      </c>
      <c r="U39" s="310"/>
      <c r="V39" s="311"/>
      <c r="W39"/>
      <c r="X39"/>
      <c r="Y39"/>
      <c r="Z39"/>
    </row>
    <row r="40" spans="1:26" s="2" customFormat="1" ht="12.75">
      <c r="A40" s="116"/>
      <c r="B40" s="106" t="s">
        <v>88</v>
      </c>
      <c r="C40" s="106"/>
      <c r="D40" s="104"/>
      <c r="E40" s="20" t="s">
        <v>61</v>
      </c>
      <c r="F40" s="168">
        <f>10*LOG(F39)+30</f>
        <v>40.70004238373584</v>
      </c>
      <c r="G40" s="676">
        <f>10*LOG(G39)+30</f>
        <v>39.500239065233266</v>
      </c>
      <c r="H40" s="538" t="str">
        <f>IF(J40=-K40,CONCATENATE("±",TEXT(ABS(J40),"0.0##")),CONCATENATE(TEXT(J40,"+0.0##;-0.0##"),"/",TEXT(K40,"+0.0##;-0.0##")))</f>
        <v>±1.78</v>
      </c>
      <c r="I40" s="525">
        <f>G40+J40</f>
        <v>41.28023906523327</v>
      </c>
      <c r="J40" s="26">
        <v>1.78</v>
      </c>
      <c r="K40" s="26">
        <f>-J40</f>
        <v>-1.78</v>
      </c>
      <c r="L40" s="40">
        <f>I40+((J40+K40)/3)</f>
        <v>41.28023906523327</v>
      </c>
      <c r="M40" s="53">
        <f>(J40^2+K40^2-(K40*J40))/18</f>
        <v>0.5280666666666667</v>
      </c>
      <c r="N40" s="41"/>
      <c r="O40" s="41"/>
      <c r="P40" s="41"/>
      <c r="Q40" s="20" t="s">
        <v>36</v>
      </c>
      <c r="R40" s="24" t="s">
        <v>91</v>
      </c>
      <c r="S40" s="319"/>
      <c r="T40" s="313" t="s">
        <v>270</v>
      </c>
      <c r="U40" s="312" t="s">
        <v>290</v>
      </c>
      <c r="V40" s="313" t="s">
        <v>324</v>
      </c>
      <c r="W40"/>
      <c r="X40"/>
      <c r="Y40"/>
      <c r="Z40"/>
    </row>
    <row r="41" spans="1:26" s="2" customFormat="1" ht="12.75">
      <c r="A41" s="116"/>
      <c r="B41" s="106" t="s">
        <v>92</v>
      </c>
      <c r="C41" s="106"/>
      <c r="D41" s="104"/>
      <c r="E41" s="20" t="s">
        <v>27</v>
      </c>
      <c r="F41" s="169" t="s">
        <v>65</v>
      </c>
      <c r="G41" s="151">
        <v>2.2</v>
      </c>
      <c r="H41" s="538" t="str">
        <f>IF(J41=-K41,CONCATENATE("±",TEXT(ABS(J41),"0.0##")),CONCATENATE(TEXT(J41,"+0.0##;-0.0##"),"/",TEXT(K41,"+0.0##;-0.0##")))</f>
        <v>±0.35</v>
      </c>
      <c r="I41" s="52">
        <f>G41+J41</f>
        <v>1.85</v>
      </c>
      <c r="J41" s="26">
        <v>-0.35</v>
      </c>
      <c r="K41" s="26">
        <v>0.35</v>
      </c>
      <c r="L41" s="40">
        <f>I41+((J41+K41)/2)</f>
        <v>1.85</v>
      </c>
      <c r="M41" s="53">
        <f>((J41-K41)^2)/12</f>
        <v>0.040833333333333326</v>
      </c>
      <c r="N41" s="41"/>
      <c r="O41" s="41"/>
      <c r="P41" s="41"/>
      <c r="Q41" s="20" t="s">
        <v>39</v>
      </c>
      <c r="R41" s="24" t="s">
        <v>93</v>
      </c>
      <c r="S41" s="319"/>
      <c r="T41" s="313" t="s">
        <v>271</v>
      </c>
      <c r="U41" s="312" t="s">
        <v>291</v>
      </c>
      <c r="V41" s="313" t="s">
        <v>324</v>
      </c>
      <c r="W41"/>
      <c r="X41"/>
      <c r="Y41"/>
      <c r="Z41"/>
    </row>
    <row r="42" spans="1:26" s="2" customFormat="1" ht="12.75">
      <c r="A42" s="116"/>
      <c r="B42" s="106" t="s">
        <v>94</v>
      </c>
      <c r="C42" s="106"/>
      <c r="D42" s="104"/>
      <c r="E42" s="20" t="s">
        <v>27</v>
      </c>
      <c r="F42" s="149">
        <v>2.9</v>
      </c>
      <c r="G42" s="151">
        <v>1.62</v>
      </c>
      <c r="H42" s="538" t="str">
        <f>IF(J42=-K42,CONCATENATE("±",TEXT(ABS(J42),"0.0##")),CONCATENATE(TEXT(J42,"+0.0##;-0.0##"),"/",TEXT(K42,"+0.0##;-0.0##")))</f>
        <v>±0.25</v>
      </c>
      <c r="I42" s="52">
        <f>G42+J42</f>
        <v>1.37</v>
      </c>
      <c r="J42" s="26">
        <v>-0.25</v>
      </c>
      <c r="K42" s="26">
        <v>0.25</v>
      </c>
      <c r="L42" s="40">
        <f>I42+((J42+K42)/2)</f>
        <v>1.37</v>
      </c>
      <c r="M42" s="53">
        <f>((J42-K42)^2)/12</f>
        <v>0.020833333333333332</v>
      </c>
      <c r="N42" s="41"/>
      <c r="O42" s="41"/>
      <c r="P42" s="41"/>
      <c r="Q42" s="20" t="s">
        <v>39</v>
      </c>
      <c r="R42" s="24" t="s">
        <v>95</v>
      </c>
      <c r="S42" s="319"/>
      <c r="T42" s="313" t="s">
        <v>279</v>
      </c>
      <c r="U42" s="312" t="s">
        <v>291</v>
      </c>
      <c r="V42" s="313" t="s">
        <v>324</v>
      </c>
      <c r="W42"/>
      <c r="X42"/>
      <c r="Y42"/>
      <c r="Z42"/>
    </row>
    <row r="43" spans="1:26" s="2" customFormat="1" ht="12.75">
      <c r="A43" s="116"/>
      <c r="B43" s="106"/>
      <c r="C43" s="106" t="s">
        <v>96</v>
      </c>
      <c r="D43" s="104"/>
      <c r="E43" s="20" t="s">
        <v>61</v>
      </c>
      <c r="F43" s="159" t="s">
        <v>65</v>
      </c>
      <c r="G43" s="159">
        <f>G40-G41-G42</f>
        <v>35.680239065233266</v>
      </c>
      <c r="H43" s="25"/>
      <c r="I43" s="99">
        <f>I40-I41-I42</f>
        <v>38.06023906523327</v>
      </c>
      <c r="J43" s="99">
        <f>3*SQRT(M43)</f>
        <v>2.303822909860912</v>
      </c>
      <c r="K43" s="99">
        <f>-3*SQRT(M43)</f>
        <v>-2.303822909860912</v>
      </c>
      <c r="L43" s="99">
        <f>L40-L41-L42</f>
        <v>38.06023906523327</v>
      </c>
      <c r="M43" s="591">
        <f>M40+M41+M42</f>
        <v>0.5897333333333333</v>
      </c>
      <c r="N43" s="99"/>
      <c r="O43" s="99"/>
      <c r="P43" s="99"/>
      <c r="Q43" s="26" t="s">
        <v>32</v>
      </c>
      <c r="R43" s="24" t="s">
        <v>97</v>
      </c>
      <c r="S43" s="297" t="s">
        <v>384</v>
      </c>
      <c r="T43" s="311"/>
      <c r="U43" s="298" t="s">
        <v>385</v>
      </c>
      <c r="V43" s="425" t="s">
        <v>302</v>
      </c>
      <c r="W43"/>
      <c r="X43"/>
      <c r="Y43"/>
      <c r="Z43"/>
    </row>
    <row r="44" spans="1:26" s="2" customFormat="1" ht="12.75">
      <c r="A44" s="116"/>
      <c r="B44" s="106" t="s">
        <v>58</v>
      </c>
      <c r="C44" s="106"/>
      <c r="D44" s="104"/>
      <c r="E44" s="20" t="s">
        <v>27</v>
      </c>
      <c r="F44" s="149" t="s">
        <v>65</v>
      </c>
      <c r="G44" s="539">
        <v>0.34</v>
      </c>
      <c r="H44" s="538" t="str">
        <f>IF(J44=-K44,CONCATENATE("±",TEXT(ABS(J44),"0.0##")),CONCATENATE(TEXT(J44,"+0.0##;-0.0##"),"/",TEXT(K44,"+0.0##;-0.0##")))</f>
        <v>±0.07</v>
      </c>
      <c r="I44" s="52">
        <f>G44+J44</f>
        <v>0.27</v>
      </c>
      <c r="J44" s="26">
        <v>-0.07</v>
      </c>
      <c r="K44" s="26">
        <v>0.07</v>
      </c>
      <c r="L44" s="40">
        <f>I44+((J44+K44)/2)</f>
        <v>0.27</v>
      </c>
      <c r="M44" s="53">
        <f>((J44-K44)^2)/12</f>
        <v>0.0016333333333333336</v>
      </c>
      <c r="N44" s="41"/>
      <c r="O44" s="41"/>
      <c r="P44" s="41"/>
      <c r="Q44" s="20" t="s">
        <v>39</v>
      </c>
      <c r="R44" s="24" t="s">
        <v>98</v>
      </c>
      <c r="S44" s="319"/>
      <c r="T44" s="313" t="s">
        <v>279</v>
      </c>
      <c r="U44" s="312" t="s">
        <v>291</v>
      </c>
      <c r="V44" s="313" t="s">
        <v>324</v>
      </c>
      <c r="W44"/>
      <c r="X44"/>
      <c r="Y44"/>
      <c r="Z44"/>
    </row>
    <row r="45" spans="1:26" s="2" customFormat="1" ht="12.75">
      <c r="A45" s="116"/>
      <c r="B45" s="106" t="s">
        <v>55</v>
      </c>
      <c r="C45" s="106"/>
      <c r="D45" s="104"/>
      <c r="E45" s="20" t="s">
        <v>56</v>
      </c>
      <c r="F45" s="149">
        <v>16.5</v>
      </c>
      <c r="G45" s="149">
        <v>14.5</v>
      </c>
      <c r="H45" s="538" t="str">
        <f>IF(J45=-K45,CONCATENATE("±",TEXT(ABS(J45),"0.0##")),CONCATENATE(TEXT(J45,"+0.0##;-0.0##"),"/",TEXT(K45,"+0.0##;-0.0##")))</f>
        <v>±0.15</v>
      </c>
      <c r="I45" s="52">
        <f>G45+J45</f>
        <v>14.65</v>
      </c>
      <c r="J45" s="26">
        <v>0.15</v>
      </c>
      <c r="K45" s="26">
        <v>-0.15</v>
      </c>
      <c r="L45" s="40">
        <f>I45+((J45+K45)/3)</f>
        <v>14.65</v>
      </c>
      <c r="M45" s="53">
        <f>(J45^2+K45^2-(K45*J45))/18</f>
        <v>0.0037500000000000003</v>
      </c>
      <c r="N45" s="41"/>
      <c r="O45" s="41"/>
      <c r="P45" s="41"/>
      <c r="Q45" s="20" t="s">
        <v>36</v>
      </c>
      <c r="R45" s="24" t="s">
        <v>57</v>
      </c>
      <c r="S45" s="319"/>
      <c r="T45" s="313" t="s">
        <v>272</v>
      </c>
      <c r="U45" s="312" t="s">
        <v>290</v>
      </c>
      <c r="V45" s="313" t="s">
        <v>324</v>
      </c>
      <c r="W45"/>
      <c r="X45"/>
      <c r="Y45"/>
      <c r="Z45"/>
    </row>
    <row r="46" spans="1:26" s="2" customFormat="1" ht="12.75">
      <c r="A46" s="116"/>
      <c r="B46" s="106"/>
      <c r="C46" s="106" t="s">
        <v>22</v>
      </c>
      <c r="D46" s="104"/>
      <c r="E46" s="36" t="s">
        <v>23</v>
      </c>
      <c r="F46" s="164" t="s">
        <v>24</v>
      </c>
      <c r="G46" s="164" t="s">
        <v>24</v>
      </c>
      <c r="H46" s="22"/>
      <c r="I46" s="52" t="str">
        <f>G46</f>
        <v>linear</v>
      </c>
      <c r="J46" s="23"/>
      <c r="K46" s="23"/>
      <c r="L46" s="23"/>
      <c r="M46" s="352"/>
      <c r="N46" s="23"/>
      <c r="O46" s="23"/>
      <c r="P46" s="23"/>
      <c r="Q46" s="23"/>
      <c r="R46" s="24" t="s">
        <v>25</v>
      </c>
      <c r="S46" s="319"/>
      <c r="T46" s="309" t="s">
        <v>267</v>
      </c>
      <c r="U46" s="310"/>
      <c r="V46" s="311"/>
      <c r="W46"/>
      <c r="X46"/>
      <c r="Y46"/>
      <c r="Z46"/>
    </row>
    <row r="47" spans="1:26" s="2" customFormat="1" ht="12.75">
      <c r="A47" s="116"/>
      <c r="B47" s="106"/>
      <c r="C47" s="106" t="s">
        <v>26</v>
      </c>
      <c r="D47" s="104"/>
      <c r="E47" s="36" t="s">
        <v>27</v>
      </c>
      <c r="F47" s="155" t="s">
        <v>28</v>
      </c>
      <c r="G47" s="155" t="s">
        <v>28</v>
      </c>
      <c r="H47" s="22"/>
      <c r="I47" s="52" t="str">
        <f>G47</f>
        <v> --</v>
      </c>
      <c r="J47" s="23"/>
      <c r="K47" s="23"/>
      <c r="L47" s="23"/>
      <c r="M47" s="352"/>
      <c r="N47" s="23"/>
      <c r="O47" s="23"/>
      <c r="P47" s="23"/>
      <c r="Q47" s="23"/>
      <c r="R47" s="24" t="s">
        <v>29</v>
      </c>
      <c r="S47" s="319"/>
      <c r="T47" s="309" t="s">
        <v>267</v>
      </c>
      <c r="U47" s="310"/>
      <c r="V47" s="311"/>
      <c r="W47"/>
      <c r="X47"/>
      <c r="Y47"/>
      <c r="Z47"/>
    </row>
    <row r="48" spans="1:26" s="2" customFormat="1" ht="12.75">
      <c r="A48" s="116" t="s">
        <v>34</v>
      </c>
      <c r="B48" s="106"/>
      <c r="C48" s="106"/>
      <c r="D48" s="104"/>
      <c r="E48" s="20" t="s">
        <v>35</v>
      </c>
      <c r="F48" s="159">
        <f>F40-F42+F45</f>
        <v>54.30004238373584</v>
      </c>
      <c r="G48" s="159">
        <f>G40-G41-G42-G44+G45</f>
        <v>49.84023906523326</v>
      </c>
      <c r="H48" s="22"/>
      <c r="I48" s="43">
        <f>I40-I41-I42-I44+I45</f>
        <v>52.440239065233264</v>
      </c>
      <c r="J48" s="23"/>
      <c r="K48" s="23"/>
      <c r="L48" s="43">
        <f>L40-L41-L42-L44+L45</f>
        <v>52.440239065233264</v>
      </c>
      <c r="M48" s="480">
        <f>M40+M41+M42+M44+M45</f>
        <v>0.5951166666666667</v>
      </c>
      <c r="N48" s="84"/>
      <c r="O48" s="84"/>
      <c r="P48" s="84"/>
      <c r="Q48" s="20" t="s">
        <v>32</v>
      </c>
      <c r="R48" s="24"/>
      <c r="S48" s="297" t="s">
        <v>254</v>
      </c>
      <c r="T48" s="311"/>
      <c r="U48" s="298" t="s">
        <v>296</v>
      </c>
      <c r="V48" s="313" t="s">
        <v>302</v>
      </c>
      <c r="W48"/>
      <c r="X48"/>
      <c r="Y48"/>
      <c r="Z48"/>
    </row>
    <row r="49" spans="1:26" s="2" customFormat="1" ht="12.75">
      <c r="A49" s="143" t="s">
        <v>38</v>
      </c>
      <c r="B49" s="106"/>
      <c r="C49" s="106"/>
      <c r="D49" s="104"/>
      <c r="E49" s="20" t="s">
        <v>27</v>
      </c>
      <c r="F49" s="149">
        <v>0</v>
      </c>
      <c r="G49" s="149">
        <v>0</v>
      </c>
      <c r="H49" s="22"/>
      <c r="I49" s="52">
        <v>0</v>
      </c>
      <c r="J49" s="26">
        <v>0</v>
      </c>
      <c r="K49" s="26">
        <v>0</v>
      </c>
      <c r="L49" s="20">
        <f>I49+((J49+K49)/2)</f>
        <v>0</v>
      </c>
      <c r="M49" s="53">
        <f>((J49-K49)^2)/12</f>
        <v>0</v>
      </c>
      <c r="N49" s="20"/>
      <c r="O49" s="20"/>
      <c r="P49" s="20"/>
      <c r="Q49" s="20" t="s">
        <v>39</v>
      </c>
      <c r="R49" s="24" t="s">
        <v>40</v>
      </c>
      <c r="S49" s="319"/>
      <c r="T49" s="309" t="s">
        <v>267</v>
      </c>
      <c r="U49" s="312" t="s">
        <v>291</v>
      </c>
      <c r="V49" s="313" t="s">
        <v>324</v>
      </c>
      <c r="W49"/>
      <c r="X49"/>
      <c r="Y49"/>
      <c r="Z49"/>
    </row>
    <row r="50" spans="1:26" s="2" customFormat="1" ht="12.75">
      <c r="A50" s="116" t="s">
        <v>99</v>
      </c>
      <c r="B50" s="106"/>
      <c r="C50" s="106"/>
      <c r="D50" s="104"/>
      <c r="E50" s="20"/>
      <c r="F50" s="149">
        <v>1</v>
      </c>
      <c r="G50" s="149">
        <v>1</v>
      </c>
      <c r="H50" s="22"/>
      <c r="I50" s="52">
        <v>1</v>
      </c>
      <c r="J50" s="23"/>
      <c r="K50" s="23"/>
      <c r="L50" s="23"/>
      <c r="M50" s="352"/>
      <c r="N50" s="23"/>
      <c r="O50" s="23"/>
      <c r="P50" s="23"/>
      <c r="Q50" s="23"/>
      <c r="R50" s="24" t="s">
        <v>100</v>
      </c>
      <c r="S50" s="319"/>
      <c r="T50" s="309" t="s">
        <v>274</v>
      </c>
      <c r="U50" s="310"/>
      <c r="V50" s="311"/>
      <c r="W50"/>
      <c r="X50"/>
      <c r="Y50"/>
      <c r="Z50"/>
    </row>
    <row r="51" spans="1:26" s="2" customFormat="1" ht="13.5" thickBot="1">
      <c r="A51" s="138" t="s">
        <v>101</v>
      </c>
      <c r="B51" s="139"/>
      <c r="C51" s="139"/>
      <c r="D51" s="140"/>
      <c r="E51" s="15" t="s">
        <v>35</v>
      </c>
      <c r="F51" s="32">
        <f>F48-F49-10*LOG(F50)</f>
        <v>54.30004238373584</v>
      </c>
      <c r="G51" s="32">
        <f>G48-G49-10*LOG(G50)</f>
        <v>49.84023906523326</v>
      </c>
      <c r="H51" s="17"/>
      <c r="I51" s="32">
        <f>I48-I49-10*LOG(I50)</f>
        <v>52.440239065233264</v>
      </c>
      <c r="J51" s="18"/>
      <c r="K51" s="18"/>
      <c r="L51" s="32">
        <f>L48-L49-10*LOG(I50)</f>
        <v>52.440239065233264</v>
      </c>
      <c r="M51" s="355">
        <f>M48+M49</f>
        <v>0.5951166666666667</v>
      </c>
      <c r="N51" s="44"/>
      <c r="O51" s="44"/>
      <c r="P51" s="44"/>
      <c r="Q51" s="20" t="s">
        <v>32</v>
      </c>
      <c r="R51" s="216" t="s">
        <v>102</v>
      </c>
      <c r="S51" s="322" t="s">
        <v>255</v>
      </c>
      <c r="T51" s="328"/>
      <c r="U51" s="299" t="s">
        <v>297</v>
      </c>
      <c r="V51" s="316" t="s">
        <v>302</v>
      </c>
      <c r="W51"/>
      <c r="X51"/>
      <c r="Y51"/>
      <c r="Z51"/>
    </row>
    <row r="52" spans="1:26" s="341" customFormat="1" ht="13.5" thickBot="1">
      <c r="A52" s="103" t="s">
        <v>103</v>
      </c>
      <c r="B52" s="103"/>
      <c r="C52" s="103"/>
      <c r="D52" s="103"/>
      <c r="E52" s="13"/>
      <c r="F52" s="145"/>
      <c r="G52" s="145"/>
      <c r="H52" s="13"/>
      <c r="I52" s="13"/>
      <c r="J52" s="13"/>
      <c r="K52" s="13"/>
      <c r="L52" s="13"/>
      <c r="M52" s="353"/>
      <c r="N52" s="13"/>
      <c r="O52" s="13"/>
      <c r="P52" s="13"/>
      <c r="Q52" s="13"/>
      <c r="R52" s="348"/>
      <c r="S52" s="119"/>
      <c r="T52" s="119"/>
      <c r="U52" s="119"/>
      <c r="V52" s="119"/>
      <c r="W52" s="119"/>
      <c r="X52" s="119"/>
      <c r="Y52" s="119"/>
      <c r="Z52" s="119"/>
    </row>
    <row r="53" spans="1:26" s="2" customFormat="1" ht="12.75">
      <c r="A53" s="127"/>
      <c r="B53" s="128" t="s">
        <v>43</v>
      </c>
      <c r="C53" s="128"/>
      <c r="D53" s="115"/>
      <c r="E53" s="15" t="s">
        <v>44</v>
      </c>
      <c r="F53" s="158"/>
      <c r="G53" s="158">
        <v>41126.8</v>
      </c>
      <c r="H53" s="17"/>
      <c r="I53" s="523">
        <v>41126.8</v>
      </c>
      <c r="J53" s="27">
        <v>40037.8</v>
      </c>
      <c r="K53" s="27">
        <v>41392</v>
      </c>
      <c r="L53" s="18"/>
      <c r="M53" s="351"/>
      <c r="N53" s="18"/>
      <c r="O53" s="18"/>
      <c r="P53" s="18"/>
      <c r="Q53" s="18"/>
      <c r="R53" s="137" t="s">
        <v>304</v>
      </c>
      <c r="S53" s="332"/>
      <c r="T53" s="306" t="s">
        <v>276</v>
      </c>
      <c r="U53" s="307"/>
      <c r="V53" s="308"/>
      <c r="W53"/>
      <c r="X53"/>
      <c r="Y53"/>
      <c r="Z53"/>
    </row>
    <row r="54" spans="1:26" s="2" customFormat="1" ht="12.75">
      <c r="A54" s="116" t="s">
        <v>45</v>
      </c>
      <c r="B54" s="106"/>
      <c r="C54" s="106"/>
      <c r="D54" s="104"/>
      <c r="E54" s="20" t="s">
        <v>27</v>
      </c>
      <c r="F54" s="159">
        <v>189.4</v>
      </c>
      <c r="G54" s="159">
        <f>(20*LOG(G38*1000000)+20*LOG(4*PI()*G53*1000)-20*LOG(300000000))</f>
        <v>189.28714272152172</v>
      </c>
      <c r="H54" s="30"/>
      <c r="I54" s="160">
        <f>(20*LOG($I$38*1000000)+20*LOG(4*PI()*I53*1000)-20*LOG(300000000))</f>
        <v>189.28714272152172</v>
      </c>
      <c r="J54" s="44">
        <f>-(I54-(20*LOG($I$38*1000000)+20*LOG(4*PI()*J53*1000)-20*LOG(300000000)))</f>
        <v>-0.23309426716764392</v>
      </c>
      <c r="K54" s="44">
        <f>-(I54-(20*LOG($I$38*1000000)+20*LOG(4*PI()*K53*1000)-20*LOG(300000000)))</f>
        <v>0.0558298439311784</v>
      </c>
      <c r="L54" s="40">
        <f>I54+((J54+K54)/3)</f>
        <v>189.2280545804429</v>
      </c>
      <c r="M54" s="53">
        <f>(J54^2+K54^2-(K54*J54))/18</f>
        <v>0.003914640300945704</v>
      </c>
      <c r="N54" s="41"/>
      <c r="O54" s="41"/>
      <c r="P54" s="41"/>
      <c r="Q54" s="20" t="s">
        <v>36</v>
      </c>
      <c r="R54" s="24" t="s">
        <v>46</v>
      </c>
      <c r="S54" s="296" t="s">
        <v>257</v>
      </c>
      <c r="T54" s="311"/>
      <c r="U54" s="312" t="s">
        <v>290</v>
      </c>
      <c r="V54" s="313" t="s">
        <v>324</v>
      </c>
      <c r="W54"/>
      <c r="X54"/>
      <c r="Y54"/>
      <c r="Z54"/>
    </row>
    <row r="55" spans="1:26" s="2" customFormat="1" ht="13.5" thickBot="1">
      <c r="A55" s="138" t="s">
        <v>47</v>
      </c>
      <c r="B55" s="139"/>
      <c r="C55" s="139"/>
      <c r="D55" s="140"/>
      <c r="E55" s="20" t="s">
        <v>27</v>
      </c>
      <c r="F55" s="149">
        <v>0</v>
      </c>
      <c r="G55" s="149">
        <v>0.35</v>
      </c>
      <c r="H55" s="22" t="s">
        <v>104</v>
      </c>
      <c r="I55" s="52">
        <v>0.35</v>
      </c>
      <c r="J55" s="26">
        <f>-(0.35-0.13)</f>
        <v>-0.21999999999999997</v>
      </c>
      <c r="K55" s="26">
        <f>-(0.35-1.67)</f>
        <v>1.3199999999999998</v>
      </c>
      <c r="L55" s="20">
        <f>I55+((J55+K55)/2)</f>
        <v>0.8999999999999999</v>
      </c>
      <c r="M55" s="53">
        <f>((J55-K55)^2)/36</f>
        <v>0.06587777777777776</v>
      </c>
      <c r="N55" s="20"/>
      <c r="O55" s="20"/>
      <c r="P55" s="20"/>
      <c r="Q55" s="20" t="s">
        <v>32</v>
      </c>
      <c r="R55" s="216" t="s">
        <v>48</v>
      </c>
      <c r="S55" s="334"/>
      <c r="T55" s="316" t="s">
        <v>301</v>
      </c>
      <c r="U55" s="315" t="s">
        <v>292</v>
      </c>
      <c r="V55" s="316" t="s">
        <v>324</v>
      </c>
      <c r="W55"/>
      <c r="X55"/>
      <c r="Y55"/>
      <c r="Z55"/>
    </row>
    <row r="56" spans="1:26" s="341" customFormat="1" ht="13.5" thickBot="1">
      <c r="A56" s="103" t="s">
        <v>105</v>
      </c>
      <c r="B56" s="103"/>
      <c r="C56" s="103"/>
      <c r="D56" s="103"/>
      <c r="E56" s="13"/>
      <c r="F56" s="145"/>
      <c r="G56" s="145"/>
      <c r="H56" s="13"/>
      <c r="I56" s="13"/>
      <c r="J56" s="13"/>
      <c r="K56" s="13"/>
      <c r="L56" s="13"/>
      <c r="M56" s="353"/>
      <c r="N56" s="13"/>
      <c r="O56" s="13"/>
      <c r="P56" s="13"/>
      <c r="Q56" s="13"/>
      <c r="R56" s="348"/>
      <c r="S56" s="119"/>
      <c r="T56" s="119"/>
      <c r="U56" s="119"/>
      <c r="V56" s="119"/>
      <c r="W56" s="119"/>
      <c r="X56" s="119"/>
      <c r="Y56" s="119"/>
      <c r="Z56" s="119"/>
    </row>
    <row r="57" spans="1:26" s="2" customFormat="1" ht="12.75">
      <c r="A57" s="127" t="s">
        <v>106</v>
      </c>
      <c r="B57" s="128"/>
      <c r="C57" s="128"/>
      <c r="D57" s="115"/>
      <c r="E57" s="15" t="s">
        <v>35</v>
      </c>
      <c r="F57" s="170">
        <f>F51-F54-F55</f>
        <v>-135.09995761626416</v>
      </c>
      <c r="G57" s="170">
        <f>G51-G54-G55</f>
        <v>-139.79690365628844</v>
      </c>
      <c r="H57" s="17"/>
      <c r="I57" s="32">
        <f>I51-I54-I55</f>
        <v>-137.19690365628844</v>
      </c>
      <c r="J57" s="18"/>
      <c r="K57" s="18"/>
      <c r="L57" s="34">
        <f>L51-L54-L55</f>
        <v>-137.68781551520962</v>
      </c>
      <c r="M57" s="356">
        <f>M51+M54+M55</f>
        <v>0.6649090847453902</v>
      </c>
      <c r="N57" s="34"/>
      <c r="O57" s="34"/>
      <c r="P57" s="34"/>
      <c r="Q57" s="18"/>
      <c r="R57" s="137"/>
      <c r="S57" s="323" t="s">
        <v>258</v>
      </c>
      <c r="T57" s="308"/>
      <c r="U57" s="323" t="s">
        <v>305</v>
      </c>
      <c r="V57" s="324" t="s">
        <v>302</v>
      </c>
      <c r="W57"/>
      <c r="X57"/>
      <c r="Y57"/>
      <c r="Z57"/>
    </row>
    <row r="58" spans="1:26" s="2" customFormat="1" ht="12.75">
      <c r="A58" s="116" t="s">
        <v>107</v>
      </c>
      <c r="B58" s="106"/>
      <c r="C58" s="106"/>
      <c r="D58" s="104"/>
      <c r="E58" s="20" t="s">
        <v>108</v>
      </c>
      <c r="F58" s="149">
        <v>-154</v>
      </c>
      <c r="G58" s="149">
        <v>-154</v>
      </c>
      <c r="H58" s="25"/>
      <c r="I58" s="37"/>
      <c r="J58" s="38"/>
      <c r="K58" s="38"/>
      <c r="L58" s="38"/>
      <c r="M58" s="352"/>
      <c r="N58" s="38"/>
      <c r="O58" s="38"/>
      <c r="P58" s="38"/>
      <c r="Q58" s="38"/>
      <c r="R58" s="24" t="s">
        <v>281</v>
      </c>
      <c r="S58" s="319"/>
      <c r="T58" s="309" t="s">
        <v>280</v>
      </c>
      <c r="U58" s="318"/>
      <c r="V58" s="311"/>
      <c r="W58"/>
      <c r="X58"/>
      <c r="Y58"/>
      <c r="Z58"/>
    </row>
    <row r="59" spans="1:26" s="2" customFormat="1" ht="12.75">
      <c r="A59" s="116" t="s">
        <v>109</v>
      </c>
      <c r="B59" s="106"/>
      <c r="C59" s="106"/>
      <c r="D59" s="104"/>
      <c r="E59" s="20" t="s">
        <v>108</v>
      </c>
      <c r="F59" s="171">
        <v>-164</v>
      </c>
      <c r="G59" s="171">
        <f>(G51-30)-10*LOG(G5*1000000)+10*LOG(4000)-G55-(10*LOG(4*PI()*(G53*1000)^2))</f>
        <v>-158.83585774170493</v>
      </c>
      <c r="H59" s="25"/>
      <c r="I59" s="37"/>
      <c r="J59" s="38"/>
      <c r="K59" s="38"/>
      <c r="L59" s="38"/>
      <c r="M59" s="352"/>
      <c r="N59" s="38"/>
      <c r="O59" s="38"/>
      <c r="P59" s="38"/>
      <c r="Q59" s="38"/>
      <c r="R59" s="24" t="s">
        <v>282</v>
      </c>
      <c r="S59" s="319"/>
      <c r="T59" s="311"/>
      <c r="U59" s="318"/>
      <c r="V59" s="311"/>
      <c r="W59"/>
      <c r="X59"/>
      <c r="Y59"/>
      <c r="Z59"/>
    </row>
    <row r="60" spans="1:26" s="2" customFormat="1" ht="12.75">
      <c r="A60" s="116"/>
      <c r="B60" s="106" t="s">
        <v>110</v>
      </c>
      <c r="C60" s="106"/>
      <c r="D60" s="104"/>
      <c r="E60" s="20" t="s">
        <v>77</v>
      </c>
      <c r="F60" s="149">
        <v>-0.3</v>
      </c>
      <c r="G60" s="149">
        <v>-0.3</v>
      </c>
      <c r="H60" s="538" t="str">
        <f>IF(J60=-K60,CONCATENATE("±",TEXT(ABS(J60),"0.0##")),CONCATENATE(TEXT(J60,"+0.0##;-0.0##"),"/",TEXT(K60,"+0.0##;-0.0##")))</f>
        <v>±0.5</v>
      </c>
      <c r="I60" s="52">
        <f>G60</f>
        <v>-0.3</v>
      </c>
      <c r="J60" s="26">
        <v>0.5</v>
      </c>
      <c r="K60" s="26">
        <v>-0.5</v>
      </c>
      <c r="L60" s="20">
        <f>I60+((J60+K60)/3)</f>
        <v>-0.3</v>
      </c>
      <c r="M60" s="53">
        <f>(J60^2+K60^2-(K60*J60))/18</f>
        <v>0.041666666666666664</v>
      </c>
      <c r="N60" s="20"/>
      <c r="O60" s="20"/>
      <c r="P60" s="20"/>
      <c r="Q60" s="20" t="s">
        <v>36</v>
      </c>
      <c r="R60" s="24" t="s">
        <v>283</v>
      </c>
      <c r="S60" s="319"/>
      <c r="T60" s="309" t="s">
        <v>268</v>
      </c>
      <c r="U60" s="312" t="s">
        <v>292</v>
      </c>
      <c r="V60" s="313" t="s">
        <v>324</v>
      </c>
      <c r="W60"/>
      <c r="X60"/>
      <c r="Y60"/>
      <c r="Z60"/>
    </row>
    <row r="61" spans="1:26" s="2" customFormat="1" ht="12.75">
      <c r="A61" s="116"/>
      <c r="B61" s="106" t="s">
        <v>111</v>
      </c>
      <c r="C61" s="106"/>
      <c r="D61" s="104"/>
      <c r="E61" s="20" t="s">
        <v>27</v>
      </c>
      <c r="F61" s="149">
        <v>0</v>
      </c>
      <c r="G61" s="149">
        <v>0</v>
      </c>
      <c r="H61" s="22"/>
      <c r="I61" s="52">
        <v>0</v>
      </c>
      <c r="J61" s="26">
        <v>0</v>
      </c>
      <c r="K61" s="26">
        <v>0</v>
      </c>
      <c r="L61" s="20">
        <f>I61+((J61+K61)/2)</f>
        <v>0</v>
      </c>
      <c r="M61" s="53">
        <f>((J61-K61)^2)/12</f>
        <v>0</v>
      </c>
      <c r="N61" s="20"/>
      <c r="O61" s="20"/>
      <c r="P61" s="20"/>
      <c r="Q61" s="20" t="s">
        <v>39</v>
      </c>
      <c r="R61" s="24" t="s">
        <v>283</v>
      </c>
      <c r="S61" s="319"/>
      <c r="T61" s="309" t="s">
        <v>268</v>
      </c>
      <c r="U61" s="312" t="s">
        <v>291</v>
      </c>
      <c r="V61" s="313" t="s">
        <v>324</v>
      </c>
      <c r="W61"/>
      <c r="X61"/>
      <c r="Y61"/>
      <c r="Z61"/>
    </row>
    <row r="62" spans="1:26" s="2" customFormat="1" ht="12.75">
      <c r="A62" s="116"/>
      <c r="B62" s="106"/>
      <c r="C62" s="106" t="s">
        <v>22</v>
      </c>
      <c r="D62" s="104"/>
      <c r="E62" s="36" t="s">
        <v>23</v>
      </c>
      <c r="F62" s="164" t="s">
        <v>24</v>
      </c>
      <c r="G62" s="164" t="s">
        <v>24</v>
      </c>
      <c r="H62" s="22"/>
      <c r="I62" s="52" t="str">
        <f>G62</f>
        <v>linear</v>
      </c>
      <c r="J62" s="23"/>
      <c r="K62" s="23"/>
      <c r="L62" s="23"/>
      <c r="M62" s="352"/>
      <c r="N62" s="23"/>
      <c r="O62" s="23"/>
      <c r="P62" s="23"/>
      <c r="Q62" s="23"/>
      <c r="R62" s="24" t="s">
        <v>25</v>
      </c>
      <c r="S62" s="319"/>
      <c r="T62" s="309" t="s">
        <v>267</v>
      </c>
      <c r="U62" s="310"/>
      <c r="V62" s="311"/>
      <c r="W62"/>
      <c r="X62"/>
      <c r="Y62"/>
      <c r="Z62"/>
    </row>
    <row r="63" spans="1:26" s="2" customFormat="1" ht="12.75">
      <c r="A63" s="116"/>
      <c r="B63" s="106"/>
      <c r="C63" s="106" t="s">
        <v>26</v>
      </c>
      <c r="D63" s="104"/>
      <c r="E63" s="36" t="s">
        <v>27</v>
      </c>
      <c r="F63" s="155" t="s">
        <v>28</v>
      </c>
      <c r="G63" s="155" t="s">
        <v>28</v>
      </c>
      <c r="H63" s="22"/>
      <c r="I63" s="52" t="str">
        <f>G63</f>
        <v> --</v>
      </c>
      <c r="J63" s="23"/>
      <c r="K63" s="23"/>
      <c r="L63" s="23"/>
      <c r="M63" s="352"/>
      <c r="N63" s="23"/>
      <c r="O63" s="23"/>
      <c r="P63" s="23"/>
      <c r="Q63" s="23"/>
      <c r="R63" s="24" t="s">
        <v>29</v>
      </c>
      <c r="S63" s="319"/>
      <c r="T63" s="309" t="s">
        <v>267</v>
      </c>
      <c r="U63" s="310"/>
      <c r="V63" s="311"/>
      <c r="W63"/>
      <c r="X63"/>
      <c r="Y63"/>
      <c r="Z63"/>
    </row>
    <row r="64" spans="1:26" s="2" customFormat="1" ht="12" customHeight="1">
      <c r="A64" s="116"/>
      <c r="B64" s="106" t="s">
        <v>50</v>
      </c>
      <c r="C64" s="106"/>
      <c r="D64" s="104"/>
      <c r="E64" s="20" t="s">
        <v>27</v>
      </c>
      <c r="F64" s="149">
        <v>0.2</v>
      </c>
      <c r="G64" s="149">
        <v>0.2</v>
      </c>
      <c r="H64" s="538" t="str">
        <f>IF(J64=-K64,CONCATENATE("±",TEXT(ABS(J64),"0.0##")),CONCATENATE(TEXT(J64,"+0.0##;-0.0##"),"/",TEXT(K64,"+0.0##;-0.0##")))</f>
        <v>±0.2</v>
      </c>
      <c r="I64" s="52">
        <v>0.2</v>
      </c>
      <c r="J64" s="26">
        <v>-0.2</v>
      </c>
      <c r="K64" s="26">
        <v>0.2</v>
      </c>
      <c r="L64" s="20">
        <f>I64+((J64+K64)/2)</f>
        <v>0.2</v>
      </c>
      <c r="M64" s="53">
        <f>((J64-K64)^2)/12</f>
        <v>0.013333333333333336</v>
      </c>
      <c r="N64" s="20"/>
      <c r="O64" s="20"/>
      <c r="P64" s="20"/>
      <c r="Q64" s="20" t="s">
        <v>39</v>
      </c>
      <c r="R64" s="24" t="s">
        <v>51</v>
      </c>
      <c r="S64" s="319"/>
      <c r="T64" s="311"/>
      <c r="U64" s="312" t="s">
        <v>291</v>
      </c>
      <c r="V64" s="313" t="s">
        <v>324</v>
      </c>
      <c r="W64"/>
      <c r="X64"/>
      <c r="Y64"/>
      <c r="Z64"/>
    </row>
    <row r="65" spans="1:26" s="2" customFormat="1" ht="12.75">
      <c r="A65" s="116"/>
      <c r="B65" s="106" t="s">
        <v>78</v>
      </c>
      <c r="C65" s="106"/>
      <c r="D65" s="104"/>
      <c r="E65" s="20" t="s">
        <v>79</v>
      </c>
      <c r="F65" s="147">
        <v>-198.6</v>
      </c>
      <c r="G65" s="147">
        <v>-198.6</v>
      </c>
      <c r="H65" s="22"/>
      <c r="I65" s="52">
        <v>-198.6</v>
      </c>
      <c r="J65" s="23"/>
      <c r="K65" s="23"/>
      <c r="L65" s="20">
        <f>I65</f>
        <v>-198.6</v>
      </c>
      <c r="M65" s="53">
        <v>0</v>
      </c>
      <c r="N65" s="20"/>
      <c r="O65" s="20"/>
      <c r="P65" s="20"/>
      <c r="Q65" s="20" t="s">
        <v>80</v>
      </c>
      <c r="R65" s="24" t="s">
        <v>81</v>
      </c>
      <c r="S65" s="319"/>
      <c r="T65" s="311"/>
      <c r="U65" s="330" t="s">
        <v>303</v>
      </c>
      <c r="V65" s="313" t="s">
        <v>302</v>
      </c>
      <c r="W65"/>
      <c r="X65"/>
      <c r="Y65"/>
      <c r="Z65"/>
    </row>
    <row r="66" spans="1:26" s="2" customFormat="1" ht="12.75">
      <c r="A66" s="116" t="s">
        <v>112</v>
      </c>
      <c r="B66" s="106"/>
      <c r="C66" s="106"/>
      <c r="D66" s="104"/>
      <c r="E66" s="36" t="s">
        <v>83</v>
      </c>
      <c r="F66" s="44">
        <f>F57+F60-F61-F64-F65</f>
        <v>63.00004238373583</v>
      </c>
      <c r="G66" s="44">
        <f>G57+G60-G61-G64-G65</f>
        <v>58.30309634371156</v>
      </c>
      <c r="H66" s="22"/>
      <c r="I66" s="43">
        <f>I57+I60-I61-I64-I65</f>
        <v>60.90309634371155</v>
      </c>
      <c r="J66" s="23"/>
      <c r="K66" s="23"/>
      <c r="L66" s="44">
        <f>L57+L60-L61-L64-L65</f>
        <v>60.41218448479037</v>
      </c>
      <c r="M66" s="355">
        <f>M57+M60+M61+M64+M65</f>
        <v>0.7199090847453902</v>
      </c>
      <c r="N66" s="44"/>
      <c r="O66" s="44"/>
      <c r="P66" s="44"/>
      <c r="Q66" s="23"/>
      <c r="R66" s="24"/>
      <c r="S66" s="297" t="s">
        <v>259</v>
      </c>
      <c r="T66" s="311"/>
      <c r="U66" s="360" t="s">
        <v>321</v>
      </c>
      <c r="V66" s="313" t="s">
        <v>302</v>
      </c>
      <c r="W66"/>
      <c r="X66"/>
      <c r="Y66"/>
      <c r="Z66"/>
    </row>
    <row r="67" spans="1:26" s="2" customFormat="1" ht="12.75">
      <c r="A67" s="116"/>
      <c r="B67" s="106" t="s">
        <v>113</v>
      </c>
      <c r="C67" s="106"/>
      <c r="D67" s="104"/>
      <c r="E67" s="20" t="s">
        <v>27</v>
      </c>
      <c r="F67" s="149" t="s">
        <v>31</v>
      </c>
      <c r="G67" s="149">
        <v>0.05</v>
      </c>
      <c r="H67" s="2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c r="R67" s="24" t="s">
        <v>114</v>
      </c>
      <c r="S67" s="319"/>
      <c r="T67" s="313" t="s">
        <v>279</v>
      </c>
      <c r="U67" s="312" t="s">
        <v>292</v>
      </c>
      <c r="V67" s="313" t="s">
        <v>324</v>
      </c>
      <c r="W67"/>
      <c r="X67"/>
      <c r="Y67"/>
      <c r="Z67"/>
    </row>
    <row r="68" spans="1:26" s="2" customFormat="1" ht="12.75">
      <c r="A68" s="116"/>
      <c r="B68" s="106" t="s">
        <v>115</v>
      </c>
      <c r="C68" s="106"/>
      <c r="D68" s="104"/>
      <c r="E68" s="20" t="s">
        <v>27</v>
      </c>
      <c r="F68" s="149">
        <v>0</v>
      </c>
      <c r="G68" s="149">
        <v>0</v>
      </c>
      <c r="H68" s="22"/>
      <c r="I68" s="52">
        <v>0</v>
      </c>
      <c r="J68" s="26">
        <v>0</v>
      </c>
      <c r="K68" s="26">
        <v>0</v>
      </c>
      <c r="L68" s="20">
        <f>I68+((J68+K68)/2)</f>
        <v>0</v>
      </c>
      <c r="M68" s="53">
        <f>((J68-K68)^2)/12</f>
        <v>0</v>
      </c>
      <c r="N68" s="20"/>
      <c r="O68" s="20"/>
      <c r="P68" s="20"/>
      <c r="Q68" s="20" t="s">
        <v>39</v>
      </c>
      <c r="R68" s="24" t="s">
        <v>116</v>
      </c>
      <c r="S68" s="319"/>
      <c r="T68" s="311"/>
      <c r="U68" s="312" t="s">
        <v>291</v>
      </c>
      <c r="V68" s="313" t="s">
        <v>324</v>
      </c>
      <c r="W68"/>
      <c r="X68"/>
      <c r="Y68"/>
      <c r="Z68"/>
    </row>
    <row r="69" spans="1:26" s="2" customFormat="1" ht="13.5" thickBot="1">
      <c r="A69" s="138" t="s">
        <v>117</v>
      </c>
      <c r="B69" s="139"/>
      <c r="C69" s="139"/>
      <c r="D69" s="140"/>
      <c r="E69" s="20" t="s">
        <v>83</v>
      </c>
      <c r="F69" s="159">
        <f>F66-F68</f>
        <v>63.00004238373583</v>
      </c>
      <c r="G69" s="159">
        <f>G66-G67-G68</f>
        <v>58.25309634371156</v>
      </c>
      <c r="H69" s="22"/>
      <c r="I69" s="43">
        <f>I66-I67-I68</f>
        <v>60.85809634371155</v>
      </c>
      <c r="J69" s="23"/>
      <c r="K69" s="23"/>
      <c r="L69" s="44">
        <f>L66-L67-L68</f>
        <v>60.36718448479037</v>
      </c>
      <c r="M69" s="355">
        <f>M66+M67+M68</f>
        <v>0.719911862523168</v>
      </c>
      <c r="N69" s="44"/>
      <c r="O69" s="20">
        <f>10^(-L69/10)</f>
        <v>9.189281411641212E-07</v>
      </c>
      <c r="P69" s="20">
        <f>O69*SQRT(M69)</f>
        <v>7.796886575894746E-07</v>
      </c>
      <c r="Q69" s="20" t="s">
        <v>32</v>
      </c>
      <c r="R69" s="216"/>
      <c r="S69" s="325" t="s">
        <v>260</v>
      </c>
      <c r="T69" s="328"/>
      <c r="U69" s="299" t="s">
        <v>298</v>
      </c>
      <c r="V69" s="316" t="s">
        <v>302</v>
      </c>
      <c r="W69"/>
      <c r="X69"/>
      <c r="Y69"/>
      <c r="Z69"/>
    </row>
    <row r="70" spans="1:26" s="341" customFormat="1" ht="13.5" thickBot="1">
      <c r="A70" s="103" t="s">
        <v>118</v>
      </c>
      <c r="B70" s="103"/>
      <c r="C70" s="103"/>
      <c r="D70" s="103"/>
      <c r="E70" s="13"/>
      <c r="F70" s="145"/>
      <c r="G70" s="145"/>
      <c r="H70" s="13"/>
      <c r="I70" s="13"/>
      <c r="J70" s="13"/>
      <c r="K70" s="13"/>
      <c r="L70" s="13"/>
      <c r="M70" s="353"/>
      <c r="N70" s="13"/>
      <c r="O70" s="13"/>
      <c r="P70" s="13"/>
      <c r="Q70" s="13"/>
      <c r="R70" s="348"/>
      <c r="S70" s="119"/>
      <c r="T70" s="119"/>
      <c r="U70" s="119"/>
      <c r="V70" s="119"/>
      <c r="W70" s="119"/>
      <c r="X70" s="119"/>
      <c r="Y70" s="119"/>
      <c r="Z70" s="119"/>
    </row>
    <row r="71" spans="1:26" s="2" customFormat="1" ht="12.75">
      <c r="A71" s="127" t="s">
        <v>119</v>
      </c>
      <c r="B71" s="128"/>
      <c r="C71" s="128"/>
      <c r="D71" s="115"/>
      <c r="E71" s="129" t="s">
        <v>83</v>
      </c>
      <c r="F71" s="172">
        <f>10*LOG(1/(1/(10^(F36/10))+1/(10^(F69/10))))</f>
        <v>62.8820442108328</v>
      </c>
      <c r="G71" s="173">
        <f>10*LOG(1/(1/(10^(G36/10))+1/(10^(G69/10))))</f>
        <v>58.15289245893997</v>
      </c>
      <c r="H71" s="132"/>
      <c r="I71" s="133">
        <f>10*LOG(1/(1/(10^(I36/10))+1/(10^(I69/10))))</f>
        <v>60.75334097059547</v>
      </c>
      <c r="J71" s="134"/>
      <c r="K71" s="134"/>
      <c r="L71" s="133">
        <f>10*LOG(1/(1/(10^(L36/10))+1/(10^(L69/10))))</f>
        <v>60.26300868535796</v>
      </c>
      <c r="M71" s="358">
        <f>(P71/O71)^2</f>
        <v>0.7103773056605007</v>
      </c>
      <c r="N71" s="135"/>
      <c r="O71" s="136">
        <f>O36+O69</f>
        <v>9.412373045477041E-07</v>
      </c>
      <c r="P71" s="136">
        <f>P36+P69</f>
        <v>7.933113553879736E-07</v>
      </c>
      <c r="Q71" s="129" t="s">
        <v>32</v>
      </c>
      <c r="R71" s="137" t="s">
        <v>120</v>
      </c>
      <c r="S71" s="326" t="s">
        <v>261</v>
      </c>
      <c r="T71" s="308"/>
      <c r="U71" s="327" t="s">
        <v>299</v>
      </c>
      <c r="V71" s="324" t="s">
        <v>288</v>
      </c>
      <c r="W71"/>
      <c r="X71"/>
      <c r="Y71"/>
      <c r="Z71"/>
    </row>
    <row r="72" spans="1:26" s="2" customFormat="1" ht="12.75">
      <c r="A72" s="116" t="s">
        <v>18</v>
      </c>
      <c r="B72" s="106"/>
      <c r="C72" s="106"/>
      <c r="D72" s="104"/>
      <c r="E72" s="120" t="s">
        <v>121</v>
      </c>
      <c r="F72" s="174"/>
      <c r="G72" s="174">
        <f>10*LOG(G5)+60</f>
        <v>51.07209969647869</v>
      </c>
      <c r="H72" s="122"/>
      <c r="I72" s="175">
        <f>10*LOG(I5)+60</f>
        <v>51.07209969647869</v>
      </c>
      <c r="J72" s="124"/>
      <c r="K72" s="124"/>
      <c r="L72" s="125">
        <f>I72</f>
        <v>51.07209969647869</v>
      </c>
      <c r="M72" s="403">
        <v>0</v>
      </c>
      <c r="N72" s="126"/>
      <c r="O72" s="126"/>
      <c r="P72" s="126"/>
      <c r="Q72" s="126" t="s">
        <v>80</v>
      </c>
      <c r="R72" s="24"/>
      <c r="S72" s="297" t="s">
        <v>262</v>
      </c>
      <c r="T72" s="309" t="s">
        <v>265</v>
      </c>
      <c r="U72" s="330" t="s">
        <v>303</v>
      </c>
      <c r="V72" s="313" t="s">
        <v>302</v>
      </c>
      <c r="W72"/>
      <c r="X72"/>
      <c r="Y72"/>
      <c r="Z72"/>
    </row>
    <row r="73" spans="1:26" s="2" customFormat="1" ht="13.5" thickBot="1">
      <c r="A73" s="138" t="s">
        <v>122</v>
      </c>
      <c r="B73" s="139"/>
      <c r="C73" s="139"/>
      <c r="D73" s="140"/>
      <c r="E73" s="36" t="s">
        <v>27</v>
      </c>
      <c r="F73" s="44"/>
      <c r="G73" s="44">
        <f>G71-G72</f>
        <v>7.080792762461279</v>
      </c>
      <c r="H73" s="22"/>
      <c r="I73" s="43">
        <f>I71-I72</f>
        <v>9.681241274116779</v>
      </c>
      <c r="J73" s="23"/>
      <c r="K73" s="23"/>
      <c r="L73" s="44">
        <f>L71-L72</f>
        <v>9.190908988879272</v>
      </c>
      <c r="M73" s="355">
        <f>M71+M72</f>
        <v>0.7103773056605007</v>
      </c>
      <c r="N73" s="44"/>
      <c r="O73" s="44"/>
      <c r="P73" s="44"/>
      <c r="Q73" s="20" t="s">
        <v>32</v>
      </c>
      <c r="R73" s="216"/>
      <c r="S73" s="325" t="s">
        <v>263</v>
      </c>
      <c r="T73" s="328"/>
      <c r="U73" s="299" t="s">
        <v>300</v>
      </c>
      <c r="V73" s="316" t="s">
        <v>302</v>
      </c>
      <c r="W73"/>
      <c r="X73"/>
      <c r="Y73"/>
      <c r="Z73"/>
    </row>
    <row r="74" spans="1:26" s="341" customFormat="1" ht="12.75" customHeight="1" thickBot="1">
      <c r="A74" s="103" t="s">
        <v>123</v>
      </c>
      <c r="B74" s="103"/>
      <c r="C74" s="103"/>
      <c r="D74" s="103"/>
      <c r="E74" s="13"/>
      <c r="F74" s="145"/>
      <c r="G74" s="145"/>
      <c r="H74" s="13"/>
      <c r="I74" s="13"/>
      <c r="J74" s="13"/>
      <c r="K74" s="13"/>
      <c r="L74" s="13"/>
      <c r="M74" s="353"/>
      <c r="N74" s="13"/>
      <c r="O74" s="13"/>
      <c r="P74" s="13"/>
      <c r="Q74" s="13"/>
      <c r="R74" s="348"/>
      <c r="S74" s="119"/>
      <c r="T74" s="119"/>
      <c r="U74" s="119"/>
      <c r="V74" s="119"/>
      <c r="W74" s="119"/>
      <c r="X74" s="119"/>
      <c r="Y74" s="119"/>
      <c r="Z74" s="119"/>
    </row>
    <row r="75" spans="1:26" s="2" customFormat="1" ht="12.75">
      <c r="A75" s="127"/>
      <c r="B75" s="128" t="s">
        <v>124</v>
      </c>
      <c r="C75" s="128"/>
      <c r="D75" s="115"/>
      <c r="E75" s="20"/>
      <c r="F75" s="176" t="s">
        <v>166</v>
      </c>
      <c r="G75" s="176">
        <v>1E-08</v>
      </c>
      <c r="H75" s="22"/>
      <c r="I75" s="526">
        <f>G75</f>
        <v>1E-08</v>
      </c>
      <c r="J75" s="23"/>
      <c r="K75" s="23"/>
      <c r="L75" s="23"/>
      <c r="M75" s="352"/>
      <c r="N75" s="23"/>
      <c r="O75" s="23"/>
      <c r="P75" s="23"/>
      <c r="Q75" s="23"/>
      <c r="R75" s="137"/>
      <c r="S75" s="332"/>
      <c r="T75" s="306" t="s">
        <v>265</v>
      </c>
      <c r="U75" s="307"/>
      <c r="V75" s="308"/>
      <c r="W75"/>
      <c r="X75"/>
      <c r="Y75"/>
      <c r="Z75"/>
    </row>
    <row r="76" spans="1:26" s="2" customFormat="1" ht="12.75">
      <c r="A76" s="116" t="s">
        <v>125</v>
      </c>
      <c r="B76" s="106"/>
      <c r="C76" s="106"/>
      <c r="D76" s="104"/>
      <c r="E76" s="20" t="s">
        <v>27</v>
      </c>
      <c r="F76" s="167" t="s">
        <v>168</v>
      </c>
      <c r="G76" s="167">
        <v>2.55</v>
      </c>
      <c r="H76" s="22"/>
      <c r="I76" s="524">
        <f>G76</f>
        <v>2.55</v>
      </c>
      <c r="J76" s="26">
        <v>0</v>
      </c>
      <c r="K76" s="26">
        <v>0</v>
      </c>
      <c r="L76" s="20">
        <f>I76</f>
        <v>2.55</v>
      </c>
      <c r="M76" s="352"/>
      <c r="N76" s="23"/>
      <c r="O76" s="23"/>
      <c r="P76" s="23"/>
      <c r="Q76" s="23"/>
      <c r="R76" s="24" t="s">
        <v>126</v>
      </c>
      <c r="S76" s="319"/>
      <c r="T76" s="311"/>
      <c r="U76" s="310"/>
      <c r="V76" s="311"/>
      <c r="W76"/>
      <c r="X76"/>
      <c r="Y76"/>
      <c r="Z76"/>
    </row>
    <row r="77" spans="1:26" s="2" customFormat="1" ht="12.75">
      <c r="A77" s="116" t="s">
        <v>127</v>
      </c>
      <c r="B77" s="106"/>
      <c r="C77" s="106"/>
      <c r="D77" s="104"/>
      <c r="E77" s="20" t="s">
        <v>27</v>
      </c>
      <c r="F77" s="149"/>
      <c r="G77" s="149">
        <v>2.3</v>
      </c>
      <c r="H77" s="538" t="str">
        <f>IF(J77=-K77,CONCATENATE("±",TEXT(ABS(J77),"0.0##")),CONCATENATE(TEXT(J77,"+0.0##;-0.0##"),"/",TEXT(K77,"+0.0##;-0.0##")))</f>
        <v>±0.25</v>
      </c>
      <c r="I77" s="52">
        <v>2.3</v>
      </c>
      <c r="J77" s="26">
        <v>-0.25</v>
      </c>
      <c r="K77" s="26">
        <v>0.25</v>
      </c>
      <c r="L77" s="20">
        <f>I77+((J77+K77)/2)</f>
        <v>2.3</v>
      </c>
      <c r="M77" s="53">
        <f>((J77-K77)^2)/12</f>
        <v>0.020833333333333332</v>
      </c>
      <c r="N77" s="53"/>
      <c r="O77" s="53"/>
      <c r="P77" s="53"/>
      <c r="Q77" s="20" t="s">
        <v>39</v>
      </c>
      <c r="R77" s="24"/>
      <c r="S77" s="319"/>
      <c r="T77" s="309" t="s">
        <v>265</v>
      </c>
      <c r="U77" s="312" t="s">
        <v>291</v>
      </c>
      <c r="V77" s="313" t="s">
        <v>324</v>
      </c>
      <c r="W77"/>
      <c r="X77"/>
      <c r="Y77"/>
      <c r="Z77"/>
    </row>
    <row r="78" spans="1:26" s="2" customFormat="1" ht="12.75">
      <c r="A78" s="116"/>
      <c r="B78" s="106" t="s">
        <v>128</v>
      </c>
      <c r="C78" s="106"/>
      <c r="D78" s="104"/>
      <c r="E78" s="20" t="s">
        <v>27</v>
      </c>
      <c r="F78" s="149"/>
      <c r="G78" s="149"/>
      <c r="H78" s="25"/>
      <c r="I78" s="37"/>
      <c r="J78" s="38"/>
      <c r="K78" s="38"/>
      <c r="L78" s="38"/>
      <c r="M78" s="352"/>
      <c r="N78" s="38"/>
      <c r="O78" s="38"/>
      <c r="P78" s="38"/>
      <c r="Q78" s="38"/>
      <c r="R78" s="24"/>
      <c r="S78" s="319"/>
      <c r="T78" s="311"/>
      <c r="U78" s="318"/>
      <c r="V78" s="311"/>
      <c r="W78"/>
      <c r="X78"/>
      <c r="Y78"/>
      <c r="Z78"/>
    </row>
    <row r="79" spans="1:26" s="2" customFormat="1" ht="12.75">
      <c r="A79" s="116"/>
      <c r="B79" s="106" t="s">
        <v>243</v>
      </c>
      <c r="D79" s="104"/>
      <c r="E79" s="20" t="s">
        <v>27</v>
      </c>
      <c r="F79" s="149"/>
      <c r="G79" s="149">
        <v>0.05</v>
      </c>
      <c r="H79" s="25"/>
      <c r="I79" s="37"/>
      <c r="J79" s="38"/>
      <c r="K79" s="38"/>
      <c r="L79" s="38"/>
      <c r="M79" s="352"/>
      <c r="N79" s="38"/>
      <c r="O79" s="38"/>
      <c r="P79" s="38"/>
      <c r="Q79" s="38"/>
      <c r="R79" s="24"/>
      <c r="S79" s="319"/>
      <c r="T79" s="311"/>
      <c r="U79" s="318"/>
      <c r="V79" s="311"/>
      <c r="W79"/>
      <c r="X79"/>
      <c r="Y79"/>
      <c r="Z79"/>
    </row>
    <row r="80" spans="1:26" s="2" customFormat="1" ht="12.75">
      <c r="A80" s="116"/>
      <c r="B80" s="106" t="s">
        <v>129</v>
      </c>
      <c r="C80" s="106"/>
      <c r="D80" s="104"/>
      <c r="E80" s="20" t="s">
        <v>27</v>
      </c>
      <c r="F80" s="149"/>
      <c r="G80" s="149">
        <f>SUM(G81:G83)</f>
        <v>0.112</v>
      </c>
      <c r="H80" s="25"/>
      <c r="I80" s="37"/>
      <c r="J80" s="38"/>
      <c r="K80" s="38"/>
      <c r="L80" s="38"/>
      <c r="M80" s="352"/>
      <c r="N80" s="38"/>
      <c r="O80" s="38"/>
      <c r="P80" s="38"/>
      <c r="Q80" s="38"/>
      <c r="R80" s="24"/>
      <c r="S80" s="319"/>
      <c r="T80" s="311"/>
      <c r="U80" s="318"/>
      <c r="V80" s="311"/>
      <c r="W80"/>
      <c r="X80"/>
      <c r="Y80"/>
      <c r="Z80"/>
    </row>
    <row r="81" spans="1:26" s="2" customFormat="1" ht="12.75">
      <c r="A81" s="116"/>
      <c r="B81" s="106"/>
      <c r="C81" s="106" t="s">
        <v>130</v>
      </c>
      <c r="D81" s="104"/>
      <c r="E81" s="20" t="s">
        <v>27</v>
      </c>
      <c r="F81" s="149"/>
      <c r="G81" s="149">
        <v>0.1</v>
      </c>
      <c r="H81" s="25"/>
      <c r="I81" s="37"/>
      <c r="J81" s="38"/>
      <c r="K81" s="38"/>
      <c r="L81" s="38"/>
      <c r="M81" s="352"/>
      <c r="N81" s="38"/>
      <c r="O81" s="38"/>
      <c r="P81" s="38"/>
      <c r="Q81" s="38"/>
      <c r="R81" s="24"/>
      <c r="S81" s="319"/>
      <c r="T81" s="311"/>
      <c r="U81" s="318"/>
      <c r="V81" s="311"/>
      <c r="W81"/>
      <c r="X81"/>
      <c r="Y81"/>
      <c r="Z81"/>
    </row>
    <row r="82" spans="1:26" s="2" customFormat="1" ht="12.75">
      <c r="A82" s="116"/>
      <c r="B82" s="106"/>
      <c r="C82" s="106" t="s">
        <v>131</v>
      </c>
      <c r="D82" s="104"/>
      <c r="E82" s="20" t="s">
        <v>27</v>
      </c>
      <c r="F82" s="149"/>
      <c r="G82" s="149"/>
      <c r="H82" s="25"/>
      <c r="I82" s="37"/>
      <c r="J82" s="38"/>
      <c r="K82" s="38"/>
      <c r="L82" s="38"/>
      <c r="M82" s="352"/>
      <c r="N82" s="38"/>
      <c r="O82" s="38"/>
      <c r="P82" s="38"/>
      <c r="Q82" s="38"/>
      <c r="R82" s="24"/>
      <c r="S82" s="319"/>
      <c r="T82" s="311"/>
      <c r="U82" s="318"/>
      <c r="V82" s="311"/>
      <c r="W82"/>
      <c r="X82"/>
      <c r="Y82"/>
      <c r="Z82"/>
    </row>
    <row r="83" spans="1:26" s="2" customFormat="1" ht="12.75">
      <c r="A83" s="116"/>
      <c r="B83" s="106"/>
      <c r="C83" s="106" t="s">
        <v>132</v>
      </c>
      <c r="D83" s="104"/>
      <c r="E83" s="20" t="s">
        <v>27</v>
      </c>
      <c r="F83" s="149"/>
      <c r="G83" s="149">
        <v>0.012</v>
      </c>
      <c r="H83" s="25"/>
      <c r="I83" s="37"/>
      <c r="J83" s="38"/>
      <c r="K83" s="38"/>
      <c r="L83" s="38"/>
      <c r="M83" s="352"/>
      <c r="N83" s="38"/>
      <c r="O83" s="38"/>
      <c r="P83" s="38"/>
      <c r="Q83" s="38"/>
      <c r="R83" s="24"/>
      <c r="S83" s="319"/>
      <c r="T83" s="311"/>
      <c r="U83" s="318"/>
      <c r="V83" s="311"/>
      <c r="W83"/>
      <c r="X83"/>
      <c r="Y83"/>
      <c r="Z83"/>
    </row>
    <row r="84" spans="1:26" s="2" customFormat="1" ht="12.75">
      <c r="A84" s="116" t="s">
        <v>133</v>
      </c>
      <c r="B84" s="106"/>
      <c r="C84" s="106"/>
      <c r="D84" s="104"/>
      <c r="E84" s="20" t="s">
        <v>27</v>
      </c>
      <c r="F84" s="149"/>
      <c r="G84" s="168">
        <f>SUM(G85:G88)</f>
        <v>0.55130053</v>
      </c>
      <c r="H84" s="25" t="s">
        <v>134</v>
      </c>
      <c r="I84" s="525">
        <f>G84*0.9</f>
        <v>0.496170477</v>
      </c>
      <c r="J84" s="99">
        <f>-G84*0.1</f>
        <v>-0.055130053000000005</v>
      </c>
      <c r="K84" s="99">
        <f>G84*0.1</f>
        <v>0.055130053000000005</v>
      </c>
      <c r="L84" s="40">
        <f>I84+((J84+K84)/3)</f>
        <v>0.496170477</v>
      </c>
      <c r="M84" s="53">
        <f>(J84^2+K84^2-(K84*J84))/18</f>
        <v>0.0005065537906304683</v>
      </c>
      <c r="N84" s="20"/>
      <c r="O84" s="20"/>
      <c r="P84" s="20"/>
      <c r="Q84" s="20" t="s">
        <v>36</v>
      </c>
      <c r="R84" s="24"/>
      <c r="S84" s="319"/>
      <c r="T84" s="309" t="s">
        <v>135</v>
      </c>
      <c r="U84" s="312" t="s">
        <v>290</v>
      </c>
      <c r="V84" s="313" t="s">
        <v>324</v>
      </c>
      <c r="W84"/>
      <c r="X84"/>
      <c r="Y84"/>
      <c r="Z84"/>
    </row>
    <row r="85" spans="1:26" s="2" customFormat="1" ht="12.75">
      <c r="A85" s="116"/>
      <c r="B85" s="106"/>
      <c r="C85" s="106" t="s">
        <v>130</v>
      </c>
      <c r="D85" s="104"/>
      <c r="E85" s="20" t="s">
        <v>27</v>
      </c>
      <c r="F85" s="149"/>
      <c r="G85" s="149">
        <v>0.5</v>
      </c>
      <c r="H85" s="25"/>
      <c r="I85" s="37"/>
      <c r="J85" s="38"/>
      <c r="K85" s="38"/>
      <c r="L85" s="38"/>
      <c r="M85" s="352"/>
      <c r="N85" s="38"/>
      <c r="O85" s="38"/>
      <c r="P85" s="38"/>
      <c r="Q85" s="38"/>
      <c r="R85" s="24"/>
      <c r="S85" s="319"/>
      <c r="T85" s="313" t="s">
        <v>289</v>
      </c>
      <c r="U85" s="318"/>
      <c r="V85" s="311"/>
      <c r="W85"/>
      <c r="X85"/>
      <c r="Y85"/>
      <c r="Z85"/>
    </row>
    <row r="86" spans="1:26" s="2" customFormat="1" ht="12.75">
      <c r="A86" s="116"/>
      <c r="B86" s="106"/>
      <c r="C86" s="106" t="s">
        <v>136</v>
      </c>
      <c r="D86" s="104"/>
      <c r="E86" s="20" t="s">
        <v>27</v>
      </c>
      <c r="F86" s="177"/>
      <c r="G86" s="177">
        <v>5.3E-07</v>
      </c>
      <c r="H86" s="25"/>
      <c r="I86" s="37"/>
      <c r="J86" s="38"/>
      <c r="K86" s="38"/>
      <c r="L86" s="38"/>
      <c r="M86" s="352"/>
      <c r="N86" s="38"/>
      <c r="O86" s="38"/>
      <c r="P86" s="38"/>
      <c r="Q86" s="38"/>
      <c r="R86" s="24"/>
      <c r="S86" s="319"/>
      <c r="T86" s="313" t="s">
        <v>289</v>
      </c>
      <c r="U86" s="318"/>
      <c r="V86" s="311"/>
      <c r="W86"/>
      <c r="X86"/>
      <c r="Y86"/>
      <c r="Z86"/>
    </row>
    <row r="87" spans="1:26" s="2" customFormat="1" ht="12.75">
      <c r="A87" s="116"/>
      <c r="B87" s="106"/>
      <c r="C87" s="106" t="s">
        <v>137</v>
      </c>
      <c r="D87" s="104"/>
      <c r="E87" s="20" t="s">
        <v>27</v>
      </c>
      <c r="F87" s="149"/>
      <c r="G87" s="149">
        <v>0.0013</v>
      </c>
      <c r="H87" s="25"/>
      <c r="I87" s="37"/>
      <c r="J87" s="38"/>
      <c r="K87" s="38"/>
      <c r="L87" s="38"/>
      <c r="M87" s="352"/>
      <c r="N87" s="38"/>
      <c r="O87" s="38"/>
      <c r="P87" s="38"/>
      <c r="Q87" s="38"/>
      <c r="R87" s="24"/>
      <c r="S87" s="319"/>
      <c r="T87" s="313" t="s">
        <v>289</v>
      </c>
      <c r="U87" s="318"/>
      <c r="V87" s="311"/>
      <c r="W87"/>
      <c r="X87"/>
      <c r="Y87"/>
      <c r="Z87"/>
    </row>
    <row r="88" spans="1:26" s="2" customFormat="1" ht="12.75">
      <c r="A88" s="116"/>
      <c r="B88" s="106"/>
      <c r="C88" s="106" t="s">
        <v>138</v>
      </c>
      <c r="D88" s="104"/>
      <c r="E88" s="20" t="s">
        <v>27</v>
      </c>
      <c r="F88" s="149"/>
      <c r="G88" s="149">
        <v>0.05</v>
      </c>
      <c r="H88" s="25"/>
      <c r="I88" s="37"/>
      <c r="J88" s="38"/>
      <c r="K88" s="38"/>
      <c r="L88" s="38"/>
      <c r="M88" s="352"/>
      <c r="N88" s="38"/>
      <c r="O88" s="38"/>
      <c r="P88" s="38"/>
      <c r="Q88" s="38"/>
      <c r="R88" s="24"/>
      <c r="S88" s="319"/>
      <c r="T88" s="313" t="s">
        <v>275</v>
      </c>
      <c r="U88" s="318"/>
      <c r="V88" s="311"/>
      <c r="W88"/>
      <c r="X88"/>
      <c r="Y88"/>
      <c r="Z88"/>
    </row>
    <row r="89" spans="1:26" s="2" customFormat="1" ht="13.5" thickBot="1">
      <c r="A89" s="138" t="s">
        <v>139</v>
      </c>
      <c r="B89" s="139"/>
      <c r="C89" s="139"/>
      <c r="D89" s="140"/>
      <c r="E89" s="20" t="s">
        <v>27</v>
      </c>
      <c r="F89" s="178"/>
      <c r="G89" s="178">
        <f>G76+G77+G84</f>
        <v>5.401300529999999</v>
      </c>
      <c r="H89" s="55"/>
      <c r="I89" s="56">
        <f>I76+I77+I84</f>
        <v>5.346170476999999</v>
      </c>
      <c r="J89" s="57"/>
      <c r="K89" s="57"/>
      <c r="L89" s="44">
        <f>L76+L77+L84</f>
        <v>5.346170476999999</v>
      </c>
      <c r="M89" s="352"/>
      <c r="N89" s="23"/>
      <c r="O89" s="23"/>
      <c r="P89" s="23"/>
      <c r="Q89" s="23"/>
      <c r="R89" s="216"/>
      <c r="S89" s="325" t="s">
        <v>542</v>
      </c>
      <c r="T89" s="328"/>
      <c r="U89" s="329"/>
      <c r="V89" s="328"/>
      <c r="W89"/>
      <c r="X89"/>
      <c r="Y89"/>
      <c r="Z89"/>
    </row>
    <row r="90" spans="1:22" s="12" customFormat="1" ht="26.25" thickBot="1">
      <c r="A90" s="762" t="s">
        <v>140</v>
      </c>
      <c r="B90" s="763"/>
      <c r="C90" s="763"/>
      <c r="D90" s="764"/>
      <c r="E90" s="491" t="s">
        <v>27</v>
      </c>
      <c r="F90" s="502"/>
      <c r="G90" s="502">
        <f>G73-G89</f>
        <v>1.6794922324612793</v>
      </c>
      <c r="H90" s="491"/>
      <c r="I90" s="496">
        <f>I73-I89</f>
        <v>4.33507079711678</v>
      </c>
      <c r="J90" s="495"/>
      <c r="K90" s="495"/>
      <c r="L90" s="496">
        <f>L73-L89</f>
        <v>3.8447385118792727</v>
      </c>
      <c r="M90" s="542">
        <f>M73+M77+M84</f>
        <v>0.7317171927844646</v>
      </c>
      <c r="N90" s="497"/>
      <c r="O90" s="497"/>
      <c r="P90" s="497"/>
      <c r="Q90" s="498" t="s">
        <v>32</v>
      </c>
      <c r="R90" s="499"/>
      <c r="S90" s="484" t="s">
        <v>264</v>
      </c>
      <c r="T90" s="500"/>
      <c r="U90" s="484" t="s">
        <v>543</v>
      </c>
      <c r="V90" s="501" t="s">
        <v>302</v>
      </c>
    </row>
    <row r="91" spans="1:22" ht="13.5" thickBot="1">
      <c r="A91" s="98"/>
      <c r="B91" s="108"/>
      <c r="C91" s="108"/>
      <c r="D91" s="108" t="s">
        <v>141</v>
      </c>
      <c r="E91" s="270" t="s">
        <v>27</v>
      </c>
      <c r="F91" s="232" t="s">
        <v>767</v>
      </c>
      <c r="G91" s="232"/>
      <c r="L91" s="64" t="s">
        <v>142</v>
      </c>
      <c r="M91" s="65">
        <f>SQRT(M90)</f>
        <v>0.8554046953252388</v>
      </c>
      <c r="N91" s="86"/>
      <c r="O91" s="86"/>
      <c r="P91" s="86"/>
      <c r="Q91" s="66" t="s">
        <v>27</v>
      </c>
      <c r="S91" s="404"/>
      <c r="T91" s="405"/>
      <c r="U91" s="405"/>
      <c r="V91" s="406"/>
    </row>
    <row r="92" spans="1:21" ht="13.5" thickBot="1">
      <c r="A92" s="648" t="s">
        <v>802</v>
      </c>
      <c r="B92" s="649"/>
      <c r="C92" s="649"/>
      <c r="D92" s="649"/>
      <c r="E92" s="592" t="s">
        <v>27</v>
      </c>
      <c r="F92" s="593"/>
      <c r="G92" s="595">
        <v>1</v>
      </c>
      <c r="H92" s="594"/>
      <c r="I92" s="595">
        <v>1</v>
      </c>
      <c r="L92" s="64" t="s">
        <v>143</v>
      </c>
      <c r="M92" s="67">
        <f>2*M91</f>
        <v>1.7108093906504775</v>
      </c>
      <c r="N92" s="68"/>
      <c r="O92" s="68"/>
      <c r="P92" s="68"/>
      <c r="Q92" s="66" t="s">
        <v>27</v>
      </c>
      <c r="U92"/>
    </row>
    <row r="93" spans="1:21" ht="13.5" thickBot="1">
      <c r="A93" s="648" t="s">
        <v>813</v>
      </c>
      <c r="B93" s="650"/>
      <c r="C93" s="650"/>
      <c r="D93" s="650"/>
      <c r="E93" s="592" t="s">
        <v>27</v>
      </c>
      <c r="F93" s="593"/>
      <c r="G93" s="596">
        <f>G90-G92</f>
        <v>0.6794922324612793</v>
      </c>
      <c r="H93" s="594"/>
      <c r="I93" s="596">
        <f>I90-I92</f>
        <v>3.3350707971167797</v>
      </c>
      <c r="L93" s="64"/>
      <c r="M93" s="68"/>
      <c r="N93" s="68"/>
      <c r="O93" s="68"/>
      <c r="P93" s="68"/>
      <c r="Q93" s="66"/>
      <c r="U93"/>
    </row>
    <row r="94" spans="1:21" ht="13.5" thickBot="1">
      <c r="A94" s="569"/>
      <c r="B94" s="287"/>
      <c r="C94" s="287"/>
      <c r="D94" s="287"/>
      <c r="E94" s="633"/>
      <c r="F94" s="634"/>
      <c r="G94" s="635"/>
      <c r="H94" s="288"/>
      <c r="I94" s="635"/>
      <c r="L94" s="64"/>
      <c r="M94" s="68"/>
      <c r="N94" s="68"/>
      <c r="O94" s="68"/>
      <c r="P94" s="68"/>
      <c r="Q94" s="66"/>
      <c r="U94"/>
    </row>
    <row r="95" spans="1:21" ht="13.5" thickBot="1">
      <c r="A95" s="658" t="s">
        <v>884</v>
      </c>
      <c r="B95" s="654"/>
      <c r="C95" s="654"/>
      <c r="D95" s="654"/>
      <c r="E95" s="655" t="s">
        <v>27</v>
      </c>
      <c r="F95" s="656"/>
      <c r="G95" s="659">
        <f>G77+G84+G92</f>
        <v>3.8513005299999996</v>
      </c>
      <c r="H95" s="657"/>
      <c r="I95" s="659">
        <f>I77+I84+I92</f>
        <v>3.796170477</v>
      </c>
      <c r="L95" s="64"/>
      <c r="M95" s="68"/>
      <c r="N95" s="68"/>
      <c r="O95" s="68"/>
      <c r="P95" s="68"/>
      <c r="Q95" s="66"/>
      <c r="U95"/>
    </row>
    <row r="96" spans="1:21" ht="12.75">
      <c r="A96" s="119"/>
      <c r="B96" s="119"/>
      <c r="C96" s="119"/>
      <c r="D96" s="119"/>
      <c r="F96" s="63"/>
      <c r="G96" s="63"/>
      <c r="H96" s="180" t="s">
        <v>144</v>
      </c>
      <c r="L96" s="64"/>
      <c r="M96" s="68"/>
      <c r="N96" s="68"/>
      <c r="O96" s="68"/>
      <c r="P96" s="68"/>
      <c r="Q96" s="66"/>
      <c r="U96"/>
    </row>
    <row r="97" spans="1:21" ht="12.75">
      <c r="A97" s="181"/>
      <c r="B97" s="181"/>
      <c r="C97" s="181"/>
      <c r="D97" s="181"/>
      <c r="F97" s="63"/>
      <c r="G97" s="180" t="s">
        <v>145</v>
      </c>
      <c r="H97" s="180" t="s">
        <v>146</v>
      </c>
      <c r="I97" s="180" t="s">
        <v>147</v>
      </c>
      <c r="J97" s="180"/>
      <c r="L97" s="64"/>
      <c r="M97" s="68"/>
      <c r="N97" s="68"/>
      <c r="O97" s="68"/>
      <c r="P97" s="68"/>
      <c r="Q97" s="66"/>
      <c r="U97"/>
    </row>
    <row r="98" spans="1:21" ht="13.5" thickBot="1">
      <c r="A98" s="181"/>
      <c r="B98" s="181"/>
      <c r="C98" s="181"/>
      <c r="D98" s="181"/>
      <c r="E98" s="180"/>
      <c r="F98" s="63"/>
      <c r="G98" s="180" t="s">
        <v>148</v>
      </c>
      <c r="H98" s="180" t="s">
        <v>148</v>
      </c>
      <c r="I98" s="180" t="s">
        <v>148</v>
      </c>
      <c r="L98" s="64"/>
      <c r="M98" s="68"/>
      <c r="N98" s="68"/>
      <c r="O98" s="68"/>
      <c r="P98" s="68"/>
      <c r="Q98" s="66"/>
      <c r="U98"/>
    </row>
    <row r="99" spans="1:22" ht="12.75">
      <c r="A99" s="182" t="s">
        <v>149</v>
      </c>
      <c r="B99" s="183"/>
      <c r="C99" s="183"/>
      <c r="D99" s="183"/>
      <c r="E99" s="184" t="s">
        <v>27</v>
      </c>
      <c r="F99" s="63"/>
      <c r="G99" s="133">
        <f>I93+M92</f>
        <v>5.045880187767257</v>
      </c>
      <c r="H99" s="185">
        <v>2</v>
      </c>
      <c r="I99" s="186">
        <f>G99-H99</f>
        <v>3.045880187767257</v>
      </c>
      <c r="L99" s="64"/>
      <c r="M99" s="68"/>
      <c r="N99" s="68"/>
      <c r="O99" s="68"/>
      <c r="P99" s="68"/>
      <c r="Q99" s="66"/>
      <c r="S99" s="363"/>
      <c r="T99" s="70" t="s">
        <v>37</v>
      </c>
      <c r="U99" s="363"/>
      <c r="V99" s="363"/>
    </row>
    <row r="100" spans="1:22" ht="12.75">
      <c r="A100" s="187" t="s">
        <v>150</v>
      </c>
      <c r="B100" s="188"/>
      <c r="C100" s="188"/>
      <c r="D100" s="188"/>
      <c r="E100" s="189" t="s">
        <v>27</v>
      </c>
      <c r="F100" s="63"/>
      <c r="G100" s="597">
        <f>I93</f>
        <v>3.3350707971167797</v>
      </c>
      <c r="H100" s="190">
        <v>1</v>
      </c>
      <c r="I100" s="191">
        <f>G100-H100</f>
        <v>2.3350707971167797</v>
      </c>
      <c r="K100"/>
      <c r="L100"/>
      <c r="M100"/>
      <c r="N100"/>
      <c r="O100"/>
      <c r="P100"/>
      <c r="Q100"/>
      <c r="S100" s="364"/>
      <c r="T100" s="24" t="s">
        <v>37</v>
      </c>
      <c r="U100" s="364"/>
      <c r="V100" s="364"/>
    </row>
    <row r="101" spans="1:22" ht="13.5" thickBot="1">
      <c r="A101" s="192" t="s">
        <v>151</v>
      </c>
      <c r="B101" s="193"/>
      <c r="C101" s="193"/>
      <c r="D101" s="193"/>
      <c r="E101" s="194" t="s">
        <v>27</v>
      </c>
      <c r="F101" s="63"/>
      <c r="G101" s="598">
        <f>I93-M92</f>
        <v>1.6242614064663021</v>
      </c>
      <c r="H101" s="195">
        <v>0</v>
      </c>
      <c r="I101" s="196">
        <f>G101-H101</f>
        <v>1.6242614064663021</v>
      </c>
      <c r="K101"/>
      <c r="L101"/>
      <c r="M101"/>
      <c r="N101"/>
      <c r="O101"/>
      <c r="P101"/>
      <c r="Q101"/>
      <c r="S101" s="361"/>
      <c r="T101" s="71" t="s">
        <v>37</v>
      </c>
      <c r="U101" s="361"/>
      <c r="V101" s="361"/>
    </row>
    <row r="102" spans="6:21" ht="13.5" thickBot="1">
      <c r="F102"/>
      <c r="G102"/>
      <c r="H102" s="197"/>
      <c r="I102"/>
      <c r="J102"/>
      <c r="K102"/>
      <c r="L102"/>
      <c r="M102"/>
      <c r="N102"/>
      <c r="O102"/>
      <c r="P102"/>
      <c r="Q102"/>
      <c r="U102"/>
    </row>
    <row r="103" spans="2:11" ht="12.75">
      <c r="B103" s="765" t="s">
        <v>433</v>
      </c>
      <c r="C103" s="766"/>
      <c r="D103" s="766"/>
      <c r="E103" s="766"/>
      <c r="F103" s="766"/>
      <c r="G103" s="766"/>
      <c r="H103" s="766"/>
      <c r="I103" s="766"/>
      <c r="J103" s="793"/>
      <c r="K103" s="794"/>
    </row>
    <row r="104" spans="2:11" ht="12.75">
      <c r="B104" s="581"/>
      <c r="C104" s="288"/>
      <c r="D104" s="288"/>
      <c r="E104" s="768" t="s">
        <v>435</v>
      </c>
      <c r="F104" s="768"/>
      <c r="G104" s="768" t="s">
        <v>801</v>
      </c>
      <c r="H104" s="768"/>
      <c r="I104" s="768" t="s">
        <v>146</v>
      </c>
      <c r="J104" s="768"/>
      <c r="K104" s="582"/>
    </row>
    <row r="105" spans="2:11" ht="12.75">
      <c r="B105" s="572"/>
      <c r="C105" s="573"/>
      <c r="D105" s="574" t="s">
        <v>4</v>
      </c>
      <c r="E105" s="637" t="s">
        <v>431</v>
      </c>
      <c r="F105" s="637" t="s">
        <v>432</v>
      </c>
      <c r="G105" s="637" t="s">
        <v>431</v>
      </c>
      <c r="H105" s="637" t="s">
        <v>432</v>
      </c>
      <c r="I105" s="637" t="s">
        <v>431</v>
      </c>
      <c r="J105" s="637" t="s">
        <v>432</v>
      </c>
      <c r="K105" s="575" t="s">
        <v>5</v>
      </c>
    </row>
    <row r="106" spans="2:11" ht="12.75">
      <c r="B106" s="576" t="s">
        <v>67</v>
      </c>
      <c r="C106" s="569"/>
      <c r="D106" s="569"/>
      <c r="E106" s="638">
        <f>I106+G106</f>
        <v>2.61</v>
      </c>
      <c r="F106" s="639">
        <f>J106-H106</f>
        <v>4.550000000000001</v>
      </c>
      <c r="G106" s="640">
        <v>0.06</v>
      </c>
      <c r="H106" s="640">
        <v>0.06</v>
      </c>
      <c r="I106" s="641">
        <f>I29+J29</f>
        <v>2.55</v>
      </c>
      <c r="J106" s="642">
        <f>I29+K29</f>
        <v>4.61</v>
      </c>
      <c r="K106" s="577" t="s">
        <v>27</v>
      </c>
    </row>
    <row r="107" spans="2:11" ht="12.75">
      <c r="B107" s="576" t="s">
        <v>96</v>
      </c>
      <c r="C107" s="569"/>
      <c r="D107" s="569"/>
      <c r="E107" s="638">
        <f>I107+G107</f>
        <v>36.07641615537236</v>
      </c>
      <c r="F107" s="639">
        <f>J107-H107</f>
        <v>40.04406197509418</v>
      </c>
      <c r="G107" s="640">
        <v>0.32</v>
      </c>
      <c r="H107" s="640">
        <v>0.32</v>
      </c>
      <c r="I107" s="638">
        <f>I43+K43</f>
        <v>35.75641615537236</v>
      </c>
      <c r="J107" s="639">
        <f>I43+J43</f>
        <v>40.36406197509418</v>
      </c>
      <c r="K107" s="577" t="s">
        <v>61</v>
      </c>
    </row>
    <row r="108" spans="2:11" ht="13.5" thickBot="1">
      <c r="B108" s="643" t="s">
        <v>885</v>
      </c>
      <c r="C108" s="644"/>
      <c r="D108" s="644"/>
      <c r="E108" s="645">
        <f>I108+G108</f>
        <v>0</v>
      </c>
      <c r="F108" s="646">
        <f>J108-H108</f>
        <v>3.7961704769999995</v>
      </c>
      <c r="G108" s="647">
        <v>0</v>
      </c>
      <c r="H108" s="647">
        <f>K84</f>
        <v>0.055130053000000005</v>
      </c>
      <c r="I108" s="645">
        <v>0</v>
      </c>
      <c r="J108" s="646">
        <f>G95</f>
        <v>3.8513005299999996</v>
      </c>
      <c r="K108" s="578" t="s">
        <v>27</v>
      </c>
    </row>
  </sheetData>
  <mergeCells count="5">
    <mergeCell ref="A90:D90"/>
    <mergeCell ref="E104:F104"/>
    <mergeCell ref="G104:H104"/>
    <mergeCell ref="I104:J104"/>
    <mergeCell ref="B103:K103"/>
  </mergeCells>
  <printOptions headings="1" horizontalCentered="1"/>
  <pageMargins left="0.75" right="0.25" top="0.5" bottom="0.75" header="0.25" footer="0.25"/>
  <pageSetup fitToHeight="1" fitToWidth="1" horizontalDpi="600" verticalDpi="600" orientation="portrait" scale="47"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colBreaks count="1" manualBreakCount="1">
    <brk id="20" min="1" max="98" man="1"/>
  </colBreaks>
</worksheet>
</file>

<file path=xl/worksheets/sheet6.xml><?xml version="1.0" encoding="utf-8"?>
<worksheet xmlns="http://schemas.openxmlformats.org/spreadsheetml/2006/main" xmlns:r="http://schemas.openxmlformats.org/officeDocument/2006/relationships">
  <sheetPr>
    <pageSetUpPr fitToPage="1"/>
  </sheetPr>
  <dimension ref="A1:AA108"/>
  <sheetViews>
    <sheetView zoomScale="75" zoomScaleNormal="75" workbookViewId="0" topLeftCell="A1">
      <pane ySplit="2" topLeftCell="BM73" activePane="bottomLeft" state="frozen"/>
      <selection pane="topLeft" activeCell="I107" sqref="I107:J107"/>
      <selection pane="bottomLeft" activeCell="I95" sqref="I95"/>
    </sheetView>
  </sheetViews>
  <sheetFormatPr defaultColWidth="9.140625" defaultRowHeight="12.75"/>
  <cols>
    <col min="1" max="3" width="3.421875" style="0" customWidth="1"/>
    <col min="4" max="4" width="24.421875" style="0" customWidth="1"/>
    <col min="5" max="5" width="11.7109375" style="63" customWidth="1"/>
    <col min="6" max="7" width="11.7109375" style="144" customWidth="1"/>
    <col min="8" max="8" width="11.7109375" style="63" customWidth="1"/>
    <col min="9" max="13" width="10.7109375" style="63" customWidth="1"/>
    <col min="14" max="16" width="10.7109375" style="63" hidden="1" customWidth="1"/>
    <col min="17" max="17" width="10.7109375" style="63" customWidth="1"/>
    <col min="18" max="18" width="44.7109375" style="0" customWidth="1"/>
    <col min="19" max="19" width="114.00390625" style="0" customWidth="1"/>
    <col min="20" max="20" width="101.7109375" style="0" bestFit="1" customWidth="1"/>
    <col min="21" max="21" width="91.421875" style="0" bestFit="1" customWidth="1"/>
    <col min="22" max="22" width="101.57421875" style="82" bestFit="1" customWidth="1"/>
    <col min="23" max="16384" width="8.8515625" style="0" customWidth="1"/>
  </cols>
  <sheetData>
    <row r="1" spans="1:22" s="2" customFormat="1" ht="13.5" thickBot="1">
      <c r="A1" s="109"/>
      <c r="B1" s="110"/>
      <c r="C1" s="110"/>
      <c r="D1" s="111"/>
      <c r="E1" s="4"/>
      <c r="F1" s="5" t="s">
        <v>0</v>
      </c>
      <c r="G1" s="5" t="s">
        <v>1</v>
      </c>
      <c r="H1" s="6"/>
      <c r="I1" s="7" t="s">
        <v>2</v>
      </c>
      <c r="J1" s="7"/>
      <c r="K1" s="6"/>
      <c r="L1" s="5" t="s">
        <v>3</v>
      </c>
      <c r="M1" s="6"/>
      <c r="N1" s="83"/>
      <c r="O1" s="83"/>
      <c r="P1" s="83"/>
      <c r="Q1" s="8"/>
      <c r="R1" s="9"/>
      <c r="S1" s="289"/>
      <c r="T1" s="290"/>
      <c r="U1" s="291"/>
      <c r="V1" s="292"/>
    </row>
    <row r="2" spans="1:22" s="12" customFormat="1" ht="39" customHeight="1" thickBot="1">
      <c r="A2" s="112" t="s">
        <v>4</v>
      </c>
      <c r="B2" s="113"/>
      <c r="C2" s="113"/>
      <c r="D2" s="114"/>
      <c r="E2" s="10" t="s">
        <v>5</v>
      </c>
      <c r="F2" s="10" t="s">
        <v>330</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row>
    <row r="3" spans="1:22" s="341" customFormat="1" ht="13.5" thickBot="1">
      <c r="A3" s="103" t="s">
        <v>16</v>
      </c>
      <c r="B3" s="103"/>
      <c r="C3" s="103"/>
      <c r="D3" s="103"/>
      <c r="E3" s="13"/>
      <c r="F3" s="145"/>
      <c r="G3" s="145"/>
      <c r="H3" s="13"/>
      <c r="I3" s="13"/>
      <c r="J3" s="13"/>
      <c r="K3" s="13"/>
      <c r="L3" s="13"/>
      <c r="M3" s="13"/>
      <c r="N3" s="13"/>
      <c r="O3" s="13"/>
      <c r="P3" s="13"/>
      <c r="Q3" s="13"/>
      <c r="R3" s="348"/>
      <c r="S3" s="119"/>
      <c r="V3" s="400"/>
    </row>
    <row r="4" spans="1:22" s="2" customFormat="1" ht="12.75">
      <c r="A4" s="127" t="s">
        <v>170</v>
      </c>
      <c r="B4" s="128"/>
      <c r="C4" s="128"/>
      <c r="D4" s="115"/>
      <c r="E4"/>
      <c r="F4" s="146"/>
      <c r="G4" s="146" t="s">
        <v>167</v>
      </c>
      <c r="H4"/>
      <c r="I4" s="75"/>
      <c r="J4" s="18"/>
      <c r="K4" s="18"/>
      <c r="L4" s="18"/>
      <c r="M4" s="351"/>
      <c r="N4" s="18"/>
      <c r="O4" s="18"/>
      <c r="P4" s="18"/>
      <c r="Q4" s="18"/>
      <c r="R4" s="294"/>
      <c r="S4" s="303"/>
      <c r="T4" s="337" t="s">
        <v>265</v>
      </c>
      <c r="U4" s="338"/>
      <c r="V4" s="304"/>
    </row>
    <row r="5" spans="1:22" s="2" customFormat="1" ht="13.5" thickBot="1">
      <c r="A5" s="138" t="s">
        <v>18</v>
      </c>
      <c r="B5" s="139"/>
      <c r="C5" s="139"/>
      <c r="D5" s="140"/>
      <c r="E5" s="22" t="s">
        <v>19</v>
      </c>
      <c r="F5" s="147"/>
      <c r="G5" s="147">
        <v>0.025</v>
      </c>
      <c r="H5" s="22"/>
      <c r="I5" s="52">
        <f>G5</f>
        <v>0.025</v>
      </c>
      <c r="J5" s="23"/>
      <c r="K5" s="78"/>
      <c r="L5" s="77">
        <f>I5</f>
        <v>0.025</v>
      </c>
      <c r="M5" s="352"/>
      <c r="N5" s="23"/>
      <c r="O5" s="23"/>
      <c r="P5" s="23"/>
      <c r="Q5" s="23"/>
      <c r="R5" s="295"/>
      <c r="S5" s="331"/>
      <c r="T5" s="339" t="s">
        <v>265</v>
      </c>
      <c r="U5" s="340"/>
      <c r="V5" s="305"/>
    </row>
    <row r="6" spans="1:27" s="341" customFormat="1" ht="13.5" thickBot="1">
      <c r="A6" s="103" t="s">
        <v>20</v>
      </c>
      <c r="B6" s="103"/>
      <c r="C6" s="103"/>
      <c r="D6" s="103"/>
      <c r="E6" s="13"/>
      <c r="F6" s="145"/>
      <c r="G6" s="145"/>
      <c r="H6" s="13"/>
      <c r="I6" s="13"/>
      <c r="J6" s="13"/>
      <c r="K6" s="13"/>
      <c r="L6" s="13"/>
      <c r="M6" s="353"/>
      <c r="N6" s="13"/>
      <c r="O6" s="13"/>
      <c r="P6" s="13"/>
      <c r="Q6" s="13"/>
      <c r="R6" s="348"/>
      <c r="S6" s="119"/>
      <c r="T6" s="119"/>
      <c r="U6" s="119"/>
      <c r="V6" s="119"/>
      <c r="W6" s="119"/>
      <c r="X6" s="119"/>
      <c r="Y6" s="119"/>
      <c r="Z6" s="119"/>
      <c r="AA6" s="119"/>
    </row>
    <row r="7" spans="1:27" s="2" customFormat="1" ht="12.75">
      <c r="A7" s="127" t="s">
        <v>21</v>
      </c>
      <c r="B7" s="128"/>
      <c r="C7" s="128"/>
      <c r="D7" s="115"/>
      <c r="E7" s="15" t="s">
        <v>19</v>
      </c>
      <c r="F7" s="148"/>
      <c r="G7" s="148">
        <v>2034.7</v>
      </c>
      <c r="H7" s="17"/>
      <c r="I7" s="527">
        <f>G7</f>
        <v>2034.7</v>
      </c>
      <c r="J7" s="18"/>
      <c r="K7" s="18"/>
      <c r="L7" s="76">
        <f>I7</f>
        <v>2034.7</v>
      </c>
      <c r="M7" s="351"/>
      <c r="N7" s="18"/>
      <c r="O7" s="18"/>
      <c r="P7" s="18"/>
      <c r="Q7" s="18"/>
      <c r="R7" s="19"/>
      <c r="S7" s="332"/>
      <c r="T7" s="306" t="s">
        <v>266</v>
      </c>
      <c r="U7" s="307"/>
      <c r="V7" s="308"/>
      <c r="W7"/>
      <c r="X7"/>
      <c r="Y7"/>
      <c r="Z7"/>
      <c r="AA7"/>
    </row>
    <row r="8" spans="1:27" s="2" customFormat="1" ht="12.75">
      <c r="A8" s="116"/>
      <c r="B8" s="106" t="s">
        <v>22</v>
      </c>
      <c r="C8" s="106"/>
      <c r="D8" s="104"/>
      <c r="E8" s="20" t="s">
        <v>23</v>
      </c>
      <c r="F8" s="147"/>
      <c r="G8" s="147" t="s">
        <v>24</v>
      </c>
      <c r="H8" s="22"/>
      <c r="I8" s="52" t="str">
        <f>G8</f>
        <v>linear</v>
      </c>
      <c r="J8" s="23"/>
      <c r="K8" s="23"/>
      <c r="L8" s="23"/>
      <c r="M8" s="352"/>
      <c r="N8" s="23"/>
      <c r="O8" s="23"/>
      <c r="P8" s="23"/>
      <c r="Q8" s="23"/>
      <c r="R8" s="24" t="s">
        <v>25</v>
      </c>
      <c r="S8" s="319"/>
      <c r="T8" s="309" t="s">
        <v>267</v>
      </c>
      <c r="U8" s="310"/>
      <c r="V8" s="311"/>
      <c r="W8"/>
      <c r="X8"/>
      <c r="Y8"/>
      <c r="Z8"/>
      <c r="AA8"/>
    </row>
    <row r="9" spans="1:27" s="2" customFormat="1" ht="12.75">
      <c r="A9" s="116"/>
      <c r="B9" s="106" t="s">
        <v>26</v>
      </c>
      <c r="C9" s="106"/>
      <c r="D9" s="104"/>
      <c r="E9" s="20" t="s">
        <v>27</v>
      </c>
      <c r="F9" s="149"/>
      <c r="G9" s="149" t="s">
        <v>28</v>
      </c>
      <c r="H9" s="22"/>
      <c r="I9" s="52" t="str">
        <f>G9</f>
        <v> --</v>
      </c>
      <c r="J9" s="23"/>
      <c r="K9" s="23"/>
      <c r="L9" s="23"/>
      <c r="M9" s="352"/>
      <c r="N9" s="23"/>
      <c r="O9" s="23"/>
      <c r="P9" s="23"/>
      <c r="Q9" s="23"/>
      <c r="R9" s="24" t="s">
        <v>29</v>
      </c>
      <c r="S9" s="319"/>
      <c r="T9" s="309" t="s">
        <v>267</v>
      </c>
      <c r="U9" s="310"/>
      <c r="V9" s="311"/>
      <c r="W9"/>
      <c r="X9"/>
      <c r="Y9"/>
      <c r="Z9"/>
      <c r="AA9"/>
    </row>
    <row r="10" spans="1:27" s="2" customFormat="1" ht="12.75">
      <c r="A10" s="116" t="s">
        <v>30</v>
      </c>
      <c r="B10" s="106"/>
      <c r="C10" s="106"/>
      <c r="D10" s="104"/>
      <c r="E10" s="20" t="s">
        <v>27</v>
      </c>
      <c r="F10" s="149"/>
      <c r="G10" s="149">
        <v>65</v>
      </c>
      <c r="H10" s="538" t="str">
        <f>IF(J10=-K10,CONCATENATE("±",TEXT(ABS(J10),"0.0##")),CONCATENATE(TEXT(J10,"+0.0##;-0.0##"),"/",TEXT(K10,"+0.0##;-0.0##")))</f>
        <v>±0.5</v>
      </c>
      <c r="I10" s="524">
        <f>G10</f>
        <v>65</v>
      </c>
      <c r="J10" s="151">
        <v>0.5</v>
      </c>
      <c r="K10" s="151">
        <v>-0.5</v>
      </c>
      <c r="L10" s="20">
        <f>I10+((J10+K10)/3)</f>
        <v>65</v>
      </c>
      <c r="M10" s="401">
        <f>(J10^2+K10^2-(K10*J10))/18</f>
        <v>0.041666666666666664</v>
      </c>
      <c r="N10" s="20">
        <f>10*LOG(1/(1/((10^(L10/10))*(L5*1000000))))</f>
        <v>108.97940008672039</v>
      </c>
      <c r="O10" s="20">
        <f>10^(-N10/10)</f>
        <v>1.2649110640673425E-11</v>
      </c>
      <c r="P10" s="20">
        <f>O10*SQRT(M10)</f>
        <v>2.5819888974715926E-12</v>
      </c>
      <c r="Q10" s="155" t="s">
        <v>36</v>
      </c>
      <c r="R10" s="24" t="s">
        <v>278</v>
      </c>
      <c r="S10" s="333"/>
      <c r="T10" s="309" t="s">
        <v>277</v>
      </c>
      <c r="U10" s="312" t="s">
        <v>290</v>
      </c>
      <c r="V10" s="313" t="s">
        <v>324</v>
      </c>
      <c r="W10"/>
      <c r="X10"/>
      <c r="Y10"/>
      <c r="Z10"/>
      <c r="AA10"/>
    </row>
    <row r="11" spans="1:27" s="2" customFormat="1" ht="12.75">
      <c r="A11" s="116" t="s">
        <v>33</v>
      </c>
      <c r="B11" s="106"/>
      <c r="C11" s="106"/>
      <c r="D11" s="104"/>
      <c r="E11" s="20" t="s">
        <v>27</v>
      </c>
      <c r="F11" s="149"/>
      <c r="G11" s="149">
        <v>45</v>
      </c>
      <c r="H11" s="538" t="str">
        <f>IF(J11=-K11,CONCATENATE("±",TEXT(ABS(J11),"0.0##")),CONCATENATE(TEXT(J11,"+0.0##;-0.0##"),"/",TEXT(K11,"+0.0##;-0.0##")))</f>
        <v>±0.5</v>
      </c>
      <c r="I11" s="524">
        <f>G11</f>
        <v>45</v>
      </c>
      <c r="J11" s="151">
        <v>0.5</v>
      </c>
      <c r="K11" s="151">
        <v>-0.5</v>
      </c>
      <c r="L11" s="20">
        <f>I11+((J11+K11)/3)</f>
        <v>45</v>
      </c>
      <c r="M11" s="401">
        <f>(J11^2+K11^2-(K11*J11))/18</f>
        <v>0.041666666666666664</v>
      </c>
      <c r="N11" s="20">
        <f>10*LOG(1/(1/((10^(L11/10))*(L5*1000000))))</f>
        <v>88.97940008672037</v>
      </c>
      <c r="O11" s="20">
        <f>10^(-N11/10)</f>
        <v>1.2649110640673497E-09</v>
      </c>
      <c r="P11" s="20">
        <f>O11*SQRT(M11)</f>
        <v>2.5819888974716073E-10</v>
      </c>
      <c r="Q11" s="155" t="s">
        <v>36</v>
      </c>
      <c r="R11" s="24" t="s">
        <v>278</v>
      </c>
      <c r="S11" s="319"/>
      <c r="T11" s="309" t="s">
        <v>277</v>
      </c>
      <c r="U11" s="312" t="s">
        <v>290</v>
      </c>
      <c r="V11" s="313" t="s">
        <v>324</v>
      </c>
      <c r="W11"/>
      <c r="X11"/>
      <c r="Y11"/>
      <c r="Z11"/>
      <c r="AA11"/>
    </row>
    <row r="12" spans="1:27" s="157" customFormat="1" ht="12.75">
      <c r="A12" s="152" t="s">
        <v>34</v>
      </c>
      <c r="B12" s="153"/>
      <c r="C12" s="153"/>
      <c r="D12" s="154"/>
      <c r="E12" s="155" t="s">
        <v>35</v>
      </c>
      <c r="F12" s="149"/>
      <c r="G12" s="149">
        <v>76.7</v>
      </c>
      <c r="H12" s="538" t="str">
        <f>IF(J12=-K12,CONCATENATE("±",TEXT(ABS(J12),"0.0##")),CONCATENATE(TEXT(J12,"+0.0##;-0.0##"),"/",TEXT(K12,"+0.0##;-0.0##")))</f>
        <v>±0.5</v>
      </c>
      <c r="I12" s="529">
        <v>77.7</v>
      </c>
      <c r="J12" s="151">
        <v>0.5</v>
      </c>
      <c r="K12" s="151">
        <v>-0.5</v>
      </c>
      <c r="L12" s="155">
        <f>I12+((J12+K12)/3)</f>
        <v>77.7</v>
      </c>
      <c r="M12" s="401">
        <f>(J12^2+K12^2-(K12*J12))/18</f>
        <v>0.041666666666666664</v>
      </c>
      <c r="N12" s="155"/>
      <c r="O12" s="155"/>
      <c r="P12" s="155"/>
      <c r="Q12" s="155" t="s">
        <v>36</v>
      </c>
      <c r="R12" s="73"/>
      <c r="S12" s="319"/>
      <c r="T12" s="309" t="s">
        <v>267</v>
      </c>
      <c r="U12" s="312" t="s">
        <v>290</v>
      </c>
      <c r="V12" s="313" t="s">
        <v>324</v>
      </c>
      <c r="W12"/>
      <c r="X12"/>
      <c r="Y12"/>
      <c r="Z12"/>
      <c r="AA12"/>
    </row>
    <row r="13" spans="1:27" s="2" customFormat="1" ht="12.75">
      <c r="A13" s="143" t="s">
        <v>38</v>
      </c>
      <c r="B13" s="106"/>
      <c r="C13" s="106"/>
      <c r="D13" s="104"/>
      <c r="E13" s="20" t="s">
        <v>27</v>
      </c>
      <c r="F13" s="149"/>
      <c r="G13" s="149">
        <v>0</v>
      </c>
      <c r="H13" s="22"/>
      <c r="I13" s="52">
        <v>0</v>
      </c>
      <c r="J13" s="26">
        <v>0</v>
      </c>
      <c r="K13" s="26">
        <v>0</v>
      </c>
      <c r="L13" s="20">
        <f>I13+((J13+K13)/3)</f>
        <v>0</v>
      </c>
      <c r="M13" s="401">
        <f>(J13^2+K13^2-(K13*J13))/18</f>
        <v>0</v>
      </c>
      <c r="N13" s="20"/>
      <c r="O13" s="20"/>
      <c r="P13" s="20"/>
      <c r="Q13" s="155" t="s">
        <v>36</v>
      </c>
      <c r="R13" s="24" t="s">
        <v>40</v>
      </c>
      <c r="S13" s="319"/>
      <c r="T13" s="309" t="s">
        <v>267</v>
      </c>
      <c r="U13" s="312" t="s">
        <v>290</v>
      </c>
      <c r="V13" s="313" t="s">
        <v>324</v>
      </c>
      <c r="W13"/>
      <c r="X13"/>
      <c r="Y13"/>
      <c r="Z13"/>
      <c r="AA13"/>
    </row>
    <row r="14" spans="1:27" s="2" customFormat="1" ht="13.5" thickBot="1">
      <c r="A14" s="138" t="s">
        <v>41</v>
      </c>
      <c r="B14" s="139"/>
      <c r="C14" s="139"/>
      <c r="D14" s="140"/>
      <c r="E14" s="15" t="s">
        <v>27</v>
      </c>
      <c r="F14" s="158"/>
      <c r="G14" s="158">
        <v>0.5</v>
      </c>
      <c r="H14" s="538" t="str">
        <f>IF(J14=-K14,CONCATENATE("±",TEXT(ABS(J14),"0.0##")),CONCATENATE(TEXT(J14,"+0.0##;-0.0##"),"/",TEXT(K14,"+0.0##;-0.0##")))</f>
        <v>±0.5</v>
      </c>
      <c r="I14" s="52">
        <v>0.5</v>
      </c>
      <c r="J14" s="26">
        <v>-0.5</v>
      </c>
      <c r="K14" s="26">
        <v>0.5</v>
      </c>
      <c r="L14" s="20">
        <f>I14+((J14+K14)/2)</f>
        <v>0.5</v>
      </c>
      <c r="M14" s="53">
        <f>((J14-K14)^2)/12</f>
        <v>0.08333333333333333</v>
      </c>
      <c r="N14" s="20"/>
      <c r="O14" s="20"/>
      <c r="P14" s="20"/>
      <c r="Q14" s="20" t="s">
        <v>39</v>
      </c>
      <c r="R14" s="24"/>
      <c r="S14" s="334"/>
      <c r="T14" s="314" t="s">
        <v>268</v>
      </c>
      <c r="U14" s="315" t="s">
        <v>291</v>
      </c>
      <c r="V14" s="316" t="s">
        <v>324</v>
      </c>
      <c r="W14"/>
      <c r="X14"/>
      <c r="Y14"/>
      <c r="Z14"/>
      <c r="AA14"/>
    </row>
    <row r="15" spans="1:27" s="341" customFormat="1" ht="13.5" thickBot="1">
      <c r="A15" s="103" t="s">
        <v>42</v>
      </c>
      <c r="B15" s="103"/>
      <c r="C15" s="103"/>
      <c r="D15" s="103"/>
      <c r="E15" s="13"/>
      <c r="F15" s="145"/>
      <c r="G15" s="145"/>
      <c r="H15" s="13"/>
      <c r="I15" s="13"/>
      <c r="J15" s="28"/>
      <c r="K15" s="28"/>
      <c r="L15" s="13"/>
      <c r="M15" s="353"/>
      <c r="N15" s="13"/>
      <c r="O15" s="13"/>
      <c r="P15" s="13"/>
      <c r="Q15" s="13"/>
      <c r="R15" s="348"/>
      <c r="S15" s="119"/>
      <c r="T15" s="119"/>
      <c r="U15" s="119"/>
      <c r="V15" s="119"/>
      <c r="W15" s="119"/>
      <c r="X15" s="119"/>
      <c r="Y15" s="119"/>
      <c r="Z15" s="119"/>
      <c r="AA15" s="119"/>
    </row>
    <row r="16" spans="1:27" s="2" customFormat="1" ht="12.75">
      <c r="A16" s="127"/>
      <c r="B16" s="128" t="s">
        <v>43</v>
      </c>
      <c r="C16" s="128"/>
      <c r="D16" s="115"/>
      <c r="E16" s="15" t="s">
        <v>44</v>
      </c>
      <c r="F16" s="158"/>
      <c r="G16" s="158">
        <v>41126.8</v>
      </c>
      <c r="H16" s="17"/>
      <c r="I16" s="523">
        <v>41126.8</v>
      </c>
      <c r="J16" s="27">
        <v>40037.8</v>
      </c>
      <c r="K16" s="27">
        <v>41392</v>
      </c>
      <c r="L16" s="18"/>
      <c r="M16" s="351"/>
      <c r="N16" s="18"/>
      <c r="O16" s="18"/>
      <c r="P16" s="18"/>
      <c r="Q16" s="18"/>
      <c r="R16" s="137" t="s">
        <v>304</v>
      </c>
      <c r="S16" s="332"/>
      <c r="T16" s="306" t="s">
        <v>276</v>
      </c>
      <c r="U16" s="317"/>
      <c r="V16" s="308"/>
      <c r="W16"/>
      <c r="X16"/>
      <c r="Y16"/>
      <c r="Z16"/>
      <c r="AA16"/>
    </row>
    <row r="17" spans="1:27" s="2" customFormat="1" ht="12.75">
      <c r="A17" s="116" t="s">
        <v>45</v>
      </c>
      <c r="B17" s="106"/>
      <c r="C17" s="106"/>
      <c r="D17" s="104"/>
      <c r="E17" s="20" t="s">
        <v>27</v>
      </c>
      <c r="F17" s="159"/>
      <c r="G17" s="159">
        <f>(20*LOG(G7*1000000)+20*LOG(4*PI()*G16*1000)-20*LOG(300000000))</f>
        <v>190.89427827126747</v>
      </c>
      <c r="H17" s="30"/>
      <c r="I17" s="160">
        <f>(20*LOG($I$7*1000000)+20*LOG(4*PI()*I16*1000)-20*LOG(300000000))</f>
        <v>190.89427827126747</v>
      </c>
      <c r="J17" s="44">
        <f>(20*LOG($I$7*1000000)+20*LOG(4*PI()*J16*1000)-20*LOG(300000000))-I17</f>
        <v>-0.23309426716758708</v>
      </c>
      <c r="K17" s="84">
        <f>(20*LOG($I$7*1000000)+20*LOG(4*PI()*K16*1000)-20*LOG(300000000))-I17</f>
        <v>0.055829843931235246</v>
      </c>
      <c r="L17" s="40">
        <f>I17+((J17+K17)/3)</f>
        <v>190.8351901301887</v>
      </c>
      <c r="M17" s="401">
        <f>(J17^2+K17^2-(K17*J17))/18</f>
        <v>0.003914640300945144</v>
      </c>
      <c r="N17" s="20">
        <f>10*LOG(1/(1/((10^(L17/10))*(L10*1000000))))</f>
        <v>268.96432369661727</v>
      </c>
      <c r="O17" s="20">
        <f>10^(-N17/10)</f>
        <v>1.2693097918262089E-27</v>
      </c>
      <c r="P17" s="20">
        <f>O17*SQRT(M17)</f>
        <v>7.941701541720892E-29</v>
      </c>
      <c r="Q17" s="155" t="s">
        <v>36</v>
      </c>
      <c r="R17" s="24" t="s">
        <v>46</v>
      </c>
      <c r="S17" s="296" t="s">
        <v>256</v>
      </c>
      <c r="T17" s="311"/>
      <c r="U17" s="312" t="s">
        <v>290</v>
      </c>
      <c r="V17" s="313" t="s">
        <v>324</v>
      </c>
      <c r="W17"/>
      <c r="X17"/>
      <c r="Y17"/>
      <c r="Z17"/>
      <c r="AA17"/>
    </row>
    <row r="18" spans="1:27" s="2" customFormat="1" ht="13.5" thickBot="1">
      <c r="A18" s="138" t="s">
        <v>47</v>
      </c>
      <c r="B18" s="139"/>
      <c r="C18" s="139"/>
      <c r="D18" s="140"/>
      <c r="E18" s="20" t="s">
        <v>27</v>
      </c>
      <c r="F18" s="149"/>
      <c r="G18" s="149">
        <v>0.36</v>
      </c>
      <c r="H18" s="22" t="s">
        <v>244</v>
      </c>
      <c r="I18" s="525">
        <v>0.36</v>
      </c>
      <c r="J18" s="26">
        <f>-(0.36-0.14)</f>
        <v>-0.21999999999999997</v>
      </c>
      <c r="K18" s="26">
        <f>1.83-0.36</f>
        <v>1.4700000000000002</v>
      </c>
      <c r="L18" s="20">
        <f>I18+((J18+K18)/2)</f>
        <v>0.9850000000000001</v>
      </c>
      <c r="M18" s="53">
        <f>((J18-K18)^2)/36</f>
        <v>0.07933611111111112</v>
      </c>
      <c r="N18" s="20"/>
      <c r="O18" s="20"/>
      <c r="P18" s="20"/>
      <c r="Q18" s="20" t="s">
        <v>32</v>
      </c>
      <c r="R18" s="216" t="s">
        <v>48</v>
      </c>
      <c r="S18" s="334"/>
      <c r="T18" s="316" t="s">
        <v>301</v>
      </c>
      <c r="U18" s="315" t="s">
        <v>292</v>
      </c>
      <c r="V18" s="316" t="s">
        <v>324</v>
      </c>
      <c r="W18"/>
      <c r="X18"/>
      <c r="Y18"/>
      <c r="Z18"/>
      <c r="AA18"/>
    </row>
    <row r="19" spans="1:27" s="341" customFormat="1" ht="13.5" thickBot="1">
      <c r="A19" s="103" t="s">
        <v>49</v>
      </c>
      <c r="B19" s="103"/>
      <c r="C19" s="103"/>
      <c r="D19" s="103"/>
      <c r="E19" s="13"/>
      <c r="F19" s="145"/>
      <c r="G19" s="145"/>
      <c r="H19" s="13"/>
      <c r="I19" s="13"/>
      <c r="J19" s="13"/>
      <c r="K19" s="13"/>
      <c r="L19" s="13"/>
      <c r="M19" s="353"/>
      <c r="N19" s="13"/>
      <c r="O19" s="13"/>
      <c r="P19" s="13"/>
      <c r="Q19" s="13"/>
      <c r="R19" s="348"/>
      <c r="S19" s="119"/>
      <c r="T19" s="119"/>
      <c r="U19" s="119"/>
      <c r="V19" s="119"/>
      <c r="W19" s="119"/>
      <c r="X19" s="119"/>
      <c r="Y19" s="119"/>
      <c r="Z19" s="119"/>
      <c r="AA19" s="119"/>
    </row>
    <row r="20" spans="1:27" s="2" customFormat="1" ht="12.75">
      <c r="A20" s="116"/>
      <c r="B20" s="106" t="s">
        <v>22</v>
      </c>
      <c r="C20" s="106"/>
      <c r="D20" s="104"/>
      <c r="E20" s="36" t="s">
        <v>23</v>
      </c>
      <c r="F20" s="155"/>
      <c r="G20" s="155" t="s">
        <v>24</v>
      </c>
      <c r="H20" s="22"/>
      <c r="I20" s="52" t="str">
        <f>G20</f>
        <v>linear</v>
      </c>
      <c r="J20" s="23"/>
      <c r="K20" s="23"/>
      <c r="L20" s="23"/>
      <c r="M20" s="352"/>
      <c r="N20" s="23"/>
      <c r="O20" s="23"/>
      <c r="P20" s="23"/>
      <c r="Q20" s="23"/>
      <c r="R20" s="137" t="s">
        <v>25</v>
      </c>
      <c r="S20" s="332"/>
      <c r="T20" s="306" t="s">
        <v>267</v>
      </c>
      <c r="U20" s="307"/>
      <c r="V20" s="308"/>
      <c r="W20"/>
      <c r="X20"/>
      <c r="Y20"/>
      <c r="Z20"/>
      <c r="AA20"/>
    </row>
    <row r="21" spans="1:27" s="2" customFormat="1" ht="12.75">
      <c r="A21" s="116"/>
      <c r="B21" s="106" t="s">
        <v>26</v>
      </c>
      <c r="C21" s="106"/>
      <c r="D21" s="104"/>
      <c r="E21" s="36" t="s">
        <v>27</v>
      </c>
      <c r="F21" s="155"/>
      <c r="G21" s="155" t="s">
        <v>28</v>
      </c>
      <c r="H21" s="22"/>
      <c r="I21" s="52" t="str">
        <f>G21</f>
        <v> --</v>
      </c>
      <c r="J21" s="23"/>
      <c r="K21" s="23"/>
      <c r="L21" s="23"/>
      <c r="M21" s="352"/>
      <c r="N21" s="23"/>
      <c r="O21" s="23"/>
      <c r="P21" s="23"/>
      <c r="Q21" s="23"/>
      <c r="R21" s="24" t="s">
        <v>29</v>
      </c>
      <c r="S21" s="319"/>
      <c r="T21" s="309" t="s">
        <v>267</v>
      </c>
      <c r="U21" s="310"/>
      <c r="V21" s="311"/>
      <c r="W21"/>
      <c r="X21"/>
      <c r="Y21"/>
      <c r="Z21"/>
      <c r="AA21"/>
    </row>
    <row r="22" spans="1:27" s="2" customFormat="1" ht="12.75">
      <c r="A22" s="116" t="s">
        <v>50</v>
      </c>
      <c r="B22" s="106"/>
      <c r="C22" s="106"/>
      <c r="D22" s="104"/>
      <c r="E22" s="36" t="s">
        <v>27</v>
      </c>
      <c r="F22" s="155"/>
      <c r="G22" s="155">
        <v>0.2</v>
      </c>
      <c r="H22" s="538" t="str">
        <f>IF(J22=-K22,CONCATENATE("±",TEXT(ABS(J22),"0.0##")),CONCATENATE(TEXT(J22,"+0.0##;-0.0##"),"/",TEXT(K22,"+0.0##;-0.0##")))</f>
        <v>±0.2</v>
      </c>
      <c r="I22" s="52">
        <v>0.2</v>
      </c>
      <c r="J22" s="26">
        <v>-0.2</v>
      </c>
      <c r="K22" s="26">
        <v>0.2</v>
      </c>
      <c r="L22" s="20">
        <f>I22+((J22+K22)/2)</f>
        <v>0.2</v>
      </c>
      <c r="M22" s="53">
        <f>((J22-K22)^2)/12</f>
        <v>0.013333333333333336</v>
      </c>
      <c r="N22" s="20"/>
      <c r="O22" s="20"/>
      <c r="P22" s="20"/>
      <c r="Q22" s="20" t="s">
        <v>39</v>
      </c>
      <c r="R22" s="24" t="s">
        <v>51</v>
      </c>
      <c r="S22" s="319"/>
      <c r="T22" s="311"/>
      <c r="U22" s="312" t="s">
        <v>291</v>
      </c>
      <c r="V22" s="313" t="s">
        <v>324</v>
      </c>
      <c r="W22"/>
      <c r="X22"/>
      <c r="Y22"/>
      <c r="Z22"/>
      <c r="AA22"/>
    </row>
    <row r="23" spans="1:27" s="2" customFormat="1" ht="12.75">
      <c r="A23" s="116" t="s">
        <v>52</v>
      </c>
      <c r="B23" s="106"/>
      <c r="C23" s="106"/>
      <c r="D23" s="104"/>
      <c r="E23" s="36" t="s">
        <v>35</v>
      </c>
      <c r="F23" s="234"/>
      <c r="G23" s="233" t="s">
        <v>171</v>
      </c>
      <c r="H23" s="30"/>
      <c r="I23" s="269" t="s">
        <v>171</v>
      </c>
      <c r="J23" s="38"/>
      <c r="K23" s="38"/>
      <c r="L23" s="38"/>
      <c r="M23" s="352"/>
      <c r="N23" s="38"/>
      <c r="O23" s="38"/>
      <c r="P23" s="38"/>
      <c r="Q23" s="38"/>
      <c r="R23" s="24"/>
      <c r="S23" s="319"/>
      <c r="T23" s="309" t="s">
        <v>269</v>
      </c>
      <c r="U23" s="318"/>
      <c r="V23" s="311"/>
      <c r="W23"/>
      <c r="X23"/>
      <c r="Y23"/>
      <c r="Z23"/>
      <c r="AA23"/>
    </row>
    <row r="24" spans="1:27" s="2" customFormat="1" ht="12.75">
      <c r="A24" s="116" t="s">
        <v>54</v>
      </c>
      <c r="B24" s="106"/>
      <c r="C24" s="106"/>
      <c r="D24" s="104"/>
      <c r="E24" s="235" t="s">
        <v>35</v>
      </c>
      <c r="F24" s="236"/>
      <c r="G24" s="236">
        <f>G12-G13-G14-G17-G18-G22</f>
        <v>-115.25427827126747</v>
      </c>
      <c r="H24" s="55"/>
      <c r="I24" s="237">
        <f>I12-I13-I14-I17-I18-I22</f>
        <v>-114.25427827126747</v>
      </c>
      <c r="J24" s="238"/>
      <c r="K24" s="33"/>
      <c r="L24" s="34">
        <f>L12-L13-L14-L17-L18-L22</f>
        <v>-114.82019013018869</v>
      </c>
      <c r="M24" s="356">
        <f>M12+M13+M14+M17+M18+M22</f>
        <v>0.22158408474538963</v>
      </c>
      <c r="N24" s="34"/>
      <c r="O24" s="34"/>
      <c r="P24" s="34"/>
      <c r="Q24" s="35" t="s">
        <v>32</v>
      </c>
      <c r="R24" s="24"/>
      <c r="S24" s="297" t="s">
        <v>249</v>
      </c>
      <c r="T24" s="311"/>
      <c r="U24" s="298" t="s">
        <v>293</v>
      </c>
      <c r="V24" s="313" t="s">
        <v>302</v>
      </c>
      <c r="W24"/>
      <c r="X24"/>
      <c r="Y24"/>
      <c r="Z24"/>
      <c r="AA24"/>
    </row>
    <row r="25" spans="1:27" s="2" customFormat="1" ht="12.75">
      <c r="A25" s="116"/>
      <c r="B25" s="106" t="s">
        <v>55</v>
      </c>
      <c r="C25" s="106"/>
      <c r="D25" s="104"/>
      <c r="E25" s="36" t="s">
        <v>56</v>
      </c>
      <c r="F25" s="155"/>
      <c r="G25" s="151">
        <v>13.5</v>
      </c>
      <c r="H25" s="538" t="str">
        <f>IF(J25=-K25,CONCATENATE("±",TEXT(ABS(J25),"0.0##")),CONCATENATE(TEXT(J25,"+0.0##;-0.0##"),"/",TEXT(K25,"+0.0##;-0.0##")))</f>
        <v>±0.1</v>
      </c>
      <c r="I25" s="52">
        <f>G25+J25</f>
        <v>13.6</v>
      </c>
      <c r="J25" s="26">
        <v>0.1</v>
      </c>
      <c r="K25" s="26">
        <v>-0.1</v>
      </c>
      <c r="L25" s="20">
        <f>I25+((J25+K25)/3)</f>
        <v>13.6</v>
      </c>
      <c r="M25" s="53">
        <f>(J25^2+K25^2-(K25*J25))/18</f>
        <v>0.001666666666666667</v>
      </c>
      <c r="N25" s="20"/>
      <c r="O25" s="20"/>
      <c r="P25" s="20"/>
      <c r="Q25" s="20" t="s">
        <v>36</v>
      </c>
      <c r="R25" s="24" t="s">
        <v>57</v>
      </c>
      <c r="S25" s="319"/>
      <c r="T25" s="313" t="s">
        <v>272</v>
      </c>
      <c r="U25" s="312" t="s">
        <v>290</v>
      </c>
      <c r="V25" s="313" t="s">
        <v>324</v>
      </c>
      <c r="W25"/>
      <c r="X25"/>
      <c r="Y25"/>
      <c r="Z25"/>
      <c r="AA25"/>
    </row>
    <row r="26" spans="1:27" s="2" customFormat="1" ht="12.75">
      <c r="A26" s="116"/>
      <c r="B26" s="106" t="s">
        <v>58</v>
      </c>
      <c r="C26" s="106"/>
      <c r="D26" s="104"/>
      <c r="E26" s="36" t="s">
        <v>27</v>
      </c>
      <c r="F26" s="155"/>
      <c r="G26" s="151">
        <v>0.35</v>
      </c>
      <c r="H26" s="538" t="str">
        <f>IF(J26=-K26,CONCATENATE("±",TEXT(ABS(J26),"0.0##")),CONCATENATE(TEXT(J26,"+0.0##;-0.0##"),"/",TEXT(K26,"+0.0##;-0.0##")))</f>
        <v>±0.05</v>
      </c>
      <c r="I26" s="52">
        <f>G26+J26</f>
        <v>0.3</v>
      </c>
      <c r="J26" s="26">
        <v>-0.05</v>
      </c>
      <c r="K26" s="26">
        <v>0.05</v>
      </c>
      <c r="L26" s="40">
        <f>I26+((J26+K26)/3)</f>
        <v>0.3</v>
      </c>
      <c r="M26" s="53">
        <f>(J26^2+K26^2-(K26*J26))/18</f>
        <v>0.00041666666666666675</v>
      </c>
      <c r="N26" s="41"/>
      <c r="O26" s="41"/>
      <c r="P26" s="41"/>
      <c r="Q26" s="20" t="s">
        <v>36</v>
      </c>
      <c r="R26" s="24" t="s">
        <v>59</v>
      </c>
      <c r="S26" s="319"/>
      <c r="T26" s="313" t="s">
        <v>279</v>
      </c>
      <c r="U26" s="312" t="s">
        <v>290</v>
      </c>
      <c r="V26" s="313" t="s">
        <v>324</v>
      </c>
      <c r="W26"/>
      <c r="X26"/>
      <c r="Y26"/>
      <c r="Z26"/>
      <c r="AA26"/>
    </row>
    <row r="27" spans="1:27" s="2" customFormat="1" ht="12.75">
      <c r="A27" s="116"/>
      <c r="B27" s="106"/>
      <c r="C27" s="106" t="s">
        <v>60</v>
      </c>
      <c r="D27" s="104"/>
      <c r="E27" s="20" t="s">
        <v>61</v>
      </c>
      <c r="F27" s="159"/>
      <c r="G27" s="159">
        <f>G24+G25-G26</f>
        <v>-102.10427827126746</v>
      </c>
      <c r="H27" s="25"/>
      <c r="I27" s="37"/>
      <c r="J27" s="38"/>
      <c r="K27" s="38"/>
      <c r="L27" s="38"/>
      <c r="M27" s="352"/>
      <c r="N27" s="38"/>
      <c r="O27" s="38"/>
      <c r="P27" s="38"/>
      <c r="Q27" s="38"/>
      <c r="R27" s="24" t="s">
        <v>62</v>
      </c>
      <c r="S27" s="319"/>
      <c r="T27" s="311"/>
      <c r="U27" s="318"/>
      <c r="V27" s="311"/>
      <c r="W27"/>
      <c r="X27"/>
      <c r="Y27"/>
      <c r="Z27"/>
      <c r="AA27"/>
    </row>
    <row r="28" spans="1:27" s="2" customFormat="1" ht="12.75">
      <c r="A28" s="116"/>
      <c r="B28" s="106"/>
      <c r="C28" s="106" t="s">
        <v>63</v>
      </c>
      <c r="D28" s="104"/>
      <c r="E28" s="36" t="s">
        <v>64</v>
      </c>
      <c r="F28" s="155"/>
      <c r="G28" s="155">
        <v>150</v>
      </c>
      <c r="H28" s="22"/>
      <c r="I28" s="52">
        <v>150</v>
      </c>
      <c r="J28" s="26">
        <v>-5</v>
      </c>
      <c r="K28" s="26">
        <v>5</v>
      </c>
      <c r="L28" s="23"/>
      <c r="M28" s="352"/>
      <c r="N28" s="23"/>
      <c r="O28" s="23"/>
      <c r="P28" s="23"/>
      <c r="Q28" s="23"/>
      <c r="R28" s="24" t="s">
        <v>66</v>
      </c>
      <c r="S28" s="319"/>
      <c r="T28" s="313" t="s">
        <v>338</v>
      </c>
      <c r="U28" s="310"/>
      <c r="V28" s="311"/>
      <c r="W28"/>
      <c r="X28"/>
      <c r="Y28"/>
      <c r="Z28"/>
      <c r="AA28"/>
    </row>
    <row r="29" spans="1:27" s="2" customFormat="1" ht="12.75">
      <c r="A29" s="116"/>
      <c r="B29" s="106"/>
      <c r="C29" s="106"/>
      <c r="D29" s="104" t="s">
        <v>67</v>
      </c>
      <c r="E29" s="36" t="s">
        <v>27</v>
      </c>
      <c r="F29" s="155"/>
      <c r="G29" s="151">
        <v>4.61</v>
      </c>
      <c r="H29" s="538" t="str">
        <f>IF(J29=-K29,CONCATENATE("±",TEXT(ABS(J29),"0.0##")),CONCATENATE(TEXT(J29,"+0.0##;-0.0##"),"/",TEXT(K29,"+0.0##;-0.0##")))</f>
        <v>±1.03</v>
      </c>
      <c r="I29" s="525">
        <f>G29+J29</f>
        <v>3.58</v>
      </c>
      <c r="J29" s="26">
        <v>-1.03</v>
      </c>
      <c r="K29" s="26">
        <f>-J29</f>
        <v>1.03</v>
      </c>
      <c r="L29" s="23"/>
      <c r="M29" s="352"/>
      <c r="N29" s="23"/>
      <c r="O29" s="23"/>
      <c r="P29" s="23"/>
      <c r="Q29" s="23"/>
      <c r="R29" s="24" t="s">
        <v>69</v>
      </c>
      <c r="S29" s="319"/>
      <c r="T29" s="313" t="s">
        <v>279</v>
      </c>
      <c r="U29" s="310"/>
      <c r="V29" s="311"/>
      <c r="W29"/>
      <c r="X29"/>
      <c r="Y29"/>
      <c r="Z29"/>
      <c r="AA29"/>
    </row>
    <row r="30" spans="1:27" s="2" customFormat="1" ht="12.75">
      <c r="A30" s="116"/>
      <c r="B30" s="106"/>
      <c r="C30" s="106"/>
      <c r="D30" s="104" t="s">
        <v>70</v>
      </c>
      <c r="E30" s="36" t="s">
        <v>27</v>
      </c>
      <c r="F30" s="155"/>
      <c r="G30" s="155">
        <v>0.2</v>
      </c>
      <c r="H30" s="25" t="s">
        <v>68</v>
      </c>
      <c r="I30" s="525">
        <v>0.2</v>
      </c>
      <c r="J30" s="26">
        <v>0</v>
      </c>
      <c r="K30" s="26">
        <v>0</v>
      </c>
      <c r="L30" s="23"/>
      <c r="M30" s="352"/>
      <c r="N30" s="23"/>
      <c r="O30" s="23"/>
      <c r="P30" s="23"/>
      <c r="Q30" s="23"/>
      <c r="R30" s="24" t="s">
        <v>69</v>
      </c>
      <c r="S30" s="319"/>
      <c r="T30" s="313" t="s">
        <v>273</v>
      </c>
      <c r="U30" s="310"/>
      <c r="V30" s="311"/>
      <c r="W30"/>
      <c r="X30"/>
      <c r="Y30"/>
      <c r="Z30"/>
      <c r="AA30"/>
    </row>
    <row r="31" spans="1:27" s="2" customFormat="1" ht="12.75">
      <c r="A31" s="116"/>
      <c r="B31" s="106"/>
      <c r="C31" s="106" t="s">
        <v>71</v>
      </c>
      <c r="D31" s="104"/>
      <c r="E31" s="36" t="s">
        <v>64</v>
      </c>
      <c r="F31" s="44"/>
      <c r="G31" s="44">
        <f>290*(10^((G29+G30)*0.1)-1)</f>
        <v>587.8048941493788</v>
      </c>
      <c r="H31" s="22"/>
      <c r="I31" s="43">
        <f>290*(10^((I29+I30)/10)-1)</f>
        <v>402.4652720448216</v>
      </c>
      <c r="J31" s="44">
        <f>(290*(10^((I29+J29+I30+J30)*0.1)-1))-I31</f>
        <v>-146.20703609277933</v>
      </c>
      <c r="K31" s="44">
        <f>(290*(10^((I29+K29+I30+K30)*0.1)-1))-I31</f>
        <v>185.33962210455724</v>
      </c>
      <c r="L31" s="23"/>
      <c r="M31" s="352"/>
      <c r="N31" s="23"/>
      <c r="O31" s="23"/>
      <c r="P31" s="23"/>
      <c r="Q31" s="23"/>
      <c r="R31" s="24" t="s">
        <v>72</v>
      </c>
      <c r="S31" s="297" t="s">
        <v>250</v>
      </c>
      <c r="T31" s="311"/>
      <c r="U31" s="310"/>
      <c r="V31" s="311"/>
      <c r="W31"/>
      <c r="X31"/>
      <c r="Y31"/>
      <c r="Z31"/>
      <c r="AA31"/>
    </row>
    <row r="32" spans="1:27" s="2" customFormat="1" ht="12.75">
      <c r="A32" s="116"/>
      <c r="B32" s="106" t="s">
        <v>73</v>
      </c>
      <c r="C32" s="106"/>
      <c r="D32" s="104"/>
      <c r="E32" s="36" t="s">
        <v>74</v>
      </c>
      <c r="F32" s="44"/>
      <c r="G32" s="44">
        <f>10*LOG(G28+G31)</f>
        <v>28.67941531746056</v>
      </c>
      <c r="H32" s="22"/>
      <c r="I32" s="43">
        <f>10*LOG(I28+I31)</f>
        <v>27.42304983473304</v>
      </c>
      <c r="J32" s="44">
        <f>(10*LOG(I28+J28+I31+J31))-I32</f>
        <v>-1.388810239374667</v>
      </c>
      <c r="K32" s="44">
        <f>(10*LOG(I28+K28+I31+K31))-I32</f>
        <v>1.2856977305791055</v>
      </c>
      <c r="L32" s="40">
        <f>I32+((J32+K32)/2)</f>
        <v>27.371493580335258</v>
      </c>
      <c r="M32" s="53">
        <f>((J32-K32)^2)/36</f>
        <v>0.1986942467040625</v>
      </c>
      <c r="N32" s="41"/>
      <c r="O32" s="41"/>
      <c r="P32" s="41"/>
      <c r="Q32" s="20" t="s">
        <v>32</v>
      </c>
      <c r="R32" s="24" t="s">
        <v>75</v>
      </c>
      <c r="S32" s="297" t="s">
        <v>251</v>
      </c>
      <c r="T32" s="311"/>
      <c r="U32" s="312" t="s">
        <v>292</v>
      </c>
      <c r="V32" s="313" t="s">
        <v>324</v>
      </c>
      <c r="W32"/>
      <c r="X32"/>
      <c r="Y32"/>
      <c r="Z32"/>
      <c r="AA32"/>
    </row>
    <row r="33" spans="1:27" s="2" customFormat="1" ht="12.75">
      <c r="A33" s="116" t="s">
        <v>76</v>
      </c>
      <c r="B33" s="106"/>
      <c r="C33" s="106"/>
      <c r="D33" s="104"/>
      <c r="E33" s="36" t="s">
        <v>77</v>
      </c>
      <c r="F33" s="161"/>
      <c r="G33" s="161">
        <f>G25-G26-G32</f>
        <v>-15.52941531746056</v>
      </c>
      <c r="H33" s="22"/>
      <c r="I33" s="43">
        <f>I25-I26-I32</f>
        <v>-14.12304983473304</v>
      </c>
      <c r="J33" s="23"/>
      <c r="K33" s="23"/>
      <c r="L33" s="44">
        <f>L25-L26-L32</f>
        <v>-14.07149358033526</v>
      </c>
      <c r="M33" s="355">
        <f>M25+M26+M32</f>
        <v>0.20077758003739582</v>
      </c>
      <c r="N33" s="44"/>
      <c r="O33" s="44"/>
      <c r="P33" s="44"/>
      <c r="Q33" s="26" t="s">
        <v>32</v>
      </c>
      <c r="R33" s="24"/>
      <c r="S33" s="297" t="s">
        <v>252</v>
      </c>
      <c r="T33" s="311"/>
      <c r="U33" s="298" t="s">
        <v>294</v>
      </c>
      <c r="V33" s="313" t="s">
        <v>302</v>
      </c>
      <c r="W33"/>
      <c r="X33"/>
      <c r="Y33"/>
      <c r="Z33"/>
      <c r="AA33"/>
    </row>
    <row r="34" spans="1:27" s="2" customFormat="1" ht="12.75">
      <c r="A34" s="116" t="s">
        <v>78</v>
      </c>
      <c r="B34" s="106"/>
      <c r="C34" s="106"/>
      <c r="D34" s="104"/>
      <c r="E34" s="36" t="s">
        <v>79</v>
      </c>
      <c r="F34" s="164"/>
      <c r="G34" s="164">
        <v>-198.6</v>
      </c>
      <c r="H34" s="22"/>
      <c r="I34" s="52">
        <v>-198.6</v>
      </c>
      <c r="J34" s="23"/>
      <c r="K34" s="23"/>
      <c r="L34" s="20">
        <f>I34</f>
        <v>-198.6</v>
      </c>
      <c r="M34" s="53">
        <v>0</v>
      </c>
      <c r="N34" s="20"/>
      <c r="O34" s="20"/>
      <c r="P34" s="20"/>
      <c r="Q34" s="20" t="s">
        <v>80</v>
      </c>
      <c r="R34" s="24" t="s">
        <v>81</v>
      </c>
      <c r="S34" s="319"/>
      <c r="T34" s="311"/>
      <c r="U34" s="330" t="s">
        <v>303</v>
      </c>
      <c r="V34" s="313" t="s">
        <v>302</v>
      </c>
      <c r="W34"/>
      <c r="X34"/>
      <c r="Y34"/>
      <c r="Z34"/>
      <c r="AA34"/>
    </row>
    <row r="35" spans="1:27" s="2" customFormat="1" ht="12.75">
      <c r="A35" s="116" t="s">
        <v>82</v>
      </c>
      <c r="B35" s="106"/>
      <c r="C35" s="106"/>
      <c r="D35" s="104"/>
      <c r="E35" s="36" t="s">
        <v>83</v>
      </c>
      <c r="F35" s="44"/>
      <c r="G35" s="44">
        <f>G24+G33-G34</f>
        <v>67.81630641127197</v>
      </c>
      <c r="H35" s="22"/>
      <c r="I35" s="43">
        <f>I24+I33-I34</f>
        <v>70.22267189399949</v>
      </c>
      <c r="J35" s="23"/>
      <c r="K35" s="23"/>
      <c r="L35" s="44">
        <f>L24+L33-L34</f>
        <v>69.70831628947604</v>
      </c>
      <c r="M35" s="355">
        <f>M24+M33+M34</f>
        <v>0.4223616647827855</v>
      </c>
      <c r="N35" s="47"/>
      <c r="O35" s="20">
        <f>10^(-L35/10)</f>
        <v>1.0694694200438452E-07</v>
      </c>
      <c r="P35" s="20">
        <f>O35*SQRT(M35)</f>
        <v>6.950413096465043E-08</v>
      </c>
      <c r="Q35" s="26" t="s">
        <v>32</v>
      </c>
      <c r="R35" s="24"/>
      <c r="S35" s="297" t="s">
        <v>331</v>
      </c>
      <c r="T35" s="311"/>
      <c r="U35" s="298" t="s">
        <v>295</v>
      </c>
      <c r="V35" s="313" t="s">
        <v>302</v>
      </c>
      <c r="W35"/>
      <c r="X35"/>
      <c r="Y35"/>
      <c r="Z35"/>
      <c r="AA35"/>
    </row>
    <row r="36" spans="1:27" s="2" customFormat="1" ht="13.5" thickBot="1">
      <c r="A36" s="138" t="s">
        <v>84</v>
      </c>
      <c r="B36" s="139"/>
      <c r="C36" s="139"/>
      <c r="D36" s="140"/>
      <c r="E36" s="31" t="s">
        <v>83</v>
      </c>
      <c r="F36" s="165"/>
      <c r="G36" s="165">
        <f>10*LOG(1/(1/((10^(G10/10))*(G5*1000000))+1/((10^(G11/10))*(G5*1000000))+1/(10^(G35/10))))</f>
        <v>67.78287737982176</v>
      </c>
      <c r="H36" s="142"/>
      <c r="I36" s="166">
        <f>10*LOG(1/(1/((10^(I10/10))*(I5*1000000))+1/((10^(I11/10))*(I5*1000000))+1/(10^(I35/10))))</f>
        <v>70.16465840802891</v>
      </c>
      <c r="J36" s="18"/>
      <c r="K36" s="18"/>
      <c r="L36" s="165">
        <f>10*LOG(1/(1/((10^(L10/10))*(L5*1000000))+1/((10^(L11/10))*(L5*1000000))+1/(10^(L35/10))))</f>
        <v>69.65674403217466</v>
      </c>
      <c r="M36" s="402">
        <f>(P36/O36)^2</f>
        <v>0.4155496357818693</v>
      </c>
      <c r="N36" s="49"/>
      <c r="O36" s="87">
        <f>O10+O11+O35</f>
        <v>1.0822450217909254E-07</v>
      </c>
      <c r="P36" s="87">
        <f>P10+P11+P35</f>
        <v>6.976491184329505E-08</v>
      </c>
      <c r="Q36" s="26" t="s">
        <v>32</v>
      </c>
      <c r="R36" s="216" t="s">
        <v>85</v>
      </c>
      <c r="S36" s="302" t="s">
        <v>253</v>
      </c>
      <c r="T36" s="328"/>
      <c r="U36" s="321" t="s">
        <v>299</v>
      </c>
      <c r="V36" s="316" t="s">
        <v>288</v>
      </c>
      <c r="W36"/>
      <c r="X36"/>
      <c r="Y36"/>
      <c r="Z36"/>
      <c r="AA36"/>
    </row>
    <row r="37" spans="1:27" s="341" customFormat="1" ht="13.5" thickBot="1">
      <c r="A37" s="103" t="s">
        <v>86</v>
      </c>
      <c r="B37" s="103"/>
      <c r="C37" s="103"/>
      <c r="D37" s="103"/>
      <c r="E37" s="13"/>
      <c r="F37" s="145"/>
      <c r="G37" s="145"/>
      <c r="H37" s="13"/>
      <c r="I37" s="13"/>
      <c r="J37" s="13"/>
      <c r="K37" s="13"/>
      <c r="L37" s="13"/>
      <c r="M37" s="353"/>
      <c r="N37" s="13"/>
      <c r="O37" s="13"/>
      <c r="P37" s="13"/>
      <c r="Q37" s="13"/>
      <c r="R37" s="348"/>
      <c r="S37" s="119"/>
      <c r="T37" s="119"/>
      <c r="U37" s="119"/>
      <c r="V37" s="119"/>
      <c r="W37" s="119"/>
      <c r="X37" s="119"/>
      <c r="Y37" s="119"/>
      <c r="Z37" s="119"/>
      <c r="AA37" s="119"/>
    </row>
    <row r="38" spans="1:27" s="2" customFormat="1" ht="12.75">
      <c r="A38" s="127" t="s">
        <v>87</v>
      </c>
      <c r="B38" s="128"/>
      <c r="C38" s="128"/>
      <c r="D38" s="115"/>
      <c r="E38" s="15" t="s">
        <v>19</v>
      </c>
      <c r="F38" s="148"/>
      <c r="G38" s="148">
        <v>1692.7</v>
      </c>
      <c r="H38" s="17"/>
      <c r="I38" s="523">
        <f>G38</f>
        <v>1692.7</v>
      </c>
      <c r="J38" s="18"/>
      <c r="K38" s="18"/>
      <c r="L38" s="18"/>
      <c r="M38" s="351"/>
      <c r="N38" s="18"/>
      <c r="O38" s="18"/>
      <c r="P38" s="18"/>
      <c r="Q38" s="18"/>
      <c r="R38" s="137"/>
      <c r="S38" s="332"/>
      <c r="T38" s="306" t="s">
        <v>266</v>
      </c>
      <c r="U38" s="307"/>
      <c r="V38" s="308"/>
      <c r="W38"/>
      <c r="X38"/>
      <c r="Y38"/>
      <c r="Z38"/>
      <c r="AA38"/>
    </row>
    <row r="39" spans="1:27" s="2" customFormat="1" ht="12.75">
      <c r="A39" s="116"/>
      <c r="B39" s="106"/>
      <c r="C39" s="106" t="s">
        <v>88</v>
      </c>
      <c r="D39" s="104"/>
      <c r="E39" s="20" t="s">
        <v>89</v>
      </c>
      <c r="F39" s="167"/>
      <c r="G39" s="539">
        <v>2.89</v>
      </c>
      <c r="H39" s="77"/>
      <c r="I39" s="524">
        <f>(10^(I40/10))/1000</f>
        <v>3.4347714372929854</v>
      </c>
      <c r="J39" s="23"/>
      <c r="K39" s="23"/>
      <c r="L39" s="23"/>
      <c r="M39" s="352"/>
      <c r="N39" s="23"/>
      <c r="O39" s="23"/>
      <c r="P39" s="23"/>
      <c r="Q39" s="23"/>
      <c r="R39" s="24" t="s">
        <v>90</v>
      </c>
      <c r="S39" s="319"/>
      <c r="T39" s="313" t="s">
        <v>270</v>
      </c>
      <c r="U39" s="310"/>
      <c r="V39" s="311"/>
      <c r="W39"/>
      <c r="X39"/>
      <c r="Y39"/>
      <c r="Z39"/>
      <c r="AA39"/>
    </row>
    <row r="40" spans="1:27" s="2" customFormat="1" ht="12.75">
      <c r="A40" s="116"/>
      <c r="B40" s="106" t="s">
        <v>88</v>
      </c>
      <c r="C40" s="106"/>
      <c r="D40" s="104"/>
      <c r="E40" s="20" t="s">
        <v>61</v>
      </c>
      <c r="F40" s="168"/>
      <c r="G40" s="599">
        <f>10*LOG(G39)+30</f>
        <v>34.608978427565475</v>
      </c>
      <c r="H40" s="538" t="str">
        <f>IF(J40=-K40,CONCATENATE("±",TEXT(ABS(J40),"0.0##")),CONCATENATE(TEXT(J40,"+0.0##;-0.0##"),"/",TEXT(K40,"+0.0##;-0.0##")))</f>
        <v>±0.75</v>
      </c>
      <c r="I40" s="525">
        <f>G40+J40</f>
        <v>35.358978427565475</v>
      </c>
      <c r="J40" s="26">
        <v>0.75</v>
      </c>
      <c r="K40" s="26">
        <v>-0.75</v>
      </c>
      <c r="L40" s="40">
        <f>I40+((J40+K40)/3)</f>
        <v>35.358978427565475</v>
      </c>
      <c r="M40" s="53">
        <f>(J40^2+K40^2-(K40*J40))/18</f>
        <v>0.09375</v>
      </c>
      <c r="N40" s="41"/>
      <c r="O40" s="41"/>
      <c r="P40" s="41"/>
      <c r="Q40" s="20" t="s">
        <v>36</v>
      </c>
      <c r="R40" s="24" t="s">
        <v>91</v>
      </c>
      <c r="S40" s="319"/>
      <c r="T40" s="313" t="s">
        <v>270</v>
      </c>
      <c r="U40" s="312" t="s">
        <v>290</v>
      </c>
      <c r="V40" s="313" t="s">
        <v>324</v>
      </c>
      <c r="W40"/>
      <c r="X40"/>
      <c r="Y40"/>
      <c r="Z40"/>
      <c r="AA40"/>
    </row>
    <row r="41" spans="1:27" s="2" customFormat="1" ht="12.75">
      <c r="A41" s="116"/>
      <c r="B41" s="106" t="s">
        <v>92</v>
      </c>
      <c r="C41" s="106"/>
      <c r="D41" s="104"/>
      <c r="E41" s="20" t="s">
        <v>27</v>
      </c>
      <c r="F41" s="169"/>
      <c r="G41" s="151">
        <v>2.5</v>
      </c>
      <c r="H41" s="538" t="str">
        <f>IF(J41=-K41,CONCATENATE("±",TEXT(ABS(J41),"0.0##")),CONCATENATE(TEXT(J41,"+0.0##;-0.0##"),"/",TEXT(K41,"+0.0##;-0.0##")))</f>
        <v>±0.625</v>
      </c>
      <c r="I41" s="52">
        <f>G41+J41</f>
        <v>1.875</v>
      </c>
      <c r="J41" s="26">
        <v>-0.625</v>
      </c>
      <c r="K41" s="26">
        <v>0.625</v>
      </c>
      <c r="L41" s="40">
        <f>I41+((J41+K41)/2)</f>
        <v>1.875</v>
      </c>
      <c r="M41" s="53">
        <f>((J41-K41)^2)/12</f>
        <v>0.13020833333333334</v>
      </c>
      <c r="N41" s="41"/>
      <c r="O41" s="41"/>
      <c r="P41" s="41"/>
      <c r="Q41" s="20" t="s">
        <v>39</v>
      </c>
      <c r="R41" s="24" t="s">
        <v>93</v>
      </c>
      <c r="S41" s="319"/>
      <c r="T41" s="313" t="s">
        <v>271</v>
      </c>
      <c r="U41" s="312" t="s">
        <v>291</v>
      </c>
      <c r="V41" s="313" t="s">
        <v>324</v>
      </c>
      <c r="W41"/>
      <c r="X41"/>
      <c r="Y41"/>
      <c r="Z41"/>
      <c r="AA41"/>
    </row>
    <row r="42" spans="1:27" s="2" customFormat="1" ht="12.75">
      <c r="A42" s="116"/>
      <c r="B42" s="106" t="s">
        <v>94</v>
      </c>
      <c r="C42" s="106"/>
      <c r="D42" s="104"/>
      <c r="E42" s="20" t="s">
        <v>27</v>
      </c>
      <c r="F42" s="149"/>
      <c r="G42" s="151">
        <v>1.66</v>
      </c>
      <c r="H42" s="538" t="str">
        <f>IF(J42=-K42,CONCATENATE("±",TEXT(ABS(J42),"0.0##")),CONCATENATE(TEXT(J42,"+0.0##;-0.0##"),"/",TEXT(K42,"+0.0##;-0.0##")))</f>
        <v>±0.22</v>
      </c>
      <c r="I42" s="52">
        <f>G42+J42</f>
        <v>1.44</v>
      </c>
      <c r="J42" s="26">
        <v>-0.22</v>
      </c>
      <c r="K42" s="26">
        <v>0.22</v>
      </c>
      <c r="L42" s="40">
        <f>I42+((J42+K42)/2)</f>
        <v>1.44</v>
      </c>
      <c r="M42" s="53">
        <f>((J42-K42)^2)/12</f>
        <v>0.016133333333333333</v>
      </c>
      <c r="N42" s="41"/>
      <c r="O42" s="41"/>
      <c r="P42" s="41"/>
      <c r="Q42" s="20" t="s">
        <v>39</v>
      </c>
      <c r="R42" s="24" t="s">
        <v>95</v>
      </c>
      <c r="S42" s="319"/>
      <c r="T42" s="313" t="s">
        <v>279</v>
      </c>
      <c r="U42" s="312" t="s">
        <v>291</v>
      </c>
      <c r="V42" s="313" t="s">
        <v>324</v>
      </c>
      <c r="W42"/>
      <c r="X42"/>
      <c r="Y42"/>
      <c r="Z42"/>
      <c r="AA42"/>
    </row>
    <row r="43" spans="1:27" s="2" customFormat="1" ht="12.75">
      <c r="A43" s="116"/>
      <c r="B43" s="106"/>
      <c r="C43" s="106" t="s">
        <v>96</v>
      </c>
      <c r="D43" s="104"/>
      <c r="E43" s="20" t="s">
        <v>61</v>
      </c>
      <c r="F43" s="159"/>
      <c r="G43" s="84">
        <f>G40-G41-G42</f>
        <v>30.448978427565475</v>
      </c>
      <c r="H43" s="675"/>
      <c r="I43" s="99">
        <f>I40-I41-I42</f>
        <v>32.04397842756548</v>
      </c>
      <c r="J43" s="99">
        <f>3*SQRT(M43)</f>
        <v>1.4699744895745641</v>
      </c>
      <c r="K43" s="99">
        <f>-3*SQRT(M43)</f>
        <v>-1.4699744895745641</v>
      </c>
      <c r="L43" s="99">
        <f>L40-L41-L42</f>
        <v>32.04397842756548</v>
      </c>
      <c r="M43" s="591">
        <f>M40+M41+M42</f>
        <v>0.24009166666666668</v>
      </c>
      <c r="N43" s="99"/>
      <c r="O43" s="99"/>
      <c r="P43" s="99"/>
      <c r="Q43" s="26" t="s">
        <v>32</v>
      </c>
      <c r="R43" s="24" t="s">
        <v>97</v>
      </c>
      <c r="S43" s="297" t="s">
        <v>384</v>
      </c>
      <c r="T43" s="311"/>
      <c r="U43" s="298" t="s">
        <v>385</v>
      </c>
      <c r="V43" s="425" t="s">
        <v>302</v>
      </c>
      <c r="W43"/>
      <c r="X43"/>
      <c r="Y43"/>
      <c r="Z43"/>
      <c r="AA43"/>
    </row>
    <row r="44" spans="1:27" s="2" customFormat="1" ht="12.75">
      <c r="A44" s="116"/>
      <c r="B44" s="106" t="s">
        <v>58</v>
      </c>
      <c r="C44" s="106"/>
      <c r="D44" s="104"/>
      <c r="E44" s="20" t="s">
        <v>27</v>
      </c>
      <c r="F44" s="149"/>
      <c r="G44" s="539">
        <v>0.44</v>
      </c>
      <c r="H44" s="538" t="str">
        <f>IF(J44=-K44,CONCATENATE("±",TEXT(ABS(J44),"0.0##")),CONCATENATE(TEXT(J44,"+0.0##;-0.0##"),"/",TEXT(K44,"+0.0##;-0.0##")))</f>
        <v>±0.05</v>
      </c>
      <c r="I44" s="52">
        <f>G44+J44</f>
        <v>0.39</v>
      </c>
      <c r="J44" s="26">
        <v>-0.05</v>
      </c>
      <c r="K44" s="26">
        <v>0.05</v>
      </c>
      <c r="L44" s="40">
        <f>I44+((J44+K44)/2)</f>
        <v>0.39</v>
      </c>
      <c r="M44" s="53">
        <f>((J44-K44)^2)/12</f>
        <v>0.0008333333333333335</v>
      </c>
      <c r="N44" s="41"/>
      <c r="O44" s="41"/>
      <c r="P44" s="41"/>
      <c r="Q44" s="20" t="s">
        <v>39</v>
      </c>
      <c r="R44" s="24" t="s">
        <v>98</v>
      </c>
      <c r="S44" s="319"/>
      <c r="T44" s="313" t="s">
        <v>279</v>
      </c>
      <c r="U44" s="312" t="s">
        <v>291</v>
      </c>
      <c r="V44" s="313" t="s">
        <v>324</v>
      </c>
      <c r="W44"/>
      <c r="X44"/>
      <c r="Y44"/>
      <c r="Z44"/>
      <c r="AA44"/>
    </row>
    <row r="45" spans="1:27" s="2" customFormat="1" ht="12.75">
      <c r="A45" s="116"/>
      <c r="B45" s="106" t="s">
        <v>55</v>
      </c>
      <c r="C45" s="106"/>
      <c r="D45" s="104"/>
      <c r="E45" s="20" t="s">
        <v>56</v>
      </c>
      <c r="F45" s="149"/>
      <c r="G45" s="539">
        <v>14.5</v>
      </c>
      <c r="H45" s="538" t="str">
        <f>IF(J45=-K45,CONCATENATE("±",TEXT(ABS(J45),"0.0##")),CONCATENATE(TEXT(J45,"+0.0##;-0.0##"),"/",TEXT(K45,"+0.0##;-0.0##")))</f>
        <v>±0.15</v>
      </c>
      <c r="I45" s="52">
        <f>G45+J45</f>
        <v>14.65</v>
      </c>
      <c r="J45" s="26">
        <v>0.15</v>
      </c>
      <c r="K45" s="26">
        <v>-0.15</v>
      </c>
      <c r="L45" s="40">
        <f>I45+((J45+K45)/3)</f>
        <v>14.65</v>
      </c>
      <c r="M45" s="53">
        <f>(J45^2+K45^2-(K45*J45))/18</f>
        <v>0.0037500000000000003</v>
      </c>
      <c r="N45" s="41"/>
      <c r="O45" s="41"/>
      <c r="P45" s="41"/>
      <c r="Q45" s="20" t="s">
        <v>36</v>
      </c>
      <c r="R45" s="24" t="s">
        <v>57</v>
      </c>
      <c r="S45" s="319"/>
      <c r="T45" s="313" t="s">
        <v>272</v>
      </c>
      <c r="U45" s="312" t="s">
        <v>290</v>
      </c>
      <c r="V45" s="313" t="s">
        <v>324</v>
      </c>
      <c r="W45"/>
      <c r="X45"/>
      <c r="Y45"/>
      <c r="Z45"/>
      <c r="AA45"/>
    </row>
    <row r="46" spans="1:27" s="2" customFormat="1" ht="12.75">
      <c r="A46" s="116"/>
      <c r="B46" s="106"/>
      <c r="C46" s="106" t="s">
        <v>22</v>
      </c>
      <c r="D46" s="104"/>
      <c r="E46" s="36" t="s">
        <v>23</v>
      </c>
      <c r="F46" s="164"/>
      <c r="G46" s="563" t="s">
        <v>24</v>
      </c>
      <c r="H46" s="77"/>
      <c r="I46" s="52" t="str">
        <f>G46</f>
        <v>linear</v>
      </c>
      <c r="J46" s="23"/>
      <c r="K46" s="23"/>
      <c r="L46" s="23"/>
      <c r="M46" s="352"/>
      <c r="N46" s="23"/>
      <c r="O46" s="23"/>
      <c r="P46" s="23"/>
      <c r="Q46" s="23"/>
      <c r="R46" s="24" t="s">
        <v>25</v>
      </c>
      <c r="S46" s="319"/>
      <c r="T46" s="309" t="s">
        <v>267</v>
      </c>
      <c r="U46" s="310"/>
      <c r="V46" s="311"/>
      <c r="W46"/>
      <c r="X46"/>
      <c r="Y46"/>
      <c r="Z46"/>
      <c r="AA46"/>
    </row>
    <row r="47" spans="1:27" s="2" customFormat="1" ht="12.75">
      <c r="A47" s="116"/>
      <c r="B47" s="106"/>
      <c r="C47" s="106" t="s">
        <v>26</v>
      </c>
      <c r="D47" s="104"/>
      <c r="E47" s="36" t="s">
        <v>27</v>
      </c>
      <c r="F47" s="155"/>
      <c r="G47" s="155" t="s">
        <v>28</v>
      </c>
      <c r="H47" s="22"/>
      <c r="I47" s="52" t="str">
        <f>G47</f>
        <v> --</v>
      </c>
      <c r="J47" s="23"/>
      <c r="K47" s="23"/>
      <c r="L47" s="23"/>
      <c r="M47" s="352"/>
      <c r="N47" s="23"/>
      <c r="O47" s="23"/>
      <c r="P47" s="23"/>
      <c r="Q47" s="23"/>
      <c r="R47" s="24" t="s">
        <v>29</v>
      </c>
      <c r="S47" s="319"/>
      <c r="T47" s="309" t="s">
        <v>267</v>
      </c>
      <c r="U47" s="310"/>
      <c r="V47" s="311"/>
      <c r="W47"/>
      <c r="X47"/>
      <c r="Y47"/>
      <c r="Z47"/>
      <c r="AA47"/>
    </row>
    <row r="48" spans="1:27" s="2" customFormat="1" ht="12.75">
      <c r="A48" s="116" t="s">
        <v>34</v>
      </c>
      <c r="B48" s="106"/>
      <c r="C48" s="106"/>
      <c r="D48" s="104"/>
      <c r="E48" s="20" t="s">
        <v>35</v>
      </c>
      <c r="F48" s="159"/>
      <c r="G48" s="159">
        <f>G40-G41-G42-G44+G45</f>
        <v>44.508978427565474</v>
      </c>
      <c r="H48" s="22"/>
      <c r="I48" s="43">
        <f>I40-I41-I42-I44+I45</f>
        <v>46.303978427565475</v>
      </c>
      <c r="J48" s="23"/>
      <c r="K48" s="531"/>
      <c r="L48" s="44">
        <f>L40-L41-L42-L44+L45</f>
        <v>46.303978427565475</v>
      </c>
      <c r="M48" s="480">
        <f>M40+M41+M42+M44+M45</f>
        <v>0.244675</v>
      </c>
      <c r="N48" s="84"/>
      <c r="O48" s="84"/>
      <c r="P48" s="84"/>
      <c r="Q48" s="20" t="s">
        <v>32</v>
      </c>
      <c r="R48" s="24"/>
      <c r="S48" s="297" t="s">
        <v>254</v>
      </c>
      <c r="T48" s="311"/>
      <c r="U48" s="298" t="s">
        <v>296</v>
      </c>
      <c r="V48" s="313" t="s">
        <v>302</v>
      </c>
      <c r="W48"/>
      <c r="X48"/>
      <c r="Y48"/>
      <c r="Z48"/>
      <c r="AA48"/>
    </row>
    <row r="49" spans="1:27" s="2" customFormat="1" ht="12.75">
      <c r="A49" s="143" t="s">
        <v>38</v>
      </c>
      <c r="B49" s="106"/>
      <c r="C49" s="106"/>
      <c r="D49" s="104"/>
      <c r="E49" s="20" t="s">
        <v>27</v>
      </c>
      <c r="F49" s="149"/>
      <c r="G49" s="149">
        <v>0</v>
      </c>
      <c r="H49" s="22"/>
      <c r="I49" s="52">
        <v>0</v>
      </c>
      <c r="J49" s="26">
        <v>0</v>
      </c>
      <c r="K49" s="26">
        <v>0</v>
      </c>
      <c r="L49" s="20">
        <f>I49+((J49+K49)/2)</f>
        <v>0</v>
      </c>
      <c r="M49" s="53">
        <f>((J49-K49)^2)/12</f>
        <v>0</v>
      </c>
      <c r="N49" s="20"/>
      <c r="O49" s="20"/>
      <c r="P49" s="20"/>
      <c r="Q49" s="20" t="s">
        <v>39</v>
      </c>
      <c r="R49" s="24" t="s">
        <v>40</v>
      </c>
      <c r="S49" s="319"/>
      <c r="T49" s="309" t="s">
        <v>267</v>
      </c>
      <c r="U49" s="312" t="s">
        <v>291</v>
      </c>
      <c r="V49" s="313" t="s">
        <v>324</v>
      </c>
      <c r="W49"/>
      <c r="X49"/>
      <c r="Y49"/>
      <c r="Z49"/>
      <c r="AA49"/>
    </row>
    <row r="50" spans="1:27" s="2" customFormat="1" ht="12.75">
      <c r="A50" s="116" t="s">
        <v>99</v>
      </c>
      <c r="B50" s="106"/>
      <c r="C50" s="106"/>
      <c r="D50" s="104"/>
      <c r="E50" s="20"/>
      <c r="F50" s="149"/>
      <c r="G50" s="149">
        <v>1</v>
      </c>
      <c r="H50" s="22"/>
      <c r="I50" s="52">
        <v>1</v>
      </c>
      <c r="J50" s="23"/>
      <c r="K50" s="23"/>
      <c r="L50" s="23"/>
      <c r="M50" s="352"/>
      <c r="N50" s="23"/>
      <c r="O50" s="23"/>
      <c r="P50" s="23"/>
      <c r="Q50" s="23"/>
      <c r="R50" s="24" t="s">
        <v>100</v>
      </c>
      <c r="S50" s="319"/>
      <c r="T50" s="309" t="s">
        <v>274</v>
      </c>
      <c r="U50" s="310"/>
      <c r="V50" s="311"/>
      <c r="W50"/>
      <c r="X50"/>
      <c r="Y50"/>
      <c r="Z50"/>
      <c r="AA50"/>
    </row>
    <row r="51" spans="1:27" s="2" customFormat="1" ht="13.5" thickBot="1">
      <c r="A51" s="138" t="s">
        <v>101</v>
      </c>
      <c r="B51" s="139"/>
      <c r="C51" s="139"/>
      <c r="D51" s="140"/>
      <c r="E51" s="15" t="s">
        <v>35</v>
      </c>
      <c r="F51" s="415"/>
      <c r="G51" s="213">
        <f>G48-G49-10*LOG(G50)</f>
        <v>44.508978427565474</v>
      </c>
      <c r="H51" s="17"/>
      <c r="I51" s="32">
        <f>I48-I49-10*LOG(I50)</f>
        <v>46.303978427565475</v>
      </c>
      <c r="J51" s="18"/>
      <c r="K51" s="532"/>
      <c r="L51" s="213">
        <f>L48-L49-10*LOG(I50)</f>
        <v>46.303978427565475</v>
      </c>
      <c r="M51" s="355">
        <f>M48+M49</f>
        <v>0.244675</v>
      </c>
      <c r="N51" s="44"/>
      <c r="O51" s="44"/>
      <c r="P51" s="44"/>
      <c r="Q51" s="20" t="s">
        <v>32</v>
      </c>
      <c r="R51" s="216" t="s">
        <v>102</v>
      </c>
      <c r="S51" s="322" t="s">
        <v>255</v>
      </c>
      <c r="T51" s="328"/>
      <c r="U51" s="299" t="s">
        <v>297</v>
      </c>
      <c r="V51" s="316" t="s">
        <v>302</v>
      </c>
      <c r="W51"/>
      <c r="X51"/>
      <c r="Y51"/>
      <c r="Z51"/>
      <c r="AA51"/>
    </row>
    <row r="52" spans="1:27" s="341" customFormat="1" ht="13.5" thickBot="1">
      <c r="A52" s="103" t="s">
        <v>103</v>
      </c>
      <c r="B52" s="103"/>
      <c r="C52" s="103"/>
      <c r="D52" s="103"/>
      <c r="E52" s="13"/>
      <c r="F52" s="145"/>
      <c r="G52" s="145"/>
      <c r="H52" s="13"/>
      <c r="I52" s="13"/>
      <c r="J52" s="13"/>
      <c r="K52" s="13"/>
      <c r="L52" s="371"/>
      <c r="M52" s="353"/>
      <c r="N52" s="13"/>
      <c r="O52" s="13"/>
      <c r="P52" s="13"/>
      <c r="Q52" s="13"/>
      <c r="R52" s="348"/>
      <c r="S52" s="119"/>
      <c r="T52" s="119"/>
      <c r="U52" s="119"/>
      <c r="V52" s="119"/>
      <c r="W52" s="119"/>
      <c r="X52" s="119"/>
      <c r="Y52" s="119"/>
      <c r="Z52" s="119"/>
      <c r="AA52" s="119"/>
    </row>
    <row r="53" spans="1:27" s="2" customFormat="1" ht="12.75">
      <c r="A53" s="127"/>
      <c r="B53" s="128" t="s">
        <v>43</v>
      </c>
      <c r="C53" s="128"/>
      <c r="D53" s="115"/>
      <c r="E53" s="15" t="s">
        <v>44</v>
      </c>
      <c r="F53" s="158"/>
      <c r="G53" s="158">
        <v>41126.8</v>
      </c>
      <c r="H53" s="17"/>
      <c r="I53" s="523">
        <v>41126.8</v>
      </c>
      <c r="J53" s="27">
        <v>40037.8</v>
      </c>
      <c r="K53" s="27">
        <v>41392</v>
      </c>
      <c r="L53" s="18"/>
      <c r="M53" s="351"/>
      <c r="N53" s="18"/>
      <c r="O53" s="18"/>
      <c r="P53" s="18"/>
      <c r="Q53" s="18"/>
      <c r="R53" s="137" t="s">
        <v>304</v>
      </c>
      <c r="S53" s="332"/>
      <c r="T53" s="306" t="s">
        <v>276</v>
      </c>
      <c r="U53" s="307"/>
      <c r="V53" s="308"/>
      <c r="W53"/>
      <c r="X53"/>
      <c r="Y53"/>
      <c r="Z53"/>
      <c r="AA53"/>
    </row>
    <row r="54" spans="1:27" s="2" customFormat="1" ht="12.75">
      <c r="A54" s="116" t="s">
        <v>45</v>
      </c>
      <c r="B54" s="106"/>
      <c r="C54" s="106"/>
      <c r="D54" s="104"/>
      <c r="E54" s="20" t="s">
        <v>27</v>
      </c>
      <c r="F54" s="159"/>
      <c r="G54" s="159">
        <f>(20*LOG(G38*1000000)+20*LOG(4*PI()*G53*1000)-20*LOG(300000000))</f>
        <v>189.29587045366526</v>
      </c>
      <c r="H54" s="30"/>
      <c r="I54" s="160">
        <f>(20*LOG($I$38*1000000)+20*LOG(4*PI()*I53*1000)-20*LOG(300000000))</f>
        <v>189.29587045366526</v>
      </c>
      <c r="J54" s="44">
        <f>(20*LOG($I$38*1000000)+20*LOG(4*PI()*J53*1000)-20*LOG(300000000))-I54</f>
        <v>-0.23309426716758708</v>
      </c>
      <c r="K54" s="44">
        <f>(20*LOG($I$38*1000000)+20*LOG(4*PI()*K53*1000)-20*LOG(300000000))-I54</f>
        <v>0.055829843931235246</v>
      </c>
      <c r="L54" s="40">
        <f>I54+((J54+K54)/3)</f>
        <v>189.23678231258648</v>
      </c>
      <c r="M54" s="53">
        <f>(J54^2+K54^2-(K54*J54))/18</f>
        <v>0.003914640300945144</v>
      </c>
      <c r="N54" s="41"/>
      <c r="O54" s="41"/>
      <c r="P54" s="41"/>
      <c r="Q54" s="20" t="s">
        <v>36</v>
      </c>
      <c r="R54" s="24" t="s">
        <v>46</v>
      </c>
      <c r="S54" s="296" t="s">
        <v>257</v>
      </c>
      <c r="T54" s="311"/>
      <c r="U54" s="312" t="s">
        <v>290</v>
      </c>
      <c r="V54" s="313" t="s">
        <v>324</v>
      </c>
      <c r="W54"/>
      <c r="X54"/>
      <c r="Y54"/>
      <c r="Z54"/>
      <c r="AA54"/>
    </row>
    <row r="55" spans="1:27" s="2" customFormat="1" ht="13.5" thickBot="1">
      <c r="A55" s="138" t="s">
        <v>47</v>
      </c>
      <c r="B55" s="139"/>
      <c r="C55" s="139"/>
      <c r="D55" s="140"/>
      <c r="E55" s="20" t="s">
        <v>27</v>
      </c>
      <c r="F55" s="149"/>
      <c r="G55" s="149">
        <v>0.35</v>
      </c>
      <c r="H55" s="22" t="s">
        <v>104</v>
      </c>
      <c r="I55" s="52">
        <v>0.35</v>
      </c>
      <c r="J55" s="26">
        <f>-(0.35-0.13)</f>
        <v>-0.21999999999999997</v>
      </c>
      <c r="K55" s="26">
        <f>-(0.35-1.67)</f>
        <v>1.3199999999999998</v>
      </c>
      <c r="L55" s="20">
        <f>I55+((J55+K55)/2)</f>
        <v>0.8999999999999999</v>
      </c>
      <c r="M55" s="53">
        <f>((J55-K55)^2)/36</f>
        <v>0.06587777777777776</v>
      </c>
      <c r="N55" s="20"/>
      <c r="O55" s="20"/>
      <c r="P55" s="20"/>
      <c r="Q55" s="20" t="s">
        <v>32</v>
      </c>
      <c r="R55" s="216" t="s">
        <v>48</v>
      </c>
      <c r="S55" s="334"/>
      <c r="T55" s="316" t="s">
        <v>301</v>
      </c>
      <c r="U55" s="315" t="s">
        <v>292</v>
      </c>
      <c r="V55" s="316" t="s">
        <v>324</v>
      </c>
      <c r="W55"/>
      <c r="X55"/>
      <c r="Y55"/>
      <c r="Z55"/>
      <c r="AA55"/>
    </row>
    <row r="56" spans="1:27" s="341" customFormat="1" ht="13.5" thickBot="1">
      <c r="A56" s="103" t="s">
        <v>105</v>
      </c>
      <c r="B56" s="103"/>
      <c r="C56" s="103"/>
      <c r="D56" s="103"/>
      <c r="E56" s="13"/>
      <c r="F56" s="145"/>
      <c r="G56" s="145"/>
      <c r="H56" s="13"/>
      <c r="I56" s="13"/>
      <c r="J56" s="13"/>
      <c r="K56" s="13"/>
      <c r="L56" s="13"/>
      <c r="M56" s="353"/>
      <c r="N56" s="13"/>
      <c r="O56" s="13"/>
      <c r="P56" s="13"/>
      <c r="Q56" s="13"/>
      <c r="R56" s="348"/>
      <c r="S56" s="119"/>
      <c r="T56" s="119"/>
      <c r="U56" s="119"/>
      <c r="V56" s="119"/>
      <c r="W56" s="119"/>
      <c r="X56" s="119"/>
      <c r="Y56" s="119"/>
      <c r="Z56" s="119"/>
      <c r="AA56" s="119"/>
    </row>
    <row r="57" spans="1:27" s="2" customFormat="1" ht="12.75">
      <c r="A57" s="127" t="s">
        <v>106</v>
      </c>
      <c r="B57" s="128"/>
      <c r="C57" s="128"/>
      <c r="D57" s="115"/>
      <c r="E57" s="15" t="s">
        <v>35</v>
      </c>
      <c r="F57" s="170"/>
      <c r="G57" s="170">
        <f>G51-G54-G55</f>
        <v>-145.1368920260998</v>
      </c>
      <c r="H57" s="17"/>
      <c r="I57" s="32">
        <f>I51-I54-I55</f>
        <v>-143.34189202609977</v>
      </c>
      <c r="J57" s="18"/>
      <c r="K57" s="18"/>
      <c r="L57" s="34">
        <f>L51-L54-L55</f>
        <v>-143.832803885021</v>
      </c>
      <c r="M57" s="356">
        <f>M51+M54+M55</f>
        <v>0.3144674180787229</v>
      </c>
      <c r="N57" s="34"/>
      <c r="O57" s="34"/>
      <c r="P57" s="34"/>
      <c r="Q57" s="18"/>
      <c r="R57" s="137"/>
      <c r="S57" s="323" t="s">
        <v>258</v>
      </c>
      <c r="T57" s="308"/>
      <c r="U57" s="323" t="s">
        <v>305</v>
      </c>
      <c r="V57" s="324" t="s">
        <v>302</v>
      </c>
      <c r="W57"/>
      <c r="X57"/>
      <c r="Y57"/>
      <c r="Z57"/>
      <c r="AA57"/>
    </row>
    <row r="58" spans="1:27" s="2" customFormat="1" ht="12.75">
      <c r="A58" s="116" t="s">
        <v>107</v>
      </c>
      <c r="B58" s="106"/>
      <c r="C58" s="106"/>
      <c r="D58" s="104"/>
      <c r="E58" s="20" t="s">
        <v>108</v>
      </c>
      <c r="F58" s="149"/>
      <c r="G58" s="149">
        <v>-154</v>
      </c>
      <c r="H58" s="25"/>
      <c r="I58" s="37"/>
      <c r="J58" s="38"/>
      <c r="K58" s="38"/>
      <c r="L58" s="38"/>
      <c r="M58" s="352"/>
      <c r="N58" s="38"/>
      <c r="O58" s="38"/>
      <c r="P58" s="38"/>
      <c r="Q58" s="38"/>
      <c r="R58" s="24" t="s">
        <v>281</v>
      </c>
      <c r="S58" s="319"/>
      <c r="T58" s="309" t="s">
        <v>280</v>
      </c>
      <c r="U58" s="318"/>
      <c r="V58" s="311"/>
      <c r="W58"/>
      <c r="X58"/>
      <c r="Y58"/>
      <c r="Z58"/>
      <c r="AA58"/>
    </row>
    <row r="59" spans="1:27" s="2" customFormat="1" ht="12.75">
      <c r="A59" s="116" t="s">
        <v>109</v>
      </c>
      <c r="B59" s="106"/>
      <c r="C59" s="106"/>
      <c r="D59" s="104"/>
      <c r="E59" s="20" t="s">
        <v>108</v>
      </c>
      <c r="F59" s="171"/>
      <c r="G59" s="171">
        <f>(G51-30)-10*LOG(G5*1000000)+10*LOG(4000)-G55-(10*LOG(4*PI()*(G53*1000)^2))</f>
        <v>-157.0744187696144</v>
      </c>
      <c r="H59" s="25"/>
      <c r="I59" s="37"/>
      <c r="J59" s="38"/>
      <c r="K59" s="38"/>
      <c r="L59" s="38"/>
      <c r="M59" s="352"/>
      <c r="N59" s="38"/>
      <c r="O59" s="38"/>
      <c r="P59" s="38"/>
      <c r="Q59" s="38"/>
      <c r="R59" s="24" t="s">
        <v>282</v>
      </c>
      <c r="S59" s="319"/>
      <c r="T59" s="311"/>
      <c r="U59" s="318"/>
      <c r="V59" s="311"/>
      <c r="W59"/>
      <c r="X59"/>
      <c r="Y59"/>
      <c r="Z59"/>
      <c r="AA59"/>
    </row>
    <row r="60" spans="1:27" s="2" customFormat="1" ht="12.75">
      <c r="A60" s="116"/>
      <c r="B60" s="106" t="s">
        <v>110</v>
      </c>
      <c r="C60" s="106"/>
      <c r="D60" s="104"/>
      <c r="E60" s="20" t="s">
        <v>77</v>
      </c>
      <c r="F60" s="149"/>
      <c r="G60" s="149">
        <v>-0.3</v>
      </c>
      <c r="H60" s="538" t="str">
        <f>IF(J60=-K60,CONCATENATE("±",TEXT(ABS(J60),"0.0##")),CONCATENATE(TEXT(J60,"+0.0##;-0.0##"),"/",TEXT(K60,"+0.0##;-0.0##")))</f>
        <v>±0.5</v>
      </c>
      <c r="I60" s="52">
        <f>G60</f>
        <v>-0.3</v>
      </c>
      <c r="J60" s="26">
        <v>0.5</v>
      </c>
      <c r="K60" s="26">
        <v>-0.5</v>
      </c>
      <c r="L60" s="20">
        <f>I60+((J60+K60)/2)</f>
        <v>-0.3</v>
      </c>
      <c r="M60" s="53">
        <f>((J60-K60)^2)/36</f>
        <v>0.027777777777777776</v>
      </c>
      <c r="N60" s="20"/>
      <c r="O60" s="20"/>
      <c r="P60" s="20"/>
      <c r="Q60" s="20" t="s">
        <v>32</v>
      </c>
      <c r="R60" s="24" t="s">
        <v>283</v>
      </c>
      <c r="S60" s="319"/>
      <c r="T60" s="309" t="s">
        <v>268</v>
      </c>
      <c r="U60" s="312" t="s">
        <v>292</v>
      </c>
      <c r="V60" s="313" t="s">
        <v>324</v>
      </c>
      <c r="W60"/>
      <c r="X60"/>
      <c r="Y60"/>
      <c r="Z60"/>
      <c r="AA60"/>
    </row>
    <row r="61" spans="1:27" s="2" customFormat="1" ht="12.75">
      <c r="A61" s="116"/>
      <c r="B61" s="106" t="s">
        <v>111</v>
      </c>
      <c r="C61" s="106"/>
      <c r="D61" s="104"/>
      <c r="E61" s="20" t="s">
        <v>27</v>
      </c>
      <c r="F61" s="149"/>
      <c r="G61" s="149">
        <v>0</v>
      </c>
      <c r="H61" s="22"/>
      <c r="I61" s="52">
        <v>0</v>
      </c>
      <c r="J61" s="26">
        <v>0</v>
      </c>
      <c r="K61" s="26">
        <v>0</v>
      </c>
      <c r="L61" s="20">
        <f>I61+((J61+K61)/2)</f>
        <v>0</v>
      </c>
      <c r="M61" s="53">
        <f>((J61-K61)^2)/12</f>
        <v>0</v>
      </c>
      <c r="N61" s="20"/>
      <c r="O61" s="20"/>
      <c r="P61" s="20"/>
      <c r="Q61" s="20" t="s">
        <v>39</v>
      </c>
      <c r="R61" s="24" t="s">
        <v>283</v>
      </c>
      <c r="S61" s="319"/>
      <c r="T61" s="309" t="s">
        <v>268</v>
      </c>
      <c r="U61" s="312" t="s">
        <v>291</v>
      </c>
      <c r="V61" s="313" t="s">
        <v>324</v>
      </c>
      <c r="W61"/>
      <c r="X61"/>
      <c r="Y61"/>
      <c r="Z61"/>
      <c r="AA61"/>
    </row>
    <row r="62" spans="1:27" s="2" customFormat="1" ht="12.75">
      <c r="A62" s="116"/>
      <c r="B62" s="106"/>
      <c r="C62" s="106" t="s">
        <v>22</v>
      </c>
      <c r="D62" s="104"/>
      <c r="E62" s="36" t="s">
        <v>23</v>
      </c>
      <c r="F62" s="164"/>
      <c r="G62" s="164" t="s">
        <v>24</v>
      </c>
      <c r="H62" s="22"/>
      <c r="I62" s="52" t="str">
        <f>G62</f>
        <v>linear</v>
      </c>
      <c r="J62" s="23"/>
      <c r="K62" s="23"/>
      <c r="L62" s="23"/>
      <c r="M62" s="352"/>
      <c r="N62" s="23"/>
      <c r="O62" s="23"/>
      <c r="P62" s="23"/>
      <c r="Q62" s="23"/>
      <c r="R62" s="24" t="s">
        <v>25</v>
      </c>
      <c r="S62" s="319"/>
      <c r="T62" s="309" t="s">
        <v>267</v>
      </c>
      <c r="U62" s="310"/>
      <c r="V62" s="311"/>
      <c r="W62"/>
      <c r="X62"/>
      <c r="Y62"/>
      <c r="Z62"/>
      <c r="AA62"/>
    </row>
    <row r="63" spans="1:27" s="2" customFormat="1" ht="12.75">
      <c r="A63" s="116"/>
      <c r="B63" s="106"/>
      <c r="C63" s="106" t="s">
        <v>26</v>
      </c>
      <c r="D63" s="104"/>
      <c r="E63" s="36" t="s">
        <v>27</v>
      </c>
      <c r="F63" s="155"/>
      <c r="G63" s="155" t="s">
        <v>28</v>
      </c>
      <c r="H63" s="22"/>
      <c r="I63" s="52" t="str">
        <f>G63</f>
        <v> --</v>
      </c>
      <c r="J63" s="23"/>
      <c r="K63" s="23"/>
      <c r="L63" s="23"/>
      <c r="M63" s="352"/>
      <c r="N63" s="23"/>
      <c r="O63" s="23"/>
      <c r="P63" s="23"/>
      <c r="Q63" s="23"/>
      <c r="R63" s="24" t="s">
        <v>29</v>
      </c>
      <c r="S63" s="319"/>
      <c r="T63" s="309" t="s">
        <v>267</v>
      </c>
      <c r="U63" s="310"/>
      <c r="V63" s="311"/>
      <c r="W63"/>
      <c r="X63"/>
      <c r="Y63"/>
      <c r="Z63"/>
      <c r="AA63"/>
    </row>
    <row r="64" spans="1:27" s="2" customFormat="1" ht="12" customHeight="1">
      <c r="A64" s="116"/>
      <c r="B64" s="106" t="s">
        <v>50</v>
      </c>
      <c r="C64" s="106"/>
      <c r="D64" s="104"/>
      <c r="E64" s="20" t="s">
        <v>27</v>
      </c>
      <c r="F64" s="149"/>
      <c r="G64" s="149">
        <v>0.2</v>
      </c>
      <c r="H64" s="538" t="str">
        <f>IF(J64=-K64,CONCATENATE("±",TEXT(ABS(J64),"0.0##")),CONCATENATE(TEXT(J64,"+0.0##;-0.0##"),"/",TEXT(K64,"+0.0##;-0.0##")))</f>
        <v>±0.2</v>
      </c>
      <c r="I64" s="52">
        <v>0.2</v>
      </c>
      <c r="J64" s="26">
        <v>-0.2</v>
      </c>
      <c r="K64" s="26">
        <v>0.2</v>
      </c>
      <c r="L64" s="20">
        <f>I64+((J64+K64)/2)</f>
        <v>0.2</v>
      </c>
      <c r="M64" s="53">
        <f>((J64-K64)^2)/12</f>
        <v>0.013333333333333336</v>
      </c>
      <c r="N64" s="20"/>
      <c r="O64" s="20"/>
      <c r="P64" s="20"/>
      <c r="Q64" s="20" t="s">
        <v>39</v>
      </c>
      <c r="R64" s="24" t="s">
        <v>51</v>
      </c>
      <c r="S64" s="319"/>
      <c r="T64" s="311"/>
      <c r="U64" s="312" t="s">
        <v>291</v>
      </c>
      <c r="V64" s="313" t="s">
        <v>324</v>
      </c>
      <c r="W64"/>
      <c r="X64"/>
      <c r="Y64"/>
      <c r="Z64"/>
      <c r="AA64"/>
    </row>
    <row r="65" spans="1:27" s="2" customFormat="1" ht="12.75">
      <c r="A65" s="116"/>
      <c r="B65" s="106" t="s">
        <v>78</v>
      </c>
      <c r="C65" s="106"/>
      <c r="D65" s="104"/>
      <c r="E65" s="20" t="s">
        <v>79</v>
      </c>
      <c r="F65" s="147"/>
      <c r="G65" s="147">
        <v>-198.6</v>
      </c>
      <c r="H65" s="22"/>
      <c r="I65" s="52">
        <v>-198.6</v>
      </c>
      <c r="J65" s="23"/>
      <c r="K65" s="23"/>
      <c r="L65" s="20">
        <f>I65</f>
        <v>-198.6</v>
      </c>
      <c r="M65" s="53">
        <v>0</v>
      </c>
      <c r="N65" s="20"/>
      <c r="O65" s="20"/>
      <c r="P65" s="20"/>
      <c r="Q65" s="20" t="s">
        <v>80</v>
      </c>
      <c r="R65" s="24" t="s">
        <v>81</v>
      </c>
      <c r="S65" s="319"/>
      <c r="T65" s="311"/>
      <c r="U65" s="330" t="s">
        <v>303</v>
      </c>
      <c r="V65" s="313" t="s">
        <v>302</v>
      </c>
      <c r="W65"/>
      <c r="X65"/>
      <c r="Y65"/>
      <c r="Z65"/>
      <c r="AA65"/>
    </row>
    <row r="66" spans="1:27" s="2" customFormat="1" ht="12.75">
      <c r="A66" s="116" t="s">
        <v>112</v>
      </c>
      <c r="B66" s="106"/>
      <c r="C66" s="106"/>
      <c r="D66" s="104"/>
      <c r="E66" s="36" t="s">
        <v>83</v>
      </c>
      <c r="F66" s="44"/>
      <c r="G66" s="44">
        <f>G57+G60-G61-G64-G65</f>
        <v>52.96310797390021</v>
      </c>
      <c r="H66" s="22"/>
      <c r="I66" s="43">
        <f>I57+I60-I61-I64-I65</f>
        <v>54.75810797390022</v>
      </c>
      <c r="J66" s="23"/>
      <c r="K66" s="23"/>
      <c r="L66" s="44">
        <f>L57+L60-L61-L64-L65</f>
        <v>54.26719611497899</v>
      </c>
      <c r="M66" s="355">
        <f>M57+M60+M61+M64+M65</f>
        <v>0.355578529189834</v>
      </c>
      <c r="N66" s="44"/>
      <c r="O66" s="44"/>
      <c r="P66" s="44"/>
      <c r="Q66" s="23"/>
      <c r="R66" s="24"/>
      <c r="S66" s="297" t="s">
        <v>259</v>
      </c>
      <c r="T66" s="311"/>
      <c r="U66" s="360" t="s">
        <v>321</v>
      </c>
      <c r="V66" s="313" t="s">
        <v>302</v>
      </c>
      <c r="W66"/>
      <c r="X66"/>
      <c r="Y66"/>
      <c r="Z66"/>
      <c r="AA66"/>
    </row>
    <row r="67" spans="1:27" s="2" customFormat="1" ht="12.75">
      <c r="A67" s="116"/>
      <c r="B67" s="106" t="s">
        <v>113</v>
      </c>
      <c r="C67" s="106"/>
      <c r="D67" s="104"/>
      <c r="E67" s="20" t="s">
        <v>27</v>
      </c>
      <c r="F67" s="149"/>
      <c r="G67" s="149">
        <v>0.05</v>
      </c>
      <c r="H67" s="2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c r="R67" s="24" t="s">
        <v>114</v>
      </c>
      <c r="S67" s="319"/>
      <c r="T67" s="313" t="s">
        <v>279</v>
      </c>
      <c r="U67" s="312" t="s">
        <v>292</v>
      </c>
      <c r="V67" s="313" t="s">
        <v>324</v>
      </c>
      <c r="W67"/>
      <c r="X67"/>
      <c r="Y67"/>
      <c r="Z67"/>
      <c r="AA67"/>
    </row>
    <row r="68" spans="1:27" s="2" customFormat="1" ht="12.75">
      <c r="A68" s="116"/>
      <c r="B68" s="106" t="s">
        <v>115</v>
      </c>
      <c r="C68" s="106"/>
      <c r="D68" s="104"/>
      <c r="E68" s="20" t="s">
        <v>27</v>
      </c>
      <c r="F68" s="149"/>
      <c r="G68" s="149">
        <v>0</v>
      </c>
      <c r="H68" s="22"/>
      <c r="I68" s="52">
        <v>0</v>
      </c>
      <c r="J68" s="26">
        <v>0</v>
      </c>
      <c r="K68" s="26">
        <v>0</v>
      </c>
      <c r="L68" s="20">
        <f>I68+((J68+K68)/2)</f>
        <v>0</v>
      </c>
      <c r="M68" s="53">
        <f>((J68-K68)^2)/12</f>
        <v>0</v>
      </c>
      <c r="N68" s="20"/>
      <c r="O68" s="20"/>
      <c r="P68" s="20"/>
      <c r="Q68" s="20" t="s">
        <v>39</v>
      </c>
      <c r="R68" s="24" t="s">
        <v>116</v>
      </c>
      <c r="S68" s="319"/>
      <c r="T68" s="311"/>
      <c r="U68" s="312" t="s">
        <v>291</v>
      </c>
      <c r="V68" s="313" t="s">
        <v>324</v>
      </c>
      <c r="W68"/>
      <c r="X68"/>
      <c r="Y68"/>
      <c r="Z68"/>
      <c r="AA68"/>
    </row>
    <row r="69" spans="1:27" s="2" customFormat="1" ht="13.5" thickBot="1">
      <c r="A69" s="138" t="s">
        <v>117</v>
      </c>
      <c r="B69" s="139"/>
      <c r="C69" s="139"/>
      <c r="D69" s="140"/>
      <c r="E69" s="20" t="s">
        <v>83</v>
      </c>
      <c r="F69" s="159"/>
      <c r="G69" s="159">
        <f>G66-G67-G68</f>
        <v>52.91310797390021</v>
      </c>
      <c r="H69" s="22"/>
      <c r="I69" s="43">
        <f>I66-I67-I68</f>
        <v>54.71310797390022</v>
      </c>
      <c r="J69" s="23"/>
      <c r="K69" s="23"/>
      <c r="L69" s="44">
        <f>L66-L67-L68</f>
        <v>54.222196114978985</v>
      </c>
      <c r="M69" s="355">
        <f>M66+M67+M68</f>
        <v>0.3555813069676118</v>
      </c>
      <c r="N69" s="44"/>
      <c r="O69" s="20">
        <f>10^(-L69/10)</f>
        <v>3.78251264457394E-06</v>
      </c>
      <c r="P69" s="20">
        <f>O69*SQRT(M69)</f>
        <v>2.255536448203622E-06</v>
      </c>
      <c r="Q69" s="20" t="s">
        <v>32</v>
      </c>
      <c r="R69" s="216"/>
      <c r="S69" s="325" t="s">
        <v>260</v>
      </c>
      <c r="T69" s="328"/>
      <c r="U69" s="299" t="s">
        <v>298</v>
      </c>
      <c r="V69" s="316" t="s">
        <v>302</v>
      </c>
      <c r="W69"/>
      <c r="X69"/>
      <c r="Y69"/>
      <c r="Z69"/>
      <c r="AA69"/>
    </row>
    <row r="70" spans="1:27" s="341" customFormat="1" ht="13.5" thickBot="1">
      <c r="A70" s="103" t="s">
        <v>118</v>
      </c>
      <c r="B70" s="103"/>
      <c r="C70" s="103"/>
      <c r="D70" s="103"/>
      <c r="E70" s="13"/>
      <c r="F70" s="145"/>
      <c r="G70" s="145"/>
      <c r="H70" s="13"/>
      <c r="I70" s="13"/>
      <c r="J70" s="13"/>
      <c r="K70" s="13"/>
      <c r="L70" s="13"/>
      <c r="M70" s="353"/>
      <c r="N70" s="13"/>
      <c r="O70" s="13"/>
      <c r="P70" s="13"/>
      <c r="Q70" s="13"/>
      <c r="R70" s="348"/>
      <c r="S70" s="119"/>
      <c r="T70" s="119"/>
      <c r="U70" s="119"/>
      <c r="V70" s="119"/>
      <c r="W70" s="119"/>
      <c r="X70" s="119"/>
      <c r="Y70" s="119"/>
      <c r="Z70" s="119"/>
      <c r="AA70" s="119"/>
    </row>
    <row r="71" spans="1:27" s="2" customFormat="1" ht="12.75">
      <c r="A71" s="127" t="s">
        <v>119</v>
      </c>
      <c r="B71" s="128"/>
      <c r="C71" s="128"/>
      <c r="D71" s="115"/>
      <c r="E71" s="129" t="s">
        <v>83</v>
      </c>
      <c r="F71" s="172"/>
      <c r="G71" s="173">
        <f>10*LOG(1/(1/(10^(G36/10))+1/(10^(G69/10))))</f>
        <v>52.77384817149582</v>
      </c>
      <c r="H71" s="132"/>
      <c r="I71" s="133">
        <f>10*LOG(1/(1/(10^(I36/10))+1/(10^(I69/10))))</f>
        <v>54.59106498683062</v>
      </c>
      <c r="J71" s="134"/>
      <c r="K71" s="134"/>
      <c r="L71" s="133">
        <f>10*LOG(1/(1/(10^(L36/10))+1/(10^(L69/10))))</f>
        <v>54.09968108587347</v>
      </c>
      <c r="M71" s="358">
        <f>(P71/O71)^2</f>
        <v>0.3571862304170499</v>
      </c>
      <c r="N71" s="135"/>
      <c r="O71" s="136">
        <f>O36+O69</f>
        <v>3.890737146753032E-06</v>
      </c>
      <c r="P71" s="136">
        <f>P36+P69</f>
        <v>2.325301360046917E-06</v>
      </c>
      <c r="Q71" s="129" t="s">
        <v>32</v>
      </c>
      <c r="R71" s="137" t="s">
        <v>120</v>
      </c>
      <c r="S71" s="326" t="s">
        <v>261</v>
      </c>
      <c r="T71" s="308"/>
      <c r="U71" s="327" t="s">
        <v>299</v>
      </c>
      <c r="V71" s="324" t="s">
        <v>288</v>
      </c>
      <c r="W71"/>
      <c r="X71"/>
      <c r="Y71"/>
      <c r="Z71"/>
      <c r="AA71"/>
    </row>
    <row r="72" spans="1:27" s="2" customFormat="1" ht="12.75">
      <c r="A72" s="116" t="s">
        <v>18</v>
      </c>
      <c r="B72" s="106"/>
      <c r="C72" s="106"/>
      <c r="D72" s="104"/>
      <c r="E72" s="120" t="s">
        <v>121</v>
      </c>
      <c r="F72" s="174"/>
      <c r="G72" s="174">
        <f>10*LOG(G5)+60</f>
        <v>43.979400086720375</v>
      </c>
      <c r="H72" s="122"/>
      <c r="I72" s="175">
        <f>10*LOG(I5)+60</f>
        <v>43.979400086720375</v>
      </c>
      <c r="J72" s="124"/>
      <c r="K72" s="124"/>
      <c r="L72" s="125">
        <f>I72</f>
        <v>43.979400086720375</v>
      </c>
      <c r="M72" s="403">
        <v>0</v>
      </c>
      <c r="N72" s="126"/>
      <c r="O72" s="126"/>
      <c r="P72" s="126"/>
      <c r="Q72" s="126" t="s">
        <v>80</v>
      </c>
      <c r="R72" s="24"/>
      <c r="S72" s="297" t="s">
        <v>262</v>
      </c>
      <c r="T72" s="309" t="s">
        <v>265</v>
      </c>
      <c r="U72" s="330" t="s">
        <v>303</v>
      </c>
      <c r="V72" s="313" t="s">
        <v>302</v>
      </c>
      <c r="W72"/>
      <c r="X72"/>
      <c r="Y72"/>
      <c r="Z72"/>
      <c r="AA72"/>
    </row>
    <row r="73" spans="1:27" s="2" customFormat="1" ht="13.5" thickBot="1">
      <c r="A73" s="138" t="s">
        <v>122</v>
      </c>
      <c r="B73" s="139"/>
      <c r="C73" s="139"/>
      <c r="D73" s="140"/>
      <c r="E73" s="36" t="s">
        <v>27</v>
      </c>
      <c r="F73" s="44"/>
      <c r="G73" s="44">
        <f>G71-G72</f>
        <v>8.794448084775446</v>
      </c>
      <c r="H73" s="22"/>
      <c r="I73" s="43">
        <f>I71-I72</f>
        <v>10.611664900110242</v>
      </c>
      <c r="J73" s="23"/>
      <c r="K73" s="23"/>
      <c r="L73" s="44">
        <f>L71-L72</f>
        <v>10.120280999153096</v>
      </c>
      <c r="M73" s="355">
        <f>M71+M72</f>
        <v>0.3571862304170499</v>
      </c>
      <c r="N73" s="44"/>
      <c r="O73" s="44"/>
      <c r="P73" s="44"/>
      <c r="Q73" s="20" t="s">
        <v>32</v>
      </c>
      <c r="R73" s="216"/>
      <c r="S73" s="325" t="s">
        <v>263</v>
      </c>
      <c r="T73" s="328"/>
      <c r="U73" s="299" t="s">
        <v>300</v>
      </c>
      <c r="V73" s="316" t="s">
        <v>302</v>
      </c>
      <c r="W73"/>
      <c r="X73"/>
      <c r="Y73"/>
      <c r="Z73"/>
      <c r="AA73"/>
    </row>
    <row r="74" spans="1:27" s="341" customFormat="1" ht="13.5" thickBot="1">
      <c r="A74" s="103" t="s">
        <v>123</v>
      </c>
      <c r="B74" s="103"/>
      <c r="C74" s="103"/>
      <c r="D74" s="103"/>
      <c r="E74" s="13"/>
      <c r="F74" s="145"/>
      <c r="G74" s="145"/>
      <c r="H74" s="13"/>
      <c r="I74" s="13"/>
      <c r="J74" s="13"/>
      <c r="K74" s="13"/>
      <c r="L74" s="13"/>
      <c r="M74" s="353"/>
      <c r="N74" s="13"/>
      <c r="O74" s="13"/>
      <c r="P74" s="13"/>
      <c r="Q74" s="13"/>
      <c r="R74" s="348"/>
      <c r="S74" s="119"/>
      <c r="T74" s="119"/>
      <c r="U74" s="119"/>
      <c r="V74" s="119"/>
      <c r="W74" s="119"/>
      <c r="X74" s="119"/>
      <c r="Y74" s="119"/>
      <c r="Z74" s="119"/>
      <c r="AA74" s="119"/>
    </row>
    <row r="75" spans="1:27" s="2" customFormat="1" ht="12.75">
      <c r="A75" s="127"/>
      <c r="B75" s="128" t="s">
        <v>124</v>
      </c>
      <c r="C75" s="128"/>
      <c r="D75" s="115"/>
      <c r="E75" s="20"/>
      <c r="F75" s="176"/>
      <c r="G75" s="176">
        <v>0.01</v>
      </c>
      <c r="H75" s="22"/>
      <c r="I75" s="526">
        <f>G75</f>
        <v>0.01</v>
      </c>
      <c r="J75" s="23"/>
      <c r="K75" s="23"/>
      <c r="L75" s="23"/>
      <c r="M75" s="352"/>
      <c r="N75" s="23"/>
      <c r="O75" s="23"/>
      <c r="P75" s="23"/>
      <c r="Q75" s="23"/>
      <c r="R75" s="137"/>
      <c r="S75" s="332"/>
      <c r="T75" s="306" t="s">
        <v>265</v>
      </c>
      <c r="U75" s="307"/>
      <c r="V75" s="308"/>
      <c r="W75"/>
      <c r="X75"/>
      <c r="Y75"/>
      <c r="Z75"/>
      <c r="AA75"/>
    </row>
    <row r="76" spans="1:27" s="2" customFormat="1" ht="12.75">
      <c r="A76" s="116" t="s">
        <v>125</v>
      </c>
      <c r="B76" s="106"/>
      <c r="C76" s="106"/>
      <c r="D76" s="104"/>
      <c r="E76" s="20" t="s">
        <v>27</v>
      </c>
      <c r="F76" s="167"/>
      <c r="G76" s="167">
        <v>4.4</v>
      </c>
      <c r="H76" s="22"/>
      <c r="I76" s="524">
        <f>G76</f>
        <v>4.4</v>
      </c>
      <c r="J76" s="26">
        <v>0</v>
      </c>
      <c r="K76" s="26">
        <v>0</v>
      </c>
      <c r="L76" s="20">
        <f>I76</f>
        <v>4.4</v>
      </c>
      <c r="M76" s="352"/>
      <c r="N76" s="23"/>
      <c r="O76" s="23"/>
      <c r="P76" s="23"/>
      <c r="Q76" s="23"/>
      <c r="R76" s="24" t="s">
        <v>126</v>
      </c>
      <c r="S76" s="319"/>
      <c r="T76" s="311"/>
      <c r="U76" s="310"/>
      <c r="V76" s="311"/>
      <c r="W76"/>
      <c r="X76"/>
      <c r="Y76"/>
      <c r="Z76"/>
      <c r="AA76"/>
    </row>
    <row r="77" spans="1:27" s="2" customFormat="1" ht="12.75">
      <c r="A77" s="116" t="s">
        <v>127</v>
      </c>
      <c r="B77" s="106"/>
      <c r="C77" s="106"/>
      <c r="D77" s="104"/>
      <c r="E77" s="20" t="s">
        <v>27</v>
      </c>
      <c r="F77" s="149"/>
      <c r="G77" s="149">
        <v>2.3</v>
      </c>
      <c r="H77" s="538" t="str">
        <f>IF(J77=-K77,CONCATENATE("±",TEXT(ABS(J77),"0.0##")),CONCATENATE(TEXT(J77,"+0.0##;-0.0##"),"/",TEXT(K77,"+0.0##;-0.0##")))</f>
        <v>±0.25</v>
      </c>
      <c r="I77" s="52">
        <v>2.3</v>
      </c>
      <c r="J77" s="26">
        <v>-0.25</v>
      </c>
      <c r="K77" s="26">
        <v>0.25</v>
      </c>
      <c r="L77" s="20">
        <f>I77+((J77+K77)/2)</f>
        <v>2.3</v>
      </c>
      <c r="M77" s="53">
        <f>((J77-K77)^2)/12</f>
        <v>0.020833333333333332</v>
      </c>
      <c r="N77" s="53"/>
      <c r="O77" s="53"/>
      <c r="P77" s="53"/>
      <c r="Q77" s="20" t="s">
        <v>39</v>
      </c>
      <c r="R77" s="24"/>
      <c r="S77" s="319"/>
      <c r="T77" s="309" t="s">
        <v>265</v>
      </c>
      <c r="U77" s="312" t="s">
        <v>291</v>
      </c>
      <c r="V77" s="313" t="s">
        <v>324</v>
      </c>
      <c r="W77"/>
      <c r="X77"/>
      <c r="Y77"/>
      <c r="Z77"/>
      <c r="AA77"/>
    </row>
    <row r="78" spans="1:27" s="2" customFormat="1" ht="12.75">
      <c r="A78" s="116"/>
      <c r="B78" s="106" t="s">
        <v>128</v>
      </c>
      <c r="C78" s="106"/>
      <c r="D78" s="104"/>
      <c r="E78" s="20" t="s">
        <v>27</v>
      </c>
      <c r="F78" s="149"/>
      <c r="G78" s="149"/>
      <c r="H78" s="25"/>
      <c r="I78" s="37"/>
      <c r="J78" s="38"/>
      <c r="K78" s="38"/>
      <c r="L78" s="38"/>
      <c r="M78" s="352"/>
      <c r="N78" s="38"/>
      <c r="O78" s="38"/>
      <c r="P78" s="38"/>
      <c r="Q78" s="38"/>
      <c r="R78" s="24"/>
      <c r="S78" s="319"/>
      <c r="T78" s="311"/>
      <c r="U78" s="318"/>
      <c r="V78" s="311"/>
      <c r="W78"/>
      <c r="X78"/>
      <c r="Y78"/>
      <c r="Z78"/>
      <c r="AA78"/>
    </row>
    <row r="79" spans="1:27" s="2" customFormat="1" ht="12.75">
      <c r="A79" s="116"/>
      <c r="B79" s="106" t="s">
        <v>243</v>
      </c>
      <c r="D79" s="104"/>
      <c r="E79" s="20" t="s">
        <v>27</v>
      </c>
      <c r="F79" s="149"/>
      <c r="G79" s="149">
        <v>0.05</v>
      </c>
      <c r="H79" s="25"/>
      <c r="I79" s="37"/>
      <c r="J79" s="38"/>
      <c r="K79" s="38"/>
      <c r="L79" s="38"/>
      <c r="M79" s="352"/>
      <c r="N79" s="38"/>
      <c r="O79" s="38"/>
      <c r="P79" s="38"/>
      <c r="Q79" s="38"/>
      <c r="R79" s="24"/>
      <c r="S79" s="319"/>
      <c r="T79" s="311"/>
      <c r="U79" s="318"/>
      <c r="V79" s="311"/>
      <c r="W79"/>
      <c r="X79"/>
      <c r="Y79"/>
      <c r="Z79"/>
      <c r="AA79"/>
    </row>
    <row r="80" spans="1:27" s="2" customFormat="1" ht="12.75">
      <c r="A80" s="116"/>
      <c r="B80" s="106" t="s">
        <v>129</v>
      </c>
      <c r="C80" s="106"/>
      <c r="D80" s="104"/>
      <c r="E80" s="20" t="s">
        <v>27</v>
      </c>
      <c r="F80" s="149"/>
      <c r="G80" s="149">
        <f>SUM(G81:G83)</f>
        <v>0.342</v>
      </c>
      <c r="H80" s="25"/>
      <c r="I80" s="37"/>
      <c r="J80" s="38"/>
      <c r="K80" s="38"/>
      <c r="L80" s="38"/>
      <c r="M80" s="352"/>
      <c r="N80" s="38"/>
      <c r="O80" s="38"/>
      <c r="P80" s="38"/>
      <c r="Q80" s="38"/>
      <c r="R80" s="24"/>
      <c r="S80" s="319"/>
      <c r="T80" s="311"/>
      <c r="U80" s="318"/>
      <c r="V80" s="311"/>
      <c r="W80"/>
      <c r="X80"/>
      <c r="Y80"/>
      <c r="Z80"/>
      <c r="AA80"/>
    </row>
    <row r="81" spans="1:27" s="2" customFormat="1" ht="12.75">
      <c r="A81" s="116"/>
      <c r="B81" s="106"/>
      <c r="C81" s="106" t="s">
        <v>130</v>
      </c>
      <c r="D81" s="104"/>
      <c r="E81" s="20" t="s">
        <v>27</v>
      </c>
      <c r="F81" s="149"/>
      <c r="G81" s="149">
        <v>0.33</v>
      </c>
      <c r="H81" s="25"/>
      <c r="I81" s="37"/>
      <c r="J81" s="38"/>
      <c r="K81" s="38"/>
      <c r="L81" s="38"/>
      <c r="M81" s="352"/>
      <c r="N81" s="38"/>
      <c r="O81" s="38"/>
      <c r="P81" s="38"/>
      <c r="Q81" s="38"/>
      <c r="R81" s="24"/>
      <c r="S81" s="319"/>
      <c r="T81" s="311"/>
      <c r="U81" s="318"/>
      <c r="V81" s="311"/>
      <c r="W81"/>
      <c r="X81"/>
      <c r="Y81"/>
      <c r="Z81"/>
      <c r="AA81"/>
    </row>
    <row r="82" spans="1:27" s="2" customFormat="1" ht="12.75">
      <c r="A82" s="116"/>
      <c r="B82" s="106"/>
      <c r="C82" s="106" t="s">
        <v>131</v>
      </c>
      <c r="D82" s="104"/>
      <c r="E82" s="20" t="s">
        <v>27</v>
      </c>
      <c r="F82" s="149"/>
      <c r="G82" s="149"/>
      <c r="H82" s="25"/>
      <c r="I82" s="37"/>
      <c r="J82" s="38"/>
      <c r="K82" s="38"/>
      <c r="L82" s="38"/>
      <c r="M82" s="352"/>
      <c r="N82" s="38"/>
      <c r="O82" s="38"/>
      <c r="P82" s="38"/>
      <c r="Q82" s="38"/>
      <c r="R82" s="24"/>
      <c r="S82" s="319"/>
      <c r="T82" s="311"/>
      <c r="U82" s="318"/>
      <c r="V82" s="311"/>
      <c r="W82"/>
      <c r="X82"/>
      <c r="Y82"/>
      <c r="Z82"/>
      <c r="AA82"/>
    </row>
    <row r="83" spans="1:27" s="2" customFormat="1" ht="12.75">
      <c r="A83" s="116"/>
      <c r="B83" s="106"/>
      <c r="C83" s="106" t="s">
        <v>132</v>
      </c>
      <c r="D83" s="104"/>
      <c r="E83" s="20" t="s">
        <v>27</v>
      </c>
      <c r="F83" s="149"/>
      <c r="G83" s="149">
        <v>0.012</v>
      </c>
      <c r="H83" s="25"/>
      <c r="I83" s="37"/>
      <c r="J83" s="38"/>
      <c r="K83" s="38"/>
      <c r="L83" s="38"/>
      <c r="M83" s="352"/>
      <c r="N83" s="38"/>
      <c r="O83" s="38"/>
      <c r="P83" s="38"/>
      <c r="Q83" s="38"/>
      <c r="R83" s="24"/>
      <c r="S83" s="319"/>
      <c r="T83" s="311"/>
      <c r="U83" s="318"/>
      <c r="V83" s="311"/>
      <c r="W83"/>
      <c r="X83"/>
      <c r="Y83"/>
      <c r="Z83"/>
      <c r="AA83"/>
    </row>
    <row r="84" spans="1:27" s="2" customFormat="1" ht="12.75">
      <c r="A84" s="116" t="s">
        <v>133</v>
      </c>
      <c r="B84" s="106"/>
      <c r="C84" s="106"/>
      <c r="D84" s="104"/>
      <c r="E84" s="20" t="s">
        <v>27</v>
      </c>
      <c r="F84" s="149"/>
      <c r="G84" s="168">
        <f>SUM(G85:G88)</f>
        <v>0.76137</v>
      </c>
      <c r="H84" s="25" t="s">
        <v>134</v>
      </c>
      <c r="I84" s="525">
        <f>G84*0.9</f>
        <v>0.685233</v>
      </c>
      <c r="J84" s="99">
        <f>-G84*0.1</f>
        <v>-0.07613700000000001</v>
      </c>
      <c r="K84" s="99">
        <f>G84*0.1</f>
        <v>0.07613700000000001</v>
      </c>
      <c r="L84" s="20">
        <f>I84+((J84+K84)/3)</f>
        <v>0.685233</v>
      </c>
      <c r="M84" s="53">
        <f>(J84^2+K84^2-(K84*J84))/18</f>
        <v>0.0009661404615000002</v>
      </c>
      <c r="N84" s="20"/>
      <c r="O84" s="20"/>
      <c r="P84" s="20"/>
      <c r="Q84" s="20" t="s">
        <v>36</v>
      </c>
      <c r="R84" s="24"/>
      <c r="S84" s="319"/>
      <c r="T84" s="309" t="s">
        <v>135</v>
      </c>
      <c r="U84" s="312" t="s">
        <v>290</v>
      </c>
      <c r="V84" s="313" t="s">
        <v>324</v>
      </c>
      <c r="W84"/>
      <c r="X84"/>
      <c r="Y84"/>
      <c r="Z84"/>
      <c r="AA84"/>
    </row>
    <row r="85" spans="1:27" s="2" customFormat="1" ht="12.75">
      <c r="A85" s="116"/>
      <c r="B85" s="106"/>
      <c r="C85" s="106" t="s">
        <v>130</v>
      </c>
      <c r="D85" s="104"/>
      <c r="E85" s="20" t="s">
        <v>27</v>
      </c>
      <c r="F85" s="149"/>
      <c r="G85" s="149">
        <v>0.71</v>
      </c>
      <c r="H85" s="25"/>
      <c r="I85" s="37"/>
      <c r="J85" s="38"/>
      <c r="K85" s="38"/>
      <c r="L85" s="38"/>
      <c r="M85" s="352"/>
      <c r="N85" s="38"/>
      <c r="O85" s="38"/>
      <c r="P85" s="38"/>
      <c r="Q85" s="38"/>
      <c r="R85" s="24"/>
      <c r="S85" s="319"/>
      <c r="T85" s="313" t="s">
        <v>289</v>
      </c>
      <c r="U85" s="318"/>
      <c r="V85" s="311"/>
      <c r="W85"/>
      <c r="X85"/>
      <c r="Y85"/>
      <c r="Z85"/>
      <c r="AA85"/>
    </row>
    <row r="86" spans="1:27" s="2" customFormat="1" ht="12.75">
      <c r="A86" s="116"/>
      <c r="B86" s="106"/>
      <c r="C86" s="106" t="s">
        <v>136</v>
      </c>
      <c r="D86" s="104"/>
      <c r="E86" s="20" t="s">
        <v>27</v>
      </c>
      <c r="F86" s="177"/>
      <c r="G86" s="177">
        <v>7E-05</v>
      </c>
      <c r="H86" s="25"/>
      <c r="I86" s="37"/>
      <c r="J86" s="38"/>
      <c r="K86" s="38"/>
      <c r="L86" s="38"/>
      <c r="M86" s="352"/>
      <c r="N86" s="38"/>
      <c r="O86" s="38"/>
      <c r="P86" s="38"/>
      <c r="Q86" s="38"/>
      <c r="R86" s="24"/>
      <c r="S86" s="319"/>
      <c r="T86" s="313" t="s">
        <v>289</v>
      </c>
      <c r="U86" s="318"/>
      <c r="V86" s="311"/>
      <c r="W86"/>
      <c r="X86"/>
      <c r="Y86"/>
      <c r="Z86"/>
      <c r="AA86"/>
    </row>
    <row r="87" spans="1:27" s="2" customFormat="1" ht="12.75">
      <c r="A87" s="116"/>
      <c r="B87" s="106"/>
      <c r="C87" s="106" t="s">
        <v>137</v>
      </c>
      <c r="D87" s="104"/>
      <c r="E87" s="20" t="s">
        <v>27</v>
      </c>
      <c r="F87" s="149"/>
      <c r="G87" s="149">
        <v>0.0013</v>
      </c>
      <c r="H87" s="25"/>
      <c r="I87" s="37"/>
      <c r="J87" s="38"/>
      <c r="K87" s="38"/>
      <c r="L87" s="38"/>
      <c r="M87" s="352"/>
      <c r="N87" s="38"/>
      <c r="O87" s="38"/>
      <c r="P87" s="38"/>
      <c r="Q87" s="38"/>
      <c r="R87" s="24"/>
      <c r="S87" s="319"/>
      <c r="T87" s="313" t="s">
        <v>289</v>
      </c>
      <c r="U87" s="318"/>
      <c r="V87" s="311"/>
      <c r="W87"/>
      <c r="X87"/>
      <c r="Y87"/>
      <c r="Z87"/>
      <c r="AA87"/>
    </row>
    <row r="88" spans="1:27" s="2" customFormat="1" ht="12.75">
      <c r="A88" s="116"/>
      <c r="B88" s="106"/>
      <c r="C88" s="106" t="s">
        <v>138</v>
      </c>
      <c r="D88" s="104"/>
      <c r="E88" s="20" t="s">
        <v>27</v>
      </c>
      <c r="F88" s="149"/>
      <c r="G88" s="149">
        <v>0.05</v>
      </c>
      <c r="H88" s="25"/>
      <c r="I88" s="37"/>
      <c r="J88" s="38"/>
      <c r="K88" s="38"/>
      <c r="L88" s="38"/>
      <c r="M88" s="352"/>
      <c r="N88" s="38"/>
      <c r="O88" s="38"/>
      <c r="P88" s="38"/>
      <c r="Q88" s="38"/>
      <c r="R88" s="24"/>
      <c r="S88" s="319"/>
      <c r="T88" s="313" t="s">
        <v>275</v>
      </c>
      <c r="U88" s="318"/>
      <c r="V88" s="311"/>
      <c r="W88"/>
      <c r="X88"/>
      <c r="Y88"/>
      <c r="Z88"/>
      <c r="AA88"/>
    </row>
    <row r="89" spans="1:27" s="2" customFormat="1" ht="13.5" thickBot="1">
      <c r="A89" s="138" t="s">
        <v>139</v>
      </c>
      <c r="B89" s="139"/>
      <c r="C89" s="139"/>
      <c r="D89" s="140"/>
      <c r="E89" s="20" t="s">
        <v>27</v>
      </c>
      <c r="F89" s="178"/>
      <c r="G89" s="178">
        <f>G76+G77+G84</f>
        <v>7.4613700000000005</v>
      </c>
      <c r="H89" s="55"/>
      <c r="I89" s="56">
        <f>I76+I77+I84</f>
        <v>7.385233</v>
      </c>
      <c r="J89" s="57"/>
      <c r="K89" s="57"/>
      <c r="L89" s="44">
        <f>L76+L77+L84</f>
        <v>7.385233</v>
      </c>
      <c r="M89" s="352"/>
      <c r="N89" s="23"/>
      <c r="O89" s="23"/>
      <c r="P89" s="23"/>
      <c r="Q89" s="23"/>
      <c r="R89" s="24"/>
      <c r="S89" s="325" t="s">
        <v>542</v>
      </c>
      <c r="T89" s="328"/>
      <c r="U89" s="329"/>
      <c r="V89" s="328"/>
      <c r="W89"/>
      <c r="X89"/>
      <c r="Y89"/>
      <c r="Z89"/>
      <c r="AA89"/>
    </row>
    <row r="90" spans="1:22" s="12" customFormat="1" ht="26.25" thickBot="1">
      <c r="A90" s="762" t="s">
        <v>140</v>
      </c>
      <c r="B90" s="763"/>
      <c r="C90" s="763"/>
      <c r="D90" s="764"/>
      <c r="E90" s="491" t="s">
        <v>27</v>
      </c>
      <c r="F90" s="502"/>
      <c r="G90" s="502">
        <f>G73-G89</f>
        <v>1.3330780847754458</v>
      </c>
      <c r="H90" s="491"/>
      <c r="I90" s="496">
        <f>I73-I89</f>
        <v>3.2264319001102413</v>
      </c>
      <c r="J90" s="495"/>
      <c r="K90" s="495"/>
      <c r="L90" s="496">
        <f>L73-L89</f>
        <v>2.735047999153095</v>
      </c>
      <c r="M90" s="542">
        <f>M73+M77+M84</f>
        <v>0.3789857042118832</v>
      </c>
      <c r="N90" s="497"/>
      <c r="O90" s="497"/>
      <c r="P90" s="497"/>
      <c r="Q90" s="498" t="s">
        <v>32</v>
      </c>
      <c r="R90" s="503"/>
      <c r="S90" s="484" t="s">
        <v>264</v>
      </c>
      <c r="T90" s="500"/>
      <c r="U90" s="484" t="s">
        <v>543</v>
      </c>
      <c r="V90" s="501" t="s">
        <v>302</v>
      </c>
    </row>
    <row r="91" spans="1:22" ht="13.5" thickBot="1">
      <c r="A91" s="98"/>
      <c r="B91" s="108"/>
      <c r="C91" s="108"/>
      <c r="D91" s="108" t="s">
        <v>141</v>
      </c>
      <c r="E91" s="270" t="s">
        <v>27</v>
      </c>
      <c r="F91" s="560" t="s">
        <v>768</v>
      </c>
      <c r="G91" s="232"/>
      <c r="L91" s="64" t="s">
        <v>142</v>
      </c>
      <c r="M91" s="65">
        <f>SQRT(M90)</f>
        <v>0.6156181480527383</v>
      </c>
      <c r="N91" s="86"/>
      <c r="O91" s="86"/>
      <c r="P91" s="86"/>
      <c r="Q91" s="66" t="s">
        <v>27</v>
      </c>
      <c r="R91" s="300"/>
      <c r="S91" s="413"/>
      <c r="T91" s="336"/>
      <c r="U91" s="414"/>
      <c r="V91" s="336"/>
    </row>
    <row r="92" spans="1:17" ht="13.5" thickBot="1">
      <c r="A92" s="648" t="s">
        <v>802</v>
      </c>
      <c r="B92" s="649"/>
      <c r="C92" s="649"/>
      <c r="D92" s="649"/>
      <c r="E92" s="592" t="s">
        <v>27</v>
      </c>
      <c r="F92" s="593"/>
      <c r="G92" s="595">
        <v>1</v>
      </c>
      <c r="H92" s="594"/>
      <c r="I92" s="595">
        <v>1</v>
      </c>
      <c r="L92" s="64" t="s">
        <v>143</v>
      </c>
      <c r="M92" s="67">
        <f>2*M91</f>
        <v>1.2312362961054766</v>
      </c>
      <c r="N92" s="68"/>
      <c r="O92" s="68"/>
      <c r="P92" s="68"/>
      <c r="Q92" s="66" t="s">
        <v>27</v>
      </c>
    </row>
    <row r="93" spans="1:17" ht="13.5" thickBot="1">
      <c r="A93" s="648" t="s">
        <v>813</v>
      </c>
      <c r="B93" s="650"/>
      <c r="C93" s="650"/>
      <c r="D93" s="650"/>
      <c r="E93" s="592" t="s">
        <v>27</v>
      </c>
      <c r="F93" s="593"/>
      <c r="G93" s="596">
        <f>G90-G92</f>
        <v>0.33307808477544576</v>
      </c>
      <c r="H93" s="594"/>
      <c r="I93" s="596">
        <f>I90-I92</f>
        <v>2.2264319001102413</v>
      </c>
      <c r="L93" s="64"/>
      <c r="M93" s="68"/>
      <c r="N93" s="68"/>
      <c r="O93" s="68"/>
      <c r="P93" s="68"/>
      <c r="Q93" s="66"/>
    </row>
    <row r="94" spans="1:17" ht="13.5" thickBot="1">
      <c r="A94" s="569"/>
      <c r="B94" s="287"/>
      <c r="C94" s="287"/>
      <c r="D94" s="287"/>
      <c r="E94" s="633"/>
      <c r="F94" s="634"/>
      <c r="G94" s="635"/>
      <c r="H94" s="288"/>
      <c r="I94" s="635"/>
      <c r="L94" s="64"/>
      <c r="M94" s="68"/>
      <c r="N94" s="68"/>
      <c r="O94" s="68"/>
      <c r="P94" s="68"/>
      <c r="Q94" s="66"/>
    </row>
    <row r="95" spans="1:17" ht="13.5" thickBot="1">
      <c r="A95" s="658" t="s">
        <v>884</v>
      </c>
      <c r="B95" s="654"/>
      <c r="C95" s="654"/>
      <c r="D95" s="654"/>
      <c r="E95" s="655" t="s">
        <v>27</v>
      </c>
      <c r="F95" s="656"/>
      <c r="G95" s="659">
        <f>G77+G84+G92</f>
        <v>4.06137</v>
      </c>
      <c r="H95" s="657"/>
      <c r="I95" s="659">
        <f>I77+I84+I92</f>
        <v>3.985233</v>
      </c>
      <c r="L95" s="64"/>
      <c r="M95" s="68"/>
      <c r="N95" s="68"/>
      <c r="O95" s="68"/>
      <c r="P95" s="68"/>
      <c r="Q95" s="66"/>
    </row>
    <row r="96" spans="1:22" ht="12.75">
      <c r="A96" s="119"/>
      <c r="B96" s="119"/>
      <c r="C96" s="119"/>
      <c r="D96" s="119"/>
      <c r="F96" s="63"/>
      <c r="G96" s="63"/>
      <c r="H96" s="180" t="s">
        <v>144</v>
      </c>
      <c r="L96" s="64"/>
      <c r="M96" s="68"/>
      <c r="N96" s="68"/>
      <c r="O96" s="68"/>
      <c r="P96" s="68"/>
      <c r="Q96" s="66"/>
      <c r="V96"/>
    </row>
    <row r="97" spans="1:22" ht="12.75">
      <c r="A97" s="181"/>
      <c r="B97" s="181"/>
      <c r="C97" s="181"/>
      <c r="D97" s="181"/>
      <c r="F97" s="63"/>
      <c r="G97" s="180" t="s">
        <v>145</v>
      </c>
      <c r="H97" s="180" t="s">
        <v>146</v>
      </c>
      <c r="I97" s="180" t="s">
        <v>147</v>
      </c>
      <c r="J97" s="180"/>
      <c r="L97" s="64"/>
      <c r="M97" s="68"/>
      <c r="N97" s="68"/>
      <c r="O97" s="68"/>
      <c r="P97" s="68"/>
      <c r="Q97" s="66"/>
      <c r="V97"/>
    </row>
    <row r="98" spans="1:22" ht="13.5" thickBot="1">
      <c r="A98" s="181"/>
      <c r="B98" s="181"/>
      <c r="C98" s="181"/>
      <c r="D98" s="181"/>
      <c r="E98" s="180"/>
      <c r="F98" s="63"/>
      <c r="G98" s="180" t="s">
        <v>148</v>
      </c>
      <c r="H98" s="180" t="s">
        <v>148</v>
      </c>
      <c r="I98" s="180" t="s">
        <v>148</v>
      </c>
      <c r="L98" s="64"/>
      <c r="M98" s="68"/>
      <c r="N98" s="68"/>
      <c r="O98" s="68"/>
      <c r="P98" s="68"/>
      <c r="Q98" s="66"/>
      <c r="V98"/>
    </row>
    <row r="99" spans="1:22" ht="12.75">
      <c r="A99" s="182" t="s">
        <v>149</v>
      </c>
      <c r="B99" s="183"/>
      <c r="C99" s="183"/>
      <c r="D99" s="183"/>
      <c r="E99" s="184" t="s">
        <v>27</v>
      </c>
      <c r="F99" s="63"/>
      <c r="G99" s="133">
        <f>I93+M92</f>
        <v>3.457668196215718</v>
      </c>
      <c r="H99" s="185">
        <v>2</v>
      </c>
      <c r="I99" s="186">
        <f>G99-H99</f>
        <v>1.4576681962157179</v>
      </c>
      <c r="L99" s="64"/>
      <c r="M99" s="68"/>
      <c r="N99" s="68"/>
      <c r="O99" s="68"/>
      <c r="P99" s="68"/>
      <c r="Q99" s="66"/>
      <c r="S99" s="363"/>
      <c r="T99" s="70" t="s">
        <v>37</v>
      </c>
      <c r="U99" s="363"/>
      <c r="V99" s="363"/>
    </row>
    <row r="100" spans="1:22" ht="12.75">
      <c r="A100" s="187" t="s">
        <v>150</v>
      </c>
      <c r="B100" s="188"/>
      <c r="C100" s="188"/>
      <c r="D100" s="188"/>
      <c r="E100" s="189" t="s">
        <v>27</v>
      </c>
      <c r="F100" s="63"/>
      <c r="G100" s="597">
        <f>I93</f>
        <v>2.2264319001102413</v>
      </c>
      <c r="H100" s="190">
        <v>1</v>
      </c>
      <c r="I100" s="191">
        <f>G100-H100</f>
        <v>1.2264319001102413</v>
      </c>
      <c r="K100"/>
      <c r="L100"/>
      <c r="M100"/>
      <c r="N100"/>
      <c r="O100"/>
      <c r="P100"/>
      <c r="Q100"/>
      <c r="S100" s="364"/>
      <c r="T100" s="24" t="s">
        <v>37</v>
      </c>
      <c r="U100" s="364"/>
      <c r="V100" s="364"/>
    </row>
    <row r="101" spans="1:22" ht="13.5" thickBot="1">
      <c r="A101" s="192" t="s">
        <v>151</v>
      </c>
      <c r="B101" s="193"/>
      <c r="C101" s="193"/>
      <c r="D101" s="193"/>
      <c r="E101" s="194" t="s">
        <v>27</v>
      </c>
      <c r="F101" s="63"/>
      <c r="G101" s="598">
        <f>I93-M92</f>
        <v>0.9951956040047647</v>
      </c>
      <c r="H101" s="195">
        <v>0</v>
      </c>
      <c r="I101" s="196">
        <f>G101-H101</f>
        <v>0.9951956040047647</v>
      </c>
      <c r="K101"/>
      <c r="L101"/>
      <c r="M101"/>
      <c r="N101"/>
      <c r="O101"/>
      <c r="P101"/>
      <c r="Q101"/>
      <c r="S101" s="361"/>
      <c r="T101" s="71" t="s">
        <v>37</v>
      </c>
      <c r="U101" s="361"/>
      <c r="V101" s="361"/>
    </row>
    <row r="102" spans="6:22" ht="13.5" thickBot="1">
      <c r="F102"/>
      <c r="G102"/>
      <c r="H102" s="197"/>
      <c r="I102"/>
      <c r="J102"/>
      <c r="K102"/>
      <c r="L102"/>
      <c r="M102"/>
      <c r="N102"/>
      <c r="O102"/>
      <c r="P102"/>
      <c r="Q102"/>
      <c r="V102"/>
    </row>
    <row r="103" spans="2:11" ht="12.75">
      <c r="B103" s="765" t="s">
        <v>433</v>
      </c>
      <c r="C103" s="797"/>
      <c r="D103" s="797"/>
      <c r="E103" s="797"/>
      <c r="F103" s="797"/>
      <c r="G103" s="797"/>
      <c r="H103" s="797"/>
      <c r="I103" s="797"/>
      <c r="J103" s="797"/>
      <c r="K103" s="798"/>
    </row>
    <row r="104" spans="2:11" ht="12.75">
      <c r="B104" s="581"/>
      <c r="C104" s="288"/>
      <c r="D104" s="288"/>
      <c r="E104" s="795" t="s">
        <v>435</v>
      </c>
      <c r="F104" s="796"/>
      <c r="G104" s="795" t="s">
        <v>801</v>
      </c>
      <c r="H104" s="796"/>
      <c r="I104" s="795" t="s">
        <v>146</v>
      </c>
      <c r="J104" s="796"/>
      <c r="K104" s="582"/>
    </row>
    <row r="105" spans="2:11" ht="12.75">
      <c r="B105" s="572"/>
      <c r="C105" s="573"/>
      <c r="D105" s="574" t="s">
        <v>4</v>
      </c>
      <c r="E105" s="637" t="s">
        <v>431</v>
      </c>
      <c r="F105" s="637" t="s">
        <v>432</v>
      </c>
      <c r="G105" s="637" t="s">
        <v>431</v>
      </c>
      <c r="H105" s="637" t="s">
        <v>432</v>
      </c>
      <c r="I105" s="637" t="s">
        <v>431</v>
      </c>
      <c r="J105" s="637" t="s">
        <v>432</v>
      </c>
      <c r="K105" s="575" t="s">
        <v>5</v>
      </c>
    </row>
    <row r="106" spans="2:11" ht="12.75">
      <c r="B106" s="576" t="s">
        <v>67</v>
      </c>
      <c r="C106" s="569"/>
      <c r="D106" s="569"/>
      <c r="E106" s="638">
        <f>I106+G106</f>
        <v>2.61</v>
      </c>
      <c r="F106" s="639">
        <f>J106-H106</f>
        <v>4.550000000000001</v>
      </c>
      <c r="G106" s="640">
        <v>0.06</v>
      </c>
      <c r="H106" s="640">
        <v>0.06</v>
      </c>
      <c r="I106" s="641">
        <f>I29+J29</f>
        <v>2.55</v>
      </c>
      <c r="J106" s="642">
        <f>I29+K29</f>
        <v>4.61</v>
      </c>
      <c r="K106" s="577" t="s">
        <v>27</v>
      </c>
    </row>
    <row r="107" spans="2:11" ht="12.75">
      <c r="B107" s="576" t="s">
        <v>96</v>
      </c>
      <c r="C107" s="569"/>
      <c r="D107" s="569"/>
      <c r="E107" s="638">
        <f>I107+G107</f>
        <v>30.894003937990913</v>
      </c>
      <c r="F107" s="639">
        <f>J107-H107</f>
        <v>33.19395291714004</v>
      </c>
      <c r="G107" s="640">
        <v>0.32</v>
      </c>
      <c r="H107" s="640">
        <v>0.32</v>
      </c>
      <c r="I107" s="638">
        <f>I43+K43</f>
        <v>30.574003937990913</v>
      </c>
      <c r="J107" s="639">
        <f>I43+J43</f>
        <v>33.51395291714004</v>
      </c>
      <c r="K107" s="577" t="s">
        <v>61</v>
      </c>
    </row>
    <row r="108" spans="2:11" ht="13.5" thickBot="1">
      <c r="B108" s="643" t="s">
        <v>885</v>
      </c>
      <c r="C108" s="644"/>
      <c r="D108" s="644"/>
      <c r="E108" s="645">
        <f>I108+G108</f>
        <v>0</v>
      </c>
      <c r="F108" s="646">
        <f>J108-H108</f>
        <v>3.985233</v>
      </c>
      <c r="G108" s="647">
        <v>0</v>
      </c>
      <c r="H108" s="647">
        <f>K84</f>
        <v>0.07613700000000001</v>
      </c>
      <c r="I108" s="645">
        <v>0</v>
      </c>
      <c r="J108" s="646">
        <f>G95</f>
        <v>4.06137</v>
      </c>
      <c r="K108" s="578" t="s">
        <v>27</v>
      </c>
    </row>
  </sheetData>
  <mergeCells count="5">
    <mergeCell ref="A90:D90"/>
    <mergeCell ref="E104:F104"/>
    <mergeCell ref="G104:H104"/>
    <mergeCell ref="I104:J104"/>
    <mergeCell ref="B103:K103"/>
  </mergeCells>
  <printOptions headings="1" horizontalCentered="1"/>
  <pageMargins left="0.75" right="0.25" top="0.5" bottom="0.75" header="0.25" footer="0.25"/>
  <pageSetup fitToHeight="1" fitToWidth="1" horizontalDpi="600" verticalDpi="600" orientation="portrait" scale="47"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E76"/>
  <sheetViews>
    <sheetView workbookViewId="0" topLeftCell="A49">
      <selection activeCell="J76" sqref="J76"/>
    </sheetView>
  </sheetViews>
  <sheetFormatPr defaultColWidth="9.140625" defaultRowHeight="12.75"/>
  <cols>
    <col min="1" max="3" width="3.421875" style="0" customWidth="1"/>
    <col min="4" max="4" width="24.7109375" style="0" customWidth="1"/>
    <col min="5" max="8" width="11.7109375" style="63" customWidth="1"/>
    <col min="9" max="13" width="10.7109375" style="63" customWidth="1"/>
    <col min="14" max="16" width="10.7109375" style="63" hidden="1" customWidth="1"/>
    <col min="17" max="17" width="10.7109375" style="63" customWidth="1"/>
    <col min="18" max="18" width="44.7109375" style="0" customWidth="1"/>
    <col min="19" max="19" width="85.7109375" style="0" bestFit="1" customWidth="1"/>
    <col min="20" max="20" width="101.7109375" style="0" bestFit="1" customWidth="1"/>
    <col min="21" max="21" width="114.7109375" style="0" bestFit="1" customWidth="1"/>
    <col min="22" max="22" width="101.57421875" style="0" bestFit="1" customWidth="1"/>
    <col min="23" max="16384" width="8.8515625" style="0" customWidth="1"/>
  </cols>
  <sheetData>
    <row r="1" spans="1:22" s="2" customFormat="1" ht="13.5" thickBot="1">
      <c r="A1" s="109"/>
      <c r="B1" s="110"/>
      <c r="C1" s="110"/>
      <c r="D1" s="111"/>
      <c r="E1" s="4"/>
      <c r="F1" s="5" t="s">
        <v>0</v>
      </c>
      <c r="G1" s="5" t="s">
        <v>1</v>
      </c>
      <c r="H1" s="6"/>
      <c r="I1" s="7" t="s">
        <v>2</v>
      </c>
      <c r="J1" s="7"/>
      <c r="K1" s="6"/>
      <c r="L1" s="5" t="s">
        <v>3</v>
      </c>
      <c r="M1" s="6"/>
      <c r="N1" s="83"/>
      <c r="O1" s="83"/>
      <c r="P1" s="83"/>
      <c r="Q1" s="8"/>
      <c r="R1" s="9"/>
      <c r="S1" s="289"/>
      <c r="T1" s="290"/>
      <c r="U1" s="291"/>
      <c r="V1" s="292"/>
    </row>
    <row r="2" spans="1:22" s="12" customFormat="1" ht="39" customHeight="1" thickBot="1">
      <c r="A2" s="198" t="s">
        <v>4</v>
      </c>
      <c r="B2" s="199"/>
      <c r="C2" s="199"/>
      <c r="D2" s="200"/>
      <c r="E2" s="10" t="s">
        <v>5</v>
      </c>
      <c r="F2" s="245" t="s">
        <v>6</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row>
    <row r="3" spans="1:20" s="341" customFormat="1" ht="13.5" thickBot="1">
      <c r="A3" s="103" t="s">
        <v>16</v>
      </c>
      <c r="B3" s="103"/>
      <c r="C3" s="103"/>
      <c r="D3" s="103"/>
      <c r="E3" s="13"/>
      <c r="F3" s="13"/>
      <c r="G3" s="13"/>
      <c r="H3" s="13"/>
      <c r="I3" s="13"/>
      <c r="J3" s="13"/>
      <c r="K3" s="13"/>
      <c r="L3" s="13"/>
      <c r="M3" s="13"/>
      <c r="N3" s="13"/>
      <c r="O3" s="13"/>
      <c r="P3" s="13"/>
      <c r="Q3" s="13"/>
      <c r="R3" s="348"/>
      <c r="T3" s="119"/>
    </row>
    <row r="4" spans="1:22" s="2" customFormat="1" ht="12.75">
      <c r="A4" s="127" t="s">
        <v>172</v>
      </c>
      <c r="B4" s="128"/>
      <c r="C4" s="128"/>
      <c r="D4" s="115"/>
      <c r="E4"/>
      <c r="F4" s="201"/>
      <c r="G4" s="202"/>
      <c r="H4"/>
      <c r="I4" s="75"/>
      <c r="J4" s="18"/>
      <c r="K4" s="18"/>
      <c r="L4" s="18"/>
      <c r="M4" s="351"/>
      <c r="N4" s="18"/>
      <c r="O4" s="18"/>
      <c r="P4" s="18"/>
      <c r="Q4" s="18"/>
      <c r="R4" s="19"/>
      <c r="S4" s="332"/>
      <c r="T4" s="306" t="s">
        <v>265</v>
      </c>
      <c r="U4" s="307"/>
      <c r="V4" s="379"/>
    </row>
    <row r="5" spans="1:22" s="2" customFormat="1" ht="13.5" thickBot="1">
      <c r="A5" s="138"/>
      <c r="B5" s="139" t="s">
        <v>18</v>
      </c>
      <c r="C5" s="139"/>
      <c r="D5" s="140"/>
      <c r="E5" s="214" t="s">
        <v>19</v>
      </c>
      <c r="F5" s="384">
        <v>0.1</v>
      </c>
      <c r="G5" s="385">
        <v>0.4</v>
      </c>
      <c r="H5" s="214"/>
      <c r="I5" s="530">
        <f>G5</f>
        <v>0.4</v>
      </c>
      <c r="J5" s="78"/>
      <c r="K5" s="78"/>
      <c r="L5" s="386">
        <f>I5</f>
        <v>0.4</v>
      </c>
      <c r="M5" s="534"/>
      <c r="N5" s="78"/>
      <c r="O5" s="78"/>
      <c r="P5" s="78"/>
      <c r="Q5" s="78"/>
      <c r="R5" s="216"/>
      <c r="S5" s="334"/>
      <c r="T5" s="314" t="s">
        <v>265</v>
      </c>
      <c r="U5" s="329"/>
      <c r="V5" s="381"/>
    </row>
    <row r="6" spans="1:18" s="341" customFormat="1" ht="13.5" thickBot="1">
      <c r="A6" s="370" t="s">
        <v>86</v>
      </c>
      <c r="B6" s="370"/>
      <c r="C6" s="370"/>
      <c r="D6" s="370"/>
      <c r="E6" s="371"/>
      <c r="F6" s="371"/>
      <c r="G6" s="371"/>
      <c r="H6" s="371"/>
      <c r="I6" s="371"/>
      <c r="J6" s="371"/>
      <c r="K6" s="371"/>
      <c r="L6" s="371"/>
      <c r="M6" s="373"/>
      <c r="N6" s="371"/>
      <c r="O6" s="371"/>
      <c r="P6" s="371"/>
      <c r="Q6" s="371"/>
      <c r="R6" s="383"/>
    </row>
    <row r="7" spans="1:22" s="2" customFormat="1" ht="12.75">
      <c r="A7" s="127" t="s">
        <v>87</v>
      </c>
      <c r="B7" s="128"/>
      <c r="C7" s="128"/>
      <c r="D7" s="115"/>
      <c r="E7" s="15" t="s">
        <v>19</v>
      </c>
      <c r="F7" s="148">
        <v>1681.478</v>
      </c>
      <c r="G7" s="148">
        <v>1681.478</v>
      </c>
      <c r="H7" s="17"/>
      <c r="I7" s="523">
        <f>G7</f>
        <v>1681.478</v>
      </c>
      <c r="J7" s="18"/>
      <c r="K7" s="18"/>
      <c r="L7" s="18"/>
      <c r="M7" s="351"/>
      <c r="N7" s="18"/>
      <c r="O7" s="18"/>
      <c r="P7" s="18"/>
      <c r="Q7" s="18"/>
      <c r="R7" s="19"/>
      <c r="S7" s="332"/>
      <c r="T7" s="306" t="s">
        <v>266</v>
      </c>
      <c r="U7" s="307"/>
      <c r="V7" s="308"/>
    </row>
    <row r="8" spans="1:22" s="157" customFormat="1" ht="12.75">
      <c r="A8" s="116"/>
      <c r="B8" s="106"/>
      <c r="C8" s="106" t="s">
        <v>88</v>
      </c>
      <c r="D8" s="104"/>
      <c r="E8" s="20" t="s">
        <v>89</v>
      </c>
      <c r="F8" s="167">
        <v>1.9952844884846646</v>
      </c>
      <c r="G8" s="149">
        <v>8</v>
      </c>
      <c r="H8" s="22"/>
      <c r="I8" s="524">
        <f>(10^(I9/10))/1000</f>
        <v>10.071403294353345</v>
      </c>
      <c r="J8" s="23"/>
      <c r="K8" s="23"/>
      <c r="L8" s="23"/>
      <c r="M8" s="352"/>
      <c r="N8" s="23"/>
      <c r="O8" s="23"/>
      <c r="P8" s="23"/>
      <c r="Q8" s="23"/>
      <c r="R8" s="24"/>
      <c r="S8" s="319"/>
      <c r="T8" s="313" t="s">
        <v>270</v>
      </c>
      <c r="U8" s="310"/>
      <c r="V8" s="311"/>
    </row>
    <row r="9" spans="1:22" s="157" customFormat="1" ht="12.75">
      <c r="A9" s="116"/>
      <c r="B9" s="106" t="s">
        <v>88</v>
      </c>
      <c r="C9" s="106"/>
      <c r="D9" s="104"/>
      <c r="E9" s="20" t="s">
        <v>61</v>
      </c>
      <c r="F9" s="168">
        <f>10*LOG(F8)+30</f>
        <v>33.00004826323822</v>
      </c>
      <c r="G9" s="168">
        <f>10*LOG(G8)+30</f>
        <v>39.03089986991944</v>
      </c>
      <c r="H9" s="538" t="str">
        <f>IF(J9=-K9,CONCATENATE("±",TEXT(ABS(J9),"0.0##")),CONCATENATE(TEXT(J9,"+0.0##;-0.0##"),"/",TEXT(K9,"+0.0##;-0.0##")))</f>
        <v>±1.0</v>
      </c>
      <c r="I9" s="525">
        <f>G9+J9</f>
        <v>40.03089986991944</v>
      </c>
      <c r="J9" s="26">
        <v>1</v>
      </c>
      <c r="K9" s="26">
        <f>-J9</f>
        <v>-1</v>
      </c>
      <c r="L9" s="40">
        <f>I9+((J9+K9)/3)</f>
        <v>40.03089986991944</v>
      </c>
      <c r="M9" s="53">
        <f>(J9^2+K9^2-(K9*J9))/18</f>
        <v>0.16666666666666666</v>
      </c>
      <c r="N9" s="41"/>
      <c r="O9" s="41"/>
      <c r="P9" s="41"/>
      <c r="Q9" s="20" t="s">
        <v>36</v>
      </c>
      <c r="R9" s="24"/>
      <c r="S9" s="319"/>
      <c r="T9" s="313" t="s">
        <v>270</v>
      </c>
      <c r="U9" s="312" t="s">
        <v>290</v>
      </c>
      <c r="V9" s="313" t="s">
        <v>324</v>
      </c>
    </row>
    <row r="10" spans="1:22" s="2" customFormat="1" ht="12.75">
      <c r="A10" s="116"/>
      <c r="B10" s="106" t="s">
        <v>113</v>
      </c>
      <c r="C10" s="106"/>
      <c r="D10" s="104"/>
      <c r="E10" s="20" t="s">
        <v>27</v>
      </c>
      <c r="F10" s="149" t="s">
        <v>31</v>
      </c>
      <c r="G10" s="149">
        <v>0</v>
      </c>
      <c r="H10" s="25" t="s">
        <v>68</v>
      </c>
      <c r="I10" s="525">
        <f>G10*0.9</f>
        <v>0</v>
      </c>
      <c r="J10" s="26">
        <f>G10*0.1</f>
        <v>0</v>
      </c>
      <c r="K10" s="26">
        <f>-G10*0.1</f>
        <v>0</v>
      </c>
      <c r="L10" s="40">
        <f>I10+((J10+K10)/2)</f>
        <v>0</v>
      </c>
      <c r="M10" s="53">
        <f>((J10-K10)^2)/36</f>
        <v>0</v>
      </c>
      <c r="N10" s="41"/>
      <c r="O10" s="41"/>
      <c r="P10" s="41"/>
      <c r="Q10" s="20" t="s">
        <v>32</v>
      </c>
      <c r="R10" s="24"/>
      <c r="S10" s="319"/>
      <c r="T10" s="313" t="s">
        <v>279</v>
      </c>
      <c r="U10" s="312" t="s">
        <v>292</v>
      </c>
      <c r="V10" s="313" t="s">
        <v>324</v>
      </c>
    </row>
    <row r="11" spans="1:22" s="2" customFormat="1" ht="12.75">
      <c r="A11" s="116"/>
      <c r="B11" s="106" t="s">
        <v>92</v>
      </c>
      <c r="C11" s="106"/>
      <c r="D11" s="104"/>
      <c r="E11" s="20" t="s">
        <v>27</v>
      </c>
      <c r="F11" s="149" t="s">
        <v>65</v>
      </c>
      <c r="G11" s="149">
        <v>2.4</v>
      </c>
      <c r="H11" s="538" t="str">
        <f>IF(J11=-K11,CONCATENATE("±",TEXT(ABS(J11),"0.0##")),CONCATENATE(TEXT(J11,"+0.0##;-0.0##"),"/",TEXT(K11,"+0.0##;-0.0##")))</f>
        <v>±0.5</v>
      </c>
      <c r="I11" s="52">
        <f>G11+J11</f>
        <v>1.9</v>
      </c>
      <c r="J11" s="26">
        <v>-0.5</v>
      </c>
      <c r="K11" s="26">
        <v>0.5</v>
      </c>
      <c r="L11" s="40">
        <f>I11+((J11+K11)/2)</f>
        <v>1.9</v>
      </c>
      <c r="M11" s="53">
        <f>((J11-K11)^2)/12</f>
        <v>0.08333333333333333</v>
      </c>
      <c r="N11" s="41"/>
      <c r="O11" s="41"/>
      <c r="P11" s="41"/>
      <c r="Q11" s="20" t="s">
        <v>39</v>
      </c>
      <c r="R11" s="24"/>
      <c r="S11" s="319"/>
      <c r="T11" s="313" t="s">
        <v>271</v>
      </c>
      <c r="U11" s="312" t="s">
        <v>291</v>
      </c>
      <c r="V11" s="313" t="s">
        <v>324</v>
      </c>
    </row>
    <row r="12" spans="1:22" s="2" customFormat="1" ht="12.75">
      <c r="A12" s="116"/>
      <c r="B12" s="106" t="s">
        <v>94</v>
      </c>
      <c r="C12" s="106"/>
      <c r="D12" s="104"/>
      <c r="E12" s="20" t="s">
        <v>27</v>
      </c>
      <c r="F12" s="149">
        <v>2.9</v>
      </c>
      <c r="G12" s="539">
        <v>1.44</v>
      </c>
      <c r="H12" s="538" t="str">
        <f>IF(J12=-K12,CONCATENATE("±",TEXT(ABS(J12),"0.0##")),CONCATENATE(TEXT(J12,"+0.0##;-0.0##"),"/",TEXT(K12,"+0.0##;-0.0##")))</f>
        <v>±0.2</v>
      </c>
      <c r="I12" s="52">
        <f>G12+J12</f>
        <v>1.24</v>
      </c>
      <c r="J12" s="26">
        <v>-0.2</v>
      </c>
      <c r="K12" s="26">
        <v>0.2</v>
      </c>
      <c r="L12" s="40">
        <f>I12+((J12+K12)/2)</f>
        <v>1.24</v>
      </c>
      <c r="M12" s="53">
        <f>((J12-K12)^2)/12</f>
        <v>0.013333333333333336</v>
      </c>
      <c r="N12" s="41"/>
      <c r="O12" s="41"/>
      <c r="P12" s="41"/>
      <c r="Q12" s="20" t="s">
        <v>39</v>
      </c>
      <c r="R12" s="24" t="s">
        <v>95</v>
      </c>
      <c r="S12" s="319"/>
      <c r="T12" s="313" t="s">
        <v>279</v>
      </c>
      <c r="U12" s="312" t="s">
        <v>291</v>
      </c>
      <c r="V12" s="313" t="s">
        <v>324</v>
      </c>
    </row>
    <row r="13" spans="1:22" s="2" customFormat="1" ht="12.75">
      <c r="A13" s="116"/>
      <c r="B13" s="106"/>
      <c r="C13" s="106" t="s">
        <v>96</v>
      </c>
      <c r="D13" s="104"/>
      <c r="E13" s="20" t="s">
        <v>61</v>
      </c>
      <c r="F13" s="159" t="s">
        <v>65</v>
      </c>
      <c r="G13" s="84">
        <f>G9-G10-G11-G12</f>
        <v>35.19089986991944</v>
      </c>
      <c r="H13" s="675"/>
      <c r="I13" s="525">
        <f>I9-I10-I11-I12</f>
        <v>36.89089986991944</v>
      </c>
      <c r="J13" s="99">
        <f>3*SQRT(M13)</f>
        <v>1.5394804318340651</v>
      </c>
      <c r="K13" s="99">
        <f>-3*SQRT(M13)</f>
        <v>-1.5394804318340651</v>
      </c>
      <c r="L13" s="99">
        <f>L9-L11-L12</f>
        <v>36.89089986991944</v>
      </c>
      <c r="M13" s="591">
        <f>M9+M10+M11+M12</f>
        <v>0.2633333333333333</v>
      </c>
      <c r="N13" s="99"/>
      <c r="O13" s="99"/>
      <c r="P13" s="99"/>
      <c r="Q13" s="26" t="s">
        <v>32</v>
      </c>
      <c r="R13" s="24" t="s">
        <v>97</v>
      </c>
      <c r="S13" s="297" t="s">
        <v>367</v>
      </c>
      <c r="T13" s="311"/>
      <c r="U13" s="298" t="s">
        <v>377</v>
      </c>
      <c r="V13" s="425" t="s">
        <v>302</v>
      </c>
    </row>
    <row r="14" spans="1:22" s="2" customFormat="1" ht="12.75">
      <c r="A14" s="116"/>
      <c r="B14" s="106" t="s">
        <v>58</v>
      </c>
      <c r="C14" s="106"/>
      <c r="D14" s="104"/>
      <c r="E14" s="20" t="s">
        <v>27</v>
      </c>
      <c r="F14" s="149" t="s">
        <v>65</v>
      </c>
      <c r="G14" s="539">
        <v>0.34</v>
      </c>
      <c r="H14" s="538" t="str">
        <f>IF(J14=-K14,CONCATENATE("±",TEXT(ABS(J14),"0.0##")),CONCATENATE(TEXT(J14,"+0.0##;-0.0##"),"/",TEXT(K14,"+0.0##;-0.0##")))</f>
        <v>±0.07</v>
      </c>
      <c r="I14" s="52">
        <f>G14+J14</f>
        <v>0.27</v>
      </c>
      <c r="J14" s="26">
        <v>-0.07</v>
      </c>
      <c r="K14" s="26">
        <v>0.07</v>
      </c>
      <c r="L14" s="40">
        <f>I14+((J14+K14)/2)</f>
        <v>0.27</v>
      </c>
      <c r="M14" s="53">
        <f>((J14-K14)^2)/12</f>
        <v>0.0016333333333333336</v>
      </c>
      <c r="N14" s="41"/>
      <c r="O14" s="41"/>
      <c r="P14" s="41"/>
      <c r="Q14" s="20" t="s">
        <v>39</v>
      </c>
      <c r="R14" s="24" t="s">
        <v>98</v>
      </c>
      <c r="S14" s="319"/>
      <c r="T14" s="313" t="s">
        <v>279</v>
      </c>
      <c r="U14" s="312" t="s">
        <v>291</v>
      </c>
      <c r="V14" s="313" t="s">
        <v>324</v>
      </c>
    </row>
    <row r="15" spans="1:22" s="2" customFormat="1" ht="12.75">
      <c r="A15" s="116"/>
      <c r="B15" s="106" t="s">
        <v>55</v>
      </c>
      <c r="C15" s="106"/>
      <c r="D15" s="104"/>
      <c r="E15" s="20" t="s">
        <v>56</v>
      </c>
      <c r="F15" s="149">
        <v>16.5</v>
      </c>
      <c r="G15" s="539">
        <v>14.5</v>
      </c>
      <c r="H15" s="538" t="str">
        <f>IF(J15=-K15,CONCATENATE("±",TEXT(ABS(J15),"0.0##")),CONCATENATE(TEXT(J15,"+0.0##;-0.0##"),"/",TEXT(K15,"+0.0##;-0.0##")))</f>
        <v>±0.15</v>
      </c>
      <c r="I15" s="52">
        <f>G15+J15</f>
        <v>14.65</v>
      </c>
      <c r="J15" s="26">
        <v>0.15</v>
      </c>
      <c r="K15" s="26">
        <v>-0.15</v>
      </c>
      <c r="L15" s="40">
        <f>I15+((J15+K15)/3)</f>
        <v>14.65</v>
      </c>
      <c r="M15" s="53">
        <f>(J15^2+K15^2-(K15*J15))/18</f>
        <v>0.0037500000000000003</v>
      </c>
      <c r="N15" s="41"/>
      <c r="O15" s="41"/>
      <c r="P15" s="41"/>
      <c r="Q15" s="20" t="s">
        <v>36</v>
      </c>
      <c r="R15" s="24" t="s">
        <v>57</v>
      </c>
      <c r="S15" s="319"/>
      <c r="T15" s="313" t="s">
        <v>272</v>
      </c>
      <c r="U15" s="312" t="s">
        <v>290</v>
      </c>
      <c r="V15" s="313" t="s">
        <v>324</v>
      </c>
    </row>
    <row r="16" spans="1:22" s="2" customFormat="1" ht="12.75">
      <c r="A16" s="116"/>
      <c r="B16" s="106"/>
      <c r="C16" s="106" t="s">
        <v>22</v>
      </c>
      <c r="D16" s="104"/>
      <c r="E16" s="36" t="s">
        <v>23</v>
      </c>
      <c r="F16" s="164" t="s">
        <v>24</v>
      </c>
      <c r="G16" s="164" t="s">
        <v>24</v>
      </c>
      <c r="H16" s="22"/>
      <c r="I16" s="52" t="str">
        <f>G16</f>
        <v>linear</v>
      </c>
      <c r="J16" s="23"/>
      <c r="K16" s="23"/>
      <c r="L16" s="23"/>
      <c r="M16" s="352"/>
      <c r="N16" s="23"/>
      <c r="O16" s="23"/>
      <c r="P16" s="23"/>
      <c r="Q16" s="23"/>
      <c r="R16" s="24" t="s">
        <v>25</v>
      </c>
      <c r="S16" s="319"/>
      <c r="T16" s="309" t="s">
        <v>267</v>
      </c>
      <c r="U16" s="310"/>
      <c r="V16" s="311"/>
    </row>
    <row r="17" spans="1:22" s="2" customFormat="1" ht="12.75">
      <c r="A17" s="116"/>
      <c r="B17" s="106"/>
      <c r="C17" s="106" t="s">
        <v>26</v>
      </c>
      <c r="D17" s="104"/>
      <c r="E17" s="36" t="s">
        <v>27</v>
      </c>
      <c r="F17" s="155" t="s">
        <v>28</v>
      </c>
      <c r="G17" s="155" t="s">
        <v>28</v>
      </c>
      <c r="H17" s="22"/>
      <c r="I17" s="52" t="str">
        <f>G17</f>
        <v> --</v>
      </c>
      <c r="J17" s="23"/>
      <c r="K17" s="23"/>
      <c r="L17" s="23"/>
      <c r="M17" s="352"/>
      <c r="N17" s="23"/>
      <c r="O17" s="23"/>
      <c r="P17" s="23"/>
      <c r="Q17" s="23"/>
      <c r="R17" s="24" t="s">
        <v>29</v>
      </c>
      <c r="S17" s="319"/>
      <c r="T17" s="309" t="s">
        <v>267</v>
      </c>
      <c r="U17" s="310"/>
      <c r="V17" s="311"/>
    </row>
    <row r="18" spans="1:22" s="2" customFormat="1" ht="12.75">
      <c r="A18" s="116" t="s">
        <v>34</v>
      </c>
      <c r="B18" s="106"/>
      <c r="C18" s="106"/>
      <c r="D18" s="104"/>
      <c r="E18" s="20" t="s">
        <v>35</v>
      </c>
      <c r="F18" s="159">
        <v>44</v>
      </c>
      <c r="G18" s="159">
        <f>G9-G10-G11-G12-G14+G15</f>
        <v>49.35089986991944</v>
      </c>
      <c r="H18" s="22"/>
      <c r="I18" s="43">
        <f>I9-I10-I11-I12-I14+I15</f>
        <v>51.27089986991943</v>
      </c>
      <c r="J18" s="23"/>
      <c r="K18" s="23"/>
      <c r="L18" s="43">
        <f>L9-L10-L11-L12-L14+L15</f>
        <v>51.27089986991943</v>
      </c>
      <c r="M18" s="354">
        <f>M9+M10+M11+M12+M14+M15</f>
        <v>0.2687166666666666</v>
      </c>
      <c r="N18" s="84"/>
      <c r="O18" s="84"/>
      <c r="P18" s="84"/>
      <c r="Q18" s="20" t="s">
        <v>32</v>
      </c>
      <c r="R18" s="24"/>
      <c r="S18" s="297" t="s">
        <v>325</v>
      </c>
      <c r="T18" s="311"/>
      <c r="U18" s="298" t="s">
        <v>319</v>
      </c>
      <c r="V18" s="313" t="s">
        <v>302</v>
      </c>
    </row>
    <row r="19" spans="1:22" s="2" customFormat="1" ht="12.75">
      <c r="A19" s="116" t="s">
        <v>99</v>
      </c>
      <c r="B19" s="106"/>
      <c r="C19" s="106"/>
      <c r="D19" s="104"/>
      <c r="E19" s="20"/>
      <c r="F19" s="149">
        <v>1</v>
      </c>
      <c r="G19" s="149">
        <v>1</v>
      </c>
      <c r="H19" s="22"/>
      <c r="I19" s="52">
        <v>1</v>
      </c>
      <c r="J19" s="23"/>
      <c r="K19" s="23"/>
      <c r="L19" s="23"/>
      <c r="M19" s="352"/>
      <c r="N19" s="23"/>
      <c r="O19" s="23"/>
      <c r="P19" s="23"/>
      <c r="Q19" s="23"/>
      <c r="R19" s="24" t="s">
        <v>100</v>
      </c>
      <c r="S19" s="319"/>
      <c r="T19" s="309" t="s">
        <v>274</v>
      </c>
      <c r="U19" s="310"/>
      <c r="V19" s="311"/>
    </row>
    <row r="20" spans="1:22" s="2" customFormat="1" ht="13.5" thickBot="1">
      <c r="A20" s="138" t="s">
        <v>101</v>
      </c>
      <c r="B20" s="139"/>
      <c r="C20" s="139"/>
      <c r="D20" s="140"/>
      <c r="E20" s="31" t="s">
        <v>35</v>
      </c>
      <c r="F20" s="213">
        <f>F18-10*LOG(F19)</f>
        <v>44</v>
      </c>
      <c r="G20" s="246">
        <f>G18-10*LOG(G19)</f>
        <v>49.35089986991944</v>
      </c>
      <c r="H20" s="17"/>
      <c r="I20" s="32">
        <f>I18-10*LOG(I19)</f>
        <v>51.27089986991943</v>
      </c>
      <c r="J20" s="18"/>
      <c r="K20" s="18"/>
      <c r="L20" s="32">
        <f>L18-10*LOG(I19)</f>
        <v>51.27089986991943</v>
      </c>
      <c r="M20" s="355">
        <f>M18</f>
        <v>0.2687166666666666</v>
      </c>
      <c r="N20" s="44"/>
      <c r="O20" s="44"/>
      <c r="P20" s="44"/>
      <c r="Q20" s="20" t="s">
        <v>32</v>
      </c>
      <c r="R20" s="24"/>
      <c r="S20" s="322" t="s">
        <v>326</v>
      </c>
      <c r="T20" s="328"/>
      <c r="U20" s="299" t="s">
        <v>320</v>
      </c>
      <c r="V20" s="316" t="s">
        <v>302</v>
      </c>
    </row>
    <row r="21" spans="1:20" s="341" customFormat="1" ht="13.5" thickBot="1">
      <c r="A21" s="103" t="s">
        <v>103</v>
      </c>
      <c r="B21" s="103"/>
      <c r="C21" s="103"/>
      <c r="D21" s="103"/>
      <c r="E21" s="13"/>
      <c r="F21" s="145"/>
      <c r="G21" s="145"/>
      <c r="H21" s="13"/>
      <c r="I21" s="13"/>
      <c r="J21" s="13"/>
      <c r="K21" s="13"/>
      <c r="L21" s="13"/>
      <c r="M21" s="353"/>
      <c r="N21" s="13"/>
      <c r="O21" s="13"/>
      <c r="P21" s="13"/>
      <c r="Q21" s="13"/>
      <c r="R21" s="348"/>
      <c r="T21" s="119"/>
    </row>
    <row r="22" spans="1:22" s="2" customFormat="1" ht="12.75">
      <c r="A22" s="127"/>
      <c r="B22" s="128" t="s">
        <v>43</v>
      </c>
      <c r="C22" s="128"/>
      <c r="D22" s="115"/>
      <c r="E22" s="15" t="s">
        <v>44</v>
      </c>
      <c r="F22" s="158"/>
      <c r="G22" s="158">
        <v>41126.8</v>
      </c>
      <c r="H22" s="17"/>
      <c r="I22" s="523">
        <v>41126.8</v>
      </c>
      <c r="J22" s="27">
        <v>40037.8</v>
      </c>
      <c r="K22" s="27">
        <v>41392</v>
      </c>
      <c r="L22" s="18"/>
      <c r="M22" s="351"/>
      <c r="N22" s="18"/>
      <c r="O22" s="18"/>
      <c r="P22" s="18"/>
      <c r="Q22" s="18"/>
      <c r="R22" s="137" t="s">
        <v>304</v>
      </c>
      <c r="S22" s="332"/>
      <c r="T22" s="306" t="s">
        <v>276</v>
      </c>
      <c r="U22" s="307"/>
      <c r="V22" s="308"/>
    </row>
    <row r="23" spans="1:22" s="2" customFormat="1" ht="12.75">
      <c r="A23" s="116" t="s">
        <v>45</v>
      </c>
      <c r="B23" s="106"/>
      <c r="C23" s="106"/>
      <c r="D23" s="104"/>
      <c r="E23" s="20" t="s">
        <v>27</v>
      </c>
      <c r="F23" s="159">
        <v>189.4</v>
      </c>
      <c r="G23" s="159">
        <f>(20*LOG(G7*1000000)+20*LOG(4*PI()*G22*1000)-20*LOG(300000000))</f>
        <v>189.23809435951</v>
      </c>
      <c r="H23" s="30"/>
      <c r="I23" s="160">
        <f>(20*LOG($I$7*1000000)+20*LOG(4*PI()*I22*1000)-20*LOG(300000000))</f>
        <v>189.23809435951</v>
      </c>
      <c r="J23" s="44">
        <f>(20*LOG($I$7*1000000)+20*LOG(4*PI()*J22*1000)-20*LOG(300000000))-I23</f>
        <v>-0.23309426716764392</v>
      </c>
      <c r="K23" s="44">
        <f>(20*LOG($I$7*1000000)+20*LOG(4*PI()*K22*1000)-20*LOG(300000000))-I23</f>
        <v>0.0558298439311784</v>
      </c>
      <c r="L23" s="40">
        <f>I23+((J23+K23)/3)</f>
        <v>189.17900621843117</v>
      </c>
      <c r="M23" s="53">
        <f>(J23^2+K23^2-(K23*J23))/18</f>
        <v>0.003914640300945704</v>
      </c>
      <c r="N23" s="41"/>
      <c r="O23" s="41"/>
      <c r="P23" s="41"/>
      <c r="Q23" s="20" t="s">
        <v>36</v>
      </c>
      <c r="R23" s="24" t="s">
        <v>46</v>
      </c>
      <c r="S23" s="296" t="s">
        <v>257</v>
      </c>
      <c r="T23" s="311"/>
      <c r="U23" s="312" t="s">
        <v>290</v>
      </c>
      <c r="V23" s="313" t="s">
        <v>324</v>
      </c>
    </row>
    <row r="24" spans="1:22" s="2" customFormat="1" ht="13.5" thickBot="1">
      <c r="A24" s="138" t="s">
        <v>47</v>
      </c>
      <c r="B24" s="139"/>
      <c r="C24" s="139"/>
      <c r="D24" s="140"/>
      <c r="E24" s="20" t="s">
        <v>27</v>
      </c>
      <c r="F24" s="149">
        <v>0</v>
      </c>
      <c r="G24" s="149">
        <v>0.35</v>
      </c>
      <c r="H24" s="22" t="s">
        <v>104</v>
      </c>
      <c r="I24" s="52">
        <v>0.35</v>
      </c>
      <c r="J24" s="26">
        <f>-(0.35-0.13)</f>
        <v>-0.21999999999999997</v>
      </c>
      <c r="K24" s="26">
        <f>1.67-0.35</f>
        <v>1.3199999999999998</v>
      </c>
      <c r="L24" s="20">
        <f>I24+((J24+K24)/2)</f>
        <v>0.8999999999999999</v>
      </c>
      <c r="M24" s="53">
        <f>((J24-K24)^2)/36</f>
        <v>0.06587777777777776</v>
      </c>
      <c r="N24" s="20"/>
      <c r="O24" s="20"/>
      <c r="P24" s="20"/>
      <c r="Q24" s="20" t="s">
        <v>32</v>
      </c>
      <c r="R24" s="24" t="s">
        <v>48</v>
      </c>
      <c r="S24" s="334"/>
      <c r="T24" s="316" t="s">
        <v>301</v>
      </c>
      <c r="U24" s="315" t="s">
        <v>292</v>
      </c>
      <c r="V24" s="316" t="s">
        <v>324</v>
      </c>
    </row>
    <row r="25" spans="1:20" s="341" customFormat="1" ht="13.5" thickBot="1">
      <c r="A25" s="103" t="s">
        <v>105</v>
      </c>
      <c r="B25" s="103"/>
      <c r="C25" s="103"/>
      <c r="D25" s="103"/>
      <c r="E25" s="13"/>
      <c r="F25" s="145"/>
      <c r="G25" s="145"/>
      <c r="H25" s="13"/>
      <c r="I25" s="13"/>
      <c r="J25" s="13"/>
      <c r="K25" s="13"/>
      <c r="L25" s="13"/>
      <c r="M25" s="353"/>
      <c r="N25" s="13"/>
      <c r="O25" s="13"/>
      <c r="P25" s="13"/>
      <c r="Q25" s="13"/>
      <c r="R25" s="348"/>
      <c r="T25" s="119"/>
    </row>
    <row r="26" spans="1:22" s="2" customFormat="1" ht="12.75">
      <c r="A26" s="127" t="s">
        <v>106</v>
      </c>
      <c r="B26" s="128"/>
      <c r="C26" s="128"/>
      <c r="D26" s="115"/>
      <c r="E26" s="129" t="s">
        <v>35</v>
      </c>
      <c r="F26" s="387">
        <f>F20-F23-F24</f>
        <v>-145.4</v>
      </c>
      <c r="G26" s="387">
        <f>G20-G23-G24</f>
        <v>-140.23719448959056</v>
      </c>
      <c r="H26" s="391"/>
      <c r="I26" s="395">
        <f>I20-I23-I24</f>
        <v>-138.31719448959055</v>
      </c>
      <c r="J26" s="134"/>
      <c r="K26" s="134"/>
      <c r="L26" s="388">
        <f>L20-L23-L24</f>
        <v>-138.80810634851176</v>
      </c>
      <c r="M26" s="389">
        <f>M20+M23+M24</f>
        <v>0.33850908474539004</v>
      </c>
      <c r="N26" s="388"/>
      <c r="O26" s="388"/>
      <c r="P26" s="388"/>
      <c r="Q26" s="396"/>
      <c r="R26" s="393"/>
      <c r="S26" s="323" t="s">
        <v>258</v>
      </c>
      <c r="T26" s="308"/>
      <c r="U26" s="323" t="s">
        <v>305</v>
      </c>
      <c r="V26" s="324" t="s">
        <v>302</v>
      </c>
    </row>
    <row r="27" spans="1:22" s="2" customFormat="1" ht="12.75">
      <c r="A27" s="116" t="s">
        <v>107</v>
      </c>
      <c r="B27" s="106"/>
      <c r="C27" s="106"/>
      <c r="D27" s="104"/>
      <c r="E27" s="20" t="s">
        <v>108</v>
      </c>
      <c r="F27" s="155">
        <v>-154</v>
      </c>
      <c r="G27" s="155">
        <v>-154</v>
      </c>
      <c r="H27" s="392"/>
      <c r="I27" s="37"/>
      <c r="J27" s="38"/>
      <c r="K27" s="38"/>
      <c r="L27" s="38"/>
      <c r="M27" s="352"/>
      <c r="N27" s="38"/>
      <c r="O27" s="38"/>
      <c r="P27" s="38"/>
      <c r="Q27" s="397"/>
      <c r="R27" s="382" t="s">
        <v>281</v>
      </c>
      <c r="S27" s="319"/>
      <c r="T27" s="309" t="s">
        <v>280</v>
      </c>
      <c r="U27" s="318"/>
      <c r="V27" s="311"/>
    </row>
    <row r="28" spans="1:22" s="2" customFormat="1" ht="12.75">
      <c r="A28" s="116" t="s">
        <v>109</v>
      </c>
      <c r="B28" s="106"/>
      <c r="C28" s="106"/>
      <c r="D28" s="104"/>
      <c r="E28" s="20" t="s">
        <v>108</v>
      </c>
      <c r="F28" s="390">
        <v>-174</v>
      </c>
      <c r="G28" s="390">
        <f>(G20-30)-10*LOG(G5*1000000)+10*LOG(4000)-G24-(10*LOG(4*PI()*(G22*1000)^2))</f>
        <v>-164.27369715381968</v>
      </c>
      <c r="H28" s="392"/>
      <c r="I28" s="37"/>
      <c r="J28" s="38"/>
      <c r="K28" s="38"/>
      <c r="L28" s="38"/>
      <c r="M28" s="352"/>
      <c r="N28" s="38"/>
      <c r="O28" s="38"/>
      <c r="P28" s="38"/>
      <c r="Q28" s="397"/>
      <c r="R28" s="382" t="s">
        <v>282</v>
      </c>
      <c r="S28" s="319"/>
      <c r="T28" s="311"/>
      <c r="U28" s="318"/>
      <c r="V28" s="311"/>
    </row>
    <row r="29" spans="1:22" s="2" customFormat="1" ht="12.75">
      <c r="A29" s="116"/>
      <c r="B29" s="106" t="s">
        <v>110</v>
      </c>
      <c r="C29" s="106"/>
      <c r="D29" s="104"/>
      <c r="E29" s="20" t="s">
        <v>77</v>
      </c>
      <c r="F29" s="155">
        <v>15.2</v>
      </c>
      <c r="G29" s="155">
        <v>15.2</v>
      </c>
      <c r="H29" s="538" t="str">
        <f>IF(J29=-K29,CONCATENATE("±",TEXT(ABS(J29),"0.0##")),CONCATENATE(TEXT(J29,"+0.0##;-0.0##"),"/",TEXT(K29,"+0.0##;-0.0##")))</f>
        <v>±0.5</v>
      </c>
      <c r="I29" s="52">
        <v>15.2</v>
      </c>
      <c r="J29" s="26">
        <v>0.5</v>
      </c>
      <c r="K29" s="26">
        <v>-0.5</v>
      </c>
      <c r="L29" s="20">
        <f>I29+((J29+K29)/2)</f>
        <v>15.2</v>
      </c>
      <c r="M29" s="53">
        <f>((J29-K29)^2)/36</f>
        <v>0.027777777777777776</v>
      </c>
      <c r="N29" s="20"/>
      <c r="O29" s="20"/>
      <c r="P29" s="20"/>
      <c r="Q29" s="398" t="s">
        <v>32</v>
      </c>
      <c r="R29" s="382"/>
      <c r="S29" s="319"/>
      <c r="T29" s="309" t="s">
        <v>268</v>
      </c>
      <c r="U29" s="312" t="s">
        <v>292</v>
      </c>
      <c r="V29" s="313" t="s">
        <v>324</v>
      </c>
    </row>
    <row r="30" spans="1:22" s="2" customFormat="1" ht="12.75">
      <c r="A30" s="116"/>
      <c r="B30" s="106" t="s">
        <v>111</v>
      </c>
      <c r="C30" s="106"/>
      <c r="D30" s="104"/>
      <c r="E30" s="20" t="s">
        <v>27</v>
      </c>
      <c r="F30" s="155">
        <v>0.5</v>
      </c>
      <c r="G30" s="155">
        <v>0.5</v>
      </c>
      <c r="H30" s="538" t="str">
        <f>IF(J30=-K30,CONCATENATE("±",TEXT(ABS(J30),"0.0##")),CONCATENATE(TEXT(J30,"+0.0##;-0.0##"),"/",TEXT(K30,"+0.0##;-0.0##")))</f>
        <v>±0.5</v>
      </c>
      <c r="I30" s="52">
        <v>0.5</v>
      </c>
      <c r="J30" s="26">
        <v>-0.5</v>
      </c>
      <c r="K30" s="26">
        <v>0.5</v>
      </c>
      <c r="L30" s="20">
        <f>I30+((J30+K30)/2)</f>
        <v>0.5</v>
      </c>
      <c r="M30" s="53">
        <f>((J30-K30)^2)/12</f>
        <v>0.08333333333333333</v>
      </c>
      <c r="N30" s="20"/>
      <c r="O30" s="20"/>
      <c r="P30" s="20"/>
      <c r="Q30" s="398" t="s">
        <v>39</v>
      </c>
      <c r="R30" s="382"/>
      <c r="S30" s="319"/>
      <c r="T30" s="309" t="s">
        <v>268</v>
      </c>
      <c r="U30" s="312" t="s">
        <v>291</v>
      </c>
      <c r="V30" s="313" t="s">
        <v>324</v>
      </c>
    </row>
    <row r="31" spans="1:22" s="2" customFormat="1" ht="12.75">
      <c r="A31" s="116"/>
      <c r="B31" s="106"/>
      <c r="C31" s="106" t="s">
        <v>22</v>
      </c>
      <c r="D31" s="104"/>
      <c r="E31" s="20" t="s">
        <v>23</v>
      </c>
      <c r="F31" s="164" t="s">
        <v>24</v>
      </c>
      <c r="G31" s="164" t="s">
        <v>24</v>
      </c>
      <c r="H31" s="36"/>
      <c r="I31" s="52" t="str">
        <f>G31</f>
        <v>linear</v>
      </c>
      <c r="J31" s="23"/>
      <c r="K31" s="23"/>
      <c r="L31" s="23"/>
      <c r="M31" s="352"/>
      <c r="N31" s="23"/>
      <c r="O31" s="23"/>
      <c r="P31" s="23"/>
      <c r="Q31" s="399"/>
      <c r="R31" s="382" t="s">
        <v>25</v>
      </c>
      <c r="S31" s="319"/>
      <c r="T31" s="309" t="s">
        <v>267</v>
      </c>
      <c r="U31" s="310"/>
      <c r="V31" s="311"/>
    </row>
    <row r="32" spans="1:22" s="2" customFormat="1" ht="12.75">
      <c r="A32" s="116"/>
      <c r="B32" s="106"/>
      <c r="C32" s="106" t="s">
        <v>26</v>
      </c>
      <c r="D32" s="104"/>
      <c r="E32" s="20" t="s">
        <v>27</v>
      </c>
      <c r="F32" s="155" t="s">
        <v>28</v>
      </c>
      <c r="G32" s="155" t="s">
        <v>28</v>
      </c>
      <c r="H32" s="36"/>
      <c r="I32" s="52" t="str">
        <f>G32</f>
        <v> --</v>
      </c>
      <c r="J32" s="23"/>
      <c r="K32" s="23"/>
      <c r="L32" s="23"/>
      <c r="M32" s="352"/>
      <c r="N32" s="23"/>
      <c r="O32" s="23"/>
      <c r="P32" s="23"/>
      <c r="Q32" s="399"/>
      <c r="R32" s="382" t="s">
        <v>29</v>
      </c>
      <c r="S32" s="319"/>
      <c r="T32" s="309" t="s">
        <v>267</v>
      </c>
      <c r="U32" s="310"/>
      <c r="V32" s="311"/>
    </row>
    <row r="33" spans="1:22" s="2" customFormat="1" ht="12" customHeight="1">
      <c r="A33" s="116"/>
      <c r="B33" s="106" t="s">
        <v>50</v>
      </c>
      <c r="C33" s="106"/>
      <c r="D33" s="104"/>
      <c r="E33" s="20" t="s">
        <v>27</v>
      </c>
      <c r="F33" s="155">
        <v>0.2</v>
      </c>
      <c r="G33" s="155">
        <v>0.2</v>
      </c>
      <c r="H33" s="538" t="str">
        <f>IF(J33=-K33,CONCATENATE("±",TEXT(ABS(J33),"0.0##")),CONCATENATE(TEXT(J33,"+0.0##;-0.0##"),"/",TEXT(K33,"+0.0##;-0.0##")))</f>
        <v>±0.2</v>
      </c>
      <c r="I33" s="52">
        <v>0.2</v>
      </c>
      <c r="J33" s="26">
        <v>-0.2</v>
      </c>
      <c r="K33" s="26">
        <v>0.2</v>
      </c>
      <c r="L33" s="20">
        <f>I33+((J33+K33)/2)</f>
        <v>0.2</v>
      </c>
      <c r="M33" s="53">
        <f>((J33-K33)^2)/12</f>
        <v>0.013333333333333336</v>
      </c>
      <c r="N33" s="20"/>
      <c r="O33" s="20"/>
      <c r="P33" s="20"/>
      <c r="Q33" s="398" t="s">
        <v>39</v>
      </c>
      <c r="R33" s="382" t="s">
        <v>51</v>
      </c>
      <c r="S33" s="319"/>
      <c r="T33" s="311"/>
      <c r="U33" s="312" t="s">
        <v>291</v>
      </c>
      <c r="V33" s="313" t="s">
        <v>324</v>
      </c>
    </row>
    <row r="34" spans="1:22" s="2" customFormat="1" ht="12.75">
      <c r="A34" s="116"/>
      <c r="B34" s="106" t="s">
        <v>78</v>
      </c>
      <c r="C34" s="106"/>
      <c r="D34" s="104"/>
      <c r="E34" s="20" t="s">
        <v>79</v>
      </c>
      <c r="F34" s="164">
        <v>-198.6</v>
      </c>
      <c r="G34" s="164">
        <v>-198.6</v>
      </c>
      <c r="H34" s="36"/>
      <c r="I34" s="52">
        <v>-198.6</v>
      </c>
      <c r="J34" s="26">
        <v>0</v>
      </c>
      <c r="K34" s="26">
        <v>0</v>
      </c>
      <c r="L34" s="20">
        <f>I34</f>
        <v>-198.6</v>
      </c>
      <c r="M34" s="53">
        <v>0</v>
      </c>
      <c r="N34" s="20"/>
      <c r="O34" s="20"/>
      <c r="P34" s="20"/>
      <c r="Q34" s="398" t="s">
        <v>80</v>
      </c>
      <c r="R34" s="382" t="s">
        <v>81</v>
      </c>
      <c r="S34" s="319"/>
      <c r="T34" s="311"/>
      <c r="U34" s="330" t="s">
        <v>303</v>
      </c>
      <c r="V34" s="313" t="s">
        <v>302</v>
      </c>
    </row>
    <row r="35" spans="1:22" s="2" customFormat="1" ht="12.75">
      <c r="A35" s="116" t="s">
        <v>112</v>
      </c>
      <c r="B35" s="106"/>
      <c r="C35" s="106"/>
      <c r="D35" s="104"/>
      <c r="E35" s="20" t="s">
        <v>83</v>
      </c>
      <c r="F35" s="44">
        <f>F26+F29-F30-F33-F34</f>
        <v>67.69999999999999</v>
      </c>
      <c r="G35" s="44">
        <f>G26+G29-G30-G33-G34</f>
        <v>72.86280551040943</v>
      </c>
      <c r="H35" s="36"/>
      <c r="I35" s="43">
        <f>I26+I29-I30-I33-I34</f>
        <v>74.78280551040945</v>
      </c>
      <c r="J35" s="23"/>
      <c r="K35" s="23"/>
      <c r="L35" s="44">
        <f>L26+L29-L30-L33-L34</f>
        <v>74.29189365148824</v>
      </c>
      <c r="M35" s="355">
        <f>M26+M29+M30+M33+M34</f>
        <v>0.46295352918983446</v>
      </c>
      <c r="N35" s="44"/>
      <c r="O35" s="44"/>
      <c r="P35" s="44"/>
      <c r="Q35" s="399"/>
      <c r="R35" s="382"/>
      <c r="S35" s="297" t="s">
        <v>259</v>
      </c>
      <c r="T35" s="311"/>
      <c r="U35" s="378" t="s">
        <v>321</v>
      </c>
      <c r="V35" s="313" t="s">
        <v>302</v>
      </c>
    </row>
    <row r="36" spans="1:22" s="2" customFormat="1" ht="12.75">
      <c r="A36" s="116" t="s">
        <v>154</v>
      </c>
      <c r="B36" s="106"/>
      <c r="C36" s="106"/>
      <c r="D36" s="104"/>
      <c r="E36" s="20" t="s">
        <v>27</v>
      </c>
      <c r="F36" s="155">
        <v>0</v>
      </c>
      <c r="G36" s="155">
        <v>0</v>
      </c>
      <c r="H36" s="36"/>
      <c r="I36" s="52">
        <v>0</v>
      </c>
      <c r="J36" s="26">
        <v>0</v>
      </c>
      <c r="K36" s="26">
        <v>0</v>
      </c>
      <c r="L36" s="20">
        <f>I36+((J36+K36)/2)</f>
        <v>0</v>
      </c>
      <c r="M36" s="53">
        <f>((J36-K36)^2)/12</f>
        <v>0</v>
      </c>
      <c r="N36" s="20"/>
      <c r="O36" s="20"/>
      <c r="P36" s="20"/>
      <c r="Q36" s="398" t="s">
        <v>39</v>
      </c>
      <c r="R36" s="382" t="s">
        <v>116</v>
      </c>
      <c r="S36" s="319"/>
      <c r="T36" s="311"/>
      <c r="U36" s="312" t="s">
        <v>291</v>
      </c>
      <c r="V36" s="313" t="s">
        <v>324</v>
      </c>
    </row>
    <row r="37" spans="1:22" s="2" customFormat="1" ht="13.5" thickBot="1">
      <c r="A37" s="138" t="s">
        <v>117</v>
      </c>
      <c r="B37" s="139"/>
      <c r="C37" s="139"/>
      <c r="D37" s="140"/>
      <c r="E37" s="215" t="s">
        <v>83</v>
      </c>
      <c r="F37" s="205">
        <f>F35-F36</f>
        <v>67.69999999999999</v>
      </c>
      <c r="G37" s="205">
        <f>G35-G36</f>
        <v>72.86280551040943</v>
      </c>
      <c r="H37" s="212"/>
      <c r="I37" s="56">
        <f>I35-I36</f>
        <v>74.78280551040945</v>
      </c>
      <c r="J37" s="78"/>
      <c r="K37" s="78"/>
      <c r="L37" s="213">
        <f>L35+L36</f>
        <v>74.29189365148824</v>
      </c>
      <c r="M37" s="357">
        <f>M35+M36</f>
        <v>0.46295352918983446</v>
      </c>
      <c r="N37" s="213"/>
      <c r="O37" s="213"/>
      <c r="P37" s="213"/>
      <c r="Q37" s="142" t="s">
        <v>32</v>
      </c>
      <c r="R37" s="394"/>
      <c r="S37" s="325" t="s">
        <v>260</v>
      </c>
      <c r="T37" s="328"/>
      <c r="U37" s="299" t="s">
        <v>322</v>
      </c>
      <c r="V37" s="316" t="s">
        <v>302</v>
      </c>
    </row>
    <row r="38" spans="1:31" s="2" customFormat="1" ht="13.5" thickBot="1">
      <c r="A38" s="370" t="s">
        <v>173</v>
      </c>
      <c r="B38" s="370"/>
      <c r="C38" s="370"/>
      <c r="D38" s="370"/>
      <c r="E38" s="371"/>
      <c r="F38" s="372"/>
      <c r="G38" s="372"/>
      <c r="H38" s="371"/>
      <c r="I38" s="371"/>
      <c r="J38" s="371"/>
      <c r="K38" s="371"/>
      <c r="L38" s="371"/>
      <c r="M38" s="373"/>
      <c r="N38" s="371"/>
      <c r="O38" s="371"/>
      <c r="P38" s="371"/>
      <c r="Q38" s="371"/>
      <c r="R38" s="371"/>
      <c r="S38" s="362"/>
      <c r="T38" s="362"/>
      <c r="U38" s="362"/>
      <c r="V38" s="362"/>
      <c r="W38"/>
      <c r="X38"/>
      <c r="Y38"/>
      <c r="Z38"/>
      <c r="AA38"/>
      <c r="AB38"/>
      <c r="AC38"/>
      <c r="AD38"/>
      <c r="AE38"/>
    </row>
    <row r="39" spans="1:22" s="2" customFormat="1" ht="12.75">
      <c r="A39" s="127" t="s">
        <v>119</v>
      </c>
      <c r="B39" s="128"/>
      <c r="C39" s="128"/>
      <c r="D39" s="115"/>
      <c r="E39" s="129" t="s">
        <v>83</v>
      </c>
      <c r="F39" s="172">
        <f>F37</f>
        <v>67.69999999999999</v>
      </c>
      <c r="G39" s="173">
        <f>G37</f>
        <v>72.86280551040943</v>
      </c>
      <c r="H39" s="132"/>
      <c r="I39" s="133">
        <f>I37</f>
        <v>74.78280551040945</v>
      </c>
      <c r="J39" s="134"/>
      <c r="K39" s="134"/>
      <c r="L39" s="133">
        <f>L37</f>
        <v>74.29189365148824</v>
      </c>
      <c r="M39" s="358">
        <f>M37</f>
        <v>0.46295352918983446</v>
      </c>
      <c r="N39" s="135"/>
      <c r="O39" s="135"/>
      <c r="P39" s="135"/>
      <c r="Q39" s="129" t="s">
        <v>32</v>
      </c>
      <c r="R39" s="137" t="s">
        <v>329</v>
      </c>
      <c r="S39" s="326" t="s">
        <v>316</v>
      </c>
      <c r="T39" s="308"/>
      <c r="U39" s="376" t="s">
        <v>323</v>
      </c>
      <c r="V39" s="324" t="s">
        <v>302</v>
      </c>
    </row>
    <row r="40" spans="1:22" s="2" customFormat="1" ht="12.75">
      <c r="A40" s="116" t="s">
        <v>18</v>
      </c>
      <c r="B40" s="106"/>
      <c r="C40" s="106"/>
      <c r="D40" s="104"/>
      <c r="E40" s="36" t="s">
        <v>121</v>
      </c>
      <c r="F40" s="44">
        <f>10*LOG(F5)+60</f>
        <v>50</v>
      </c>
      <c r="G40" s="44">
        <f>10*LOG(G5)+60</f>
        <v>56.020599913279625</v>
      </c>
      <c r="H40" s="30"/>
      <c r="I40" s="43">
        <f>10*LOG(I5)+60</f>
        <v>56.020599913279625</v>
      </c>
      <c r="J40" s="23"/>
      <c r="K40" s="23"/>
      <c r="L40" s="208">
        <f>I40</f>
        <v>56.020599913279625</v>
      </c>
      <c r="M40" s="53">
        <v>0</v>
      </c>
      <c r="N40" s="20"/>
      <c r="O40" s="20"/>
      <c r="P40" s="20"/>
      <c r="Q40" s="20" t="s">
        <v>80</v>
      </c>
      <c r="R40" s="24"/>
      <c r="S40" s="297" t="s">
        <v>262</v>
      </c>
      <c r="T40" s="309" t="s">
        <v>265</v>
      </c>
      <c r="U40" s="330" t="s">
        <v>303</v>
      </c>
      <c r="V40" s="313" t="s">
        <v>302</v>
      </c>
    </row>
    <row r="41" spans="1:22" s="2" customFormat="1" ht="12.75">
      <c r="A41" s="116" t="s">
        <v>156</v>
      </c>
      <c r="B41" s="106"/>
      <c r="C41" s="106"/>
      <c r="D41" s="104"/>
      <c r="E41" s="36" t="s">
        <v>27</v>
      </c>
      <c r="F41" s="209">
        <v>0.8</v>
      </c>
      <c r="G41" s="209">
        <v>1</v>
      </c>
      <c r="H41" s="22"/>
      <c r="I41" s="210">
        <f>G41</f>
        <v>1</v>
      </c>
      <c r="J41" s="23"/>
      <c r="K41" s="23"/>
      <c r="L41" s="211">
        <f>I41</f>
        <v>1</v>
      </c>
      <c r="M41" s="53">
        <v>0</v>
      </c>
      <c r="N41" s="20"/>
      <c r="O41" s="20"/>
      <c r="P41" s="20"/>
      <c r="Q41" s="20" t="s">
        <v>80</v>
      </c>
      <c r="R41" s="24"/>
      <c r="S41" s="374" t="s">
        <v>327</v>
      </c>
      <c r="T41" s="24" t="s">
        <v>315</v>
      </c>
      <c r="U41" s="330" t="s">
        <v>303</v>
      </c>
      <c r="V41" s="313" t="s">
        <v>302</v>
      </c>
    </row>
    <row r="42" spans="1:22" s="2" customFormat="1" ht="13.5" thickBot="1">
      <c r="A42" s="138" t="s">
        <v>157</v>
      </c>
      <c r="B42" s="139"/>
      <c r="C42" s="139"/>
      <c r="D42" s="140"/>
      <c r="E42" s="212" t="s">
        <v>27</v>
      </c>
      <c r="F42" s="213">
        <f>F39+10*LOG(F41)-F40</f>
        <v>16.730899869919426</v>
      </c>
      <c r="G42" s="213">
        <f>G39+10*LOG(G41)-G40</f>
        <v>16.842205597129805</v>
      </c>
      <c r="H42" s="214"/>
      <c r="I42" s="56">
        <f>I39+10*LOG(I41)-I40</f>
        <v>18.76220559712982</v>
      </c>
      <c r="J42" s="78"/>
      <c r="K42" s="78"/>
      <c r="L42" s="213">
        <f>L39+10*LOG(L41)-L40</f>
        <v>18.271293738208612</v>
      </c>
      <c r="M42" s="357">
        <f>M39+M40+M41</f>
        <v>0.46295352918983446</v>
      </c>
      <c r="N42" s="213"/>
      <c r="O42" s="213"/>
      <c r="P42" s="213"/>
      <c r="Q42" s="215" t="s">
        <v>32</v>
      </c>
      <c r="R42" s="216"/>
      <c r="S42" s="325" t="s">
        <v>317</v>
      </c>
      <c r="T42" s="328"/>
      <c r="U42" s="299" t="s">
        <v>328</v>
      </c>
      <c r="V42" s="316" t="s">
        <v>302</v>
      </c>
    </row>
    <row r="43" spans="1:21" s="341" customFormat="1" ht="13.5" thickBot="1">
      <c r="A43" s="103" t="s">
        <v>174</v>
      </c>
      <c r="B43" s="103"/>
      <c r="C43" s="103"/>
      <c r="D43" s="103"/>
      <c r="E43" s="13"/>
      <c r="F43" s="145"/>
      <c r="G43" s="145"/>
      <c r="H43" s="13"/>
      <c r="I43" s="13"/>
      <c r="J43" s="13"/>
      <c r="K43" s="13"/>
      <c r="L43" s="13"/>
      <c r="M43" s="353"/>
      <c r="N43" s="13"/>
      <c r="O43" s="13"/>
      <c r="P43" s="13"/>
      <c r="Q43" s="13"/>
      <c r="R43" s="348"/>
      <c r="S43" s="119"/>
      <c r="T43" s="119"/>
      <c r="U43" s="119"/>
    </row>
    <row r="44" spans="1:22" s="2" customFormat="1" ht="12.75">
      <c r="A44" s="127"/>
      <c r="B44" s="128" t="s">
        <v>124</v>
      </c>
      <c r="C44" s="128"/>
      <c r="D44" s="115"/>
      <c r="E44" s="20"/>
      <c r="F44" s="176">
        <v>1E-06</v>
      </c>
      <c r="G44" s="176">
        <v>1E-08</v>
      </c>
      <c r="H44" s="22"/>
      <c r="I44" s="526">
        <f>G44</f>
        <v>1E-08</v>
      </c>
      <c r="J44" s="23"/>
      <c r="K44" s="23"/>
      <c r="L44" s="23"/>
      <c r="M44" s="352"/>
      <c r="N44" s="23"/>
      <c r="O44" s="23"/>
      <c r="P44" s="23"/>
      <c r="Q44" s="23"/>
      <c r="R44" s="24"/>
      <c r="S44" s="332"/>
      <c r="T44" s="306" t="s">
        <v>265</v>
      </c>
      <c r="U44" s="307"/>
      <c r="V44" s="308"/>
    </row>
    <row r="45" spans="1:22" s="2" customFormat="1" ht="12.75">
      <c r="A45" s="116" t="s">
        <v>125</v>
      </c>
      <c r="B45" s="106"/>
      <c r="C45" s="106"/>
      <c r="D45" s="104"/>
      <c r="E45" s="20" t="s">
        <v>27</v>
      </c>
      <c r="F45" s="167">
        <v>10.6</v>
      </c>
      <c r="G45" s="167">
        <v>12</v>
      </c>
      <c r="H45" s="22"/>
      <c r="I45" s="524">
        <f>G45</f>
        <v>12</v>
      </c>
      <c r="J45" s="26">
        <v>0</v>
      </c>
      <c r="K45" s="26">
        <v>0</v>
      </c>
      <c r="L45" s="20">
        <f>I45</f>
        <v>12</v>
      </c>
      <c r="M45" s="352"/>
      <c r="N45" s="23"/>
      <c r="O45" s="23"/>
      <c r="P45" s="23"/>
      <c r="Q45" s="23"/>
      <c r="R45" s="24" t="s">
        <v>126</v>
      </c>
      <c r="S45" s="319"/>
      <c r="T45" s="311"/>
      <c r="U45" s="310"/>
      <c r="V45" s="311"/>
    </row>
    <row r="46" spans="1:22" s="2" customFormat="1" ht="12.75">
      <c r="A46" s="116" t="s">
        <v>127</v>
      </c>
      <c r="B46" s="106"/>
      <c r="C46" s="106"/>
      <c r="D46" s="104"/>
      <c r="E46" s="20" t="s">
        <v>27</v>
      </c>
      <c r="F46" s="149">
        <v>0.8</v>
      </c>
      <c r="G46" s="149">
        <v>2.3</v>
      </c>
      <c r="H46" s="538" t="str">
        <f>IF(J46=-K46,CONCATENATE("±",TEXT(ABS(J46),"0.0##")),CONCATENATE(TEXT(J46,"+0.0##;-0.0##"),"/",TEXT(K46,"+0.0##;-0.0##")))</f>
        <v>±0.25</v>
      </c>
      <c r="I46" s="52">
        <v>2.3</v>
      </c>
      <c r="J46" s="26">
        <v>-0.25</v>
      </c>
      <c r="K46" s="26">
        <v>0.25</v>
      </c>
      <c r="L46" s="20">
        <f>I46+((J46+K46)/2)</f>
        <v>2.3</v>
      </c>
      <c r="M46" s="53">
        <f>((J46-K46)^2)/12</f>
        <v>0.020833333333333332</v>
      </c>
      <c r="N46" s="53"/>
      <c r="O46" s="53"/>
      <c r="P46" s="53"/>
      <c r="Q46" s="20" t="s">
        <v>39</v>
      </c>
      <c r="R46" s="24"/>
      <c r="S46" s="319"/>
      <c r="T46" s="309" t="s">
        <v>265</v>
      </c>
      <c r="U46" s="312" t="s">
        <v>291</v>
      </c>
      <c r="V46" s="313" t="s">
        <v>324</v>
      </c>
    </row>
    <row r="47" spans="1:22" s="2" customFormat="1" ht="12.75">
      <c r="A47" s="116"/>
      <c r="B47" s="106" t="s">
        <v>128</v>
      </c>
      <c r="C47" s="106"/>
      <c r="D47" s="104"/>
      <c r="E47" s="20" t="s">
        <v>27</v>
      </c>
      <c r="F47" s="149"/>
      <c r="G47" s="149"/>
      <c r="H47" s="25"/>
      <c r="I47" s="37"/>
      <c r="J47" s="38"/>
      <c r="K47" s="38"/>
      <c r="L47" s="38"/>
      <c r="M47" s="352"/>
      <c r="N47" s="38"/>
      <c r="O47" s="38"/>
      <c r="P47" s="38"/>
      <c r="Q47" s="38"/>
      <c r="R47" s="24"/>
      <c r="S47" s="319"/>
      <c r="T47" s="311"/>
      <c r="U47" s="318"/>
      <c r="V47" s="311"/>
    </row>
    <row r="48" spans="1:22" s="2" customFormat="1" ht="12.75">
      <c r="A48" s="116"/>
      <c r="B48" s="106" t="s">
        <v>243</v>
      </c>
      <c r="D48" s="104"/>
      <c r="E48" s="20" t="s">
        <v>27</v>
      </c>
      <c r="F48" s="149"/>
      <c r="G48" s="149">
        <v>0.05</v>
      </c>
      <c r="H48" s="25"/>
      <c r="I48" s="37"/>
      <c r="J48" s="38"/>
      <c r="K48" s="38"/>
      <c r="L48" s="38"/>
      <c r="M48" s="352"/>
      <c r="N48" s="38"/>
      <c r="O48" s="38"/>
      <c r="P48" s="38"/>
      <c r="Q48" s="38"/>
      <c r="R48" s="24"/>
      <c r="S48" s="319"/>
      <c r="T48" s="311"/>
      <c r="U48" s="318"/>
      <c r="V48" s="311"/>
    </row>
    <row r="49" spans="1:22" s="2" customFormat="1" ht="12.75">
      <c r="A49" s="116" t="s">
        <v>133</v>
      </c>
      <c r="B49" s="106"/>
      <c r="C49" s="106"/>
      <c r="D49" s="104"/>
      <c r="E49" s="20" t="s">
        <v>27</v>
      </c>
      <c r="F49" s="149">
        <v>1.4</v>
      </c>
      <c r="G49" s="539">
        <f>G50+G53</f>
        <v>1.11</v>
      </c>
      <c r="H49" s="25" t="s">
        <v>134</v>
      </c>
      <c r="I49" s="525">
        <f>G49*0.9</f>
        <v>0.9990000000000001</v>
      </c>
      <c r="J49" s="99">
        <f>-G49*0.1</f>
        <v>-0.11100000000000002</v>
      </c>
      <c r="K49" s="99">
        <f>G49*0.1</f>
        <v>0.11100000000000002</v>
      </c>
      <c r="L49" s="208">
        <f>I49+((J49+K49)/3)</f>
        <v>0.9990000000000001</v>
      </c>
      <c r="M49" s="53">
        <f>(J49^2+K49^2-(K49*J49))/18</f>
        <v>0.0020535000000000006</v>
      </c>
      <c r="N49" s="20"/>
      <c r="O49" s="20"/>
      <c r="P49" s="20"/>
      <c r="Q49" s="20" t="s">
        <v>36</v>
      </c>
      <c r="R49" s="24"/>
      <c r="S49" s="319"/>
      <c r="T49" s="309" t="s">
        <v>135</v>
      </c>
      <c r="U49" s="312" t="s">
        <v>290</v>
      </c>
      <c r="V49" s="313" t="s">
        <v>324</v>
      </c>
    </row>
    <row r="50" spans="1:22" s="2" customFormat="1" ht="12.75">
      <c r="A50" s="116"/>
      <c r="B50" s="106" t="s">
        <v>129</v>
      </c>
      <c r="C50" s="106"/>
      <c r="D50" s="104"/>
      <c r="E50" s="20" t="s">
        <v>27</v>
      </c>
      <c r="F50" s="149"/>
      <c r="G50" s="149">
        <f>SUM(G51:G52)</f>
        <v>0.53</v>
      </c>
      <c r="H50" s="25"/>
      <c r="I50" s="37"/>
      <c r="J50" s="38"/>
      <c r="K50" s="38"/>
      <c r="L50" s="38"/>
      <c r="M50" s="352"/>
      <c r="N50" s="38"/>
      <c r="O50" s="38"/>
      <c r="P50" s="38"/>
      <c r="Q50" s="38"/>
      <c r="R50" s="24"/>
      <c r="S50" s="364"/>
      <c r="T50" s="364"/>
      <c r="U50" s="364"/>
      <c r="V50" s="375"/>
    </row>
    <row r="51" spans="1:22" s="2" customFormat="1" ht="12.75">
      <c r="A51" s="116"/>
      <c r="B51" s="106"/>
      <c r="C51" s="106" t="s">
        <v>131</v>
      </c>
      <c r="D51" s="104"/>
      <c r="E51" s="20" t="s">
        <v>27</v>
      </c>
      <c r="F51" s="149"/>
      <c r="G51" s="149">
        <v>0.03</v>
      </c>
      <c r="H51" s="25"/>
      <c r="I51" s="37"/>
      <c r="J51" s="38"/>
      <c r="K51" s="38"/>
      <c r="L51" s="38"/>
      <c r="M51" s="352"/>
      <c r="N51" s="38"/>
      <c r="O51" s="38"/>
      <c r="P51" s="38"/>
      <c r="Q51" s="38"/>
      <c r="R51" s="24"/>
      <c r="S51" s="319"/>
      <c r="T51" s="313" t="s">
        <v>289</v>
      </c>
      <c r="U51" s="318"/>
      <c r="V51" s="311"/>
    </row>
    <row r="52" spans="1:22" s="2" customFormat="1" ht="12.75">
      <c r="A52" s="116"/>
      <c r="B52" s="106"/>
      <c r="C52" s="106" t="s">
        <v>132</v>
      </c>
      <c r="D52" s="104"/>
      <c r="E52" s="20" t="s">
        <v>27</v>
      </c>
      <c r="F52" s="149"/>
      <c r="G52" s="149">
        <v>0.5</v>
      </c>
      <c r="H52" s="25"/>
      <c r="I52" s="37"/>
      <c r="J52" s="38"/>
      <c r="K52" s="38"/>
      <c r="L52" s="38"/>
      <c r="M52" s="352"/>
      <c r="N52" s="38"/>
      <c r="O52" s="38"/>
      <c r="P52" s="38"/>
      <c r="Q52" s="38"/>
      <c r="R52" s="24"/>
      <c r="S52" s="319"/>
      <c r="T52" s="313" t="s">
        <v>289</v>
      </c>
      <c r="U52" s="318"/>
      <c r="V52" s="311"/>
    </row>
    <row r="53" spans="1:22" s="2" customFormat="1" ht="12.75">
      <c r="A53" s="116"/>
      <c r="B53" s="106" t="s">
        <v>159</v>
      </c>
      <c r="C53" s="106"/>
      <c r="D53" s="104"/>
      <c r="E53" s="20" t="s">
        <v>27</v>
      </c>
      <c r="F53" s="149"/>
      <c r="G53" s="149">
        <f>SUM(G54:G57)</f>
        <v>0.5800000000000001</v>
      </c>
      <c r="H53" s="25"/>
      <c r="I53" s="37"/>
      <c r="J53" s="38"/>
      <c r="K53" s="38"/>
      <c r="L53" s="38"/>
      <c r="M53" s="352"/>
      <c r="N53" s="38"/>
      <c r="O53" s="38"/>
      <c r="P53" s="38"/>
      <c r="Q53" s="38"/>
      <c r="R53" s="24"/>
      <c r="S53" s="364"/>
      <c r="T53" s="364"/>
      <c r="U53" s="364"/>
      <c r="V53" s="375"/>
    </row>
    <row r="54" spans="1:22" s="2" customFormat="1" ht="12.75">
      <c r="A54" s="116"/>
      <c r="B54" s="106"/>
      <c r="C54" s="106" t="s">
        <v>130</v>
      </c>
      <c r="D54" s="104"/>
      <c r="E54" s="20" t="s">
        <v>27</v>
      </c>
      <c r="F54" s="149"/>
      <c r="G54" s="149">
        <v>0.5</v>
      </c>
      <c r="H54" s="25"/>
      <c r="I54" s="37"/>
      <c r="J54" s="38"/>
      <c r="K54" s="38"/>
      <c r="L54" s="38"/>
      <c r="M54" s="352"/>
      <c r="N54" s="38"/>
      <c r="O54" s="38"/>
      <c r="P54" s="38"/>
      <c r="Q54" s="38"/>
      <c r="R54" s="24"/>
      <c r="S54" s="319"/>
      <c r="T54" s="313" t="s">
        <v>289</v>
      </c>
      <c r="U54" s="318"/>
      <c r="V54" s="311"/>
    </row>
    <row r="55" spans="1:22" s="157" customFormat="1" ht="12.75">
      <c r="A55" s="152"/>
      <c r="B55" s="153"/>
      <c r="C55" s="153" t="s">
        <v>137</v>
      </c>
      <c r="D55" s="154"/>
      <c r="E55" s="155" t="s">
        <v>27</v>
      </c>
      <c r="F55" s="149"/>
      <c r="G55" s="149">
        <v>0</v>
      </c>
      <c r="H55" s="150"/>
      <c r="I55" s="217"/>
      <c r="J55" s="218"/>
      <c r="K55" s="218"/>
      <c r="L55" s="218"/>
      <c r="M55" s="359"/>
      <c r="N55" s="218"/>
      <c r="O55" s="218"/>
      <c r="P55" s="218"/>
      <c r="Q55" s="218"/>
      <c r="R55" s="156"/>
      <c r="S55" s="319"/>
      <c r="T55" s="313" t="s">
        <v>289</v>
      </c>
      <c r="U55" s="318"/>
      <c r="V55" s="311"/>
    </row>
    <row r="56" spans="1:22" s="2" customFormat="1" ht="12.75">
      <c r="A56" s="116"/>
      <c r="B56" s="106"/>
      <c r="C56" s="106" t="s">
        <v>138</v>
      </c>
      <c r="D56" s="104"/>
      <c r="E56" s="20" t="s">
        <v>27</v>
      </c>
      <c r="F56" s="149"/>
      <c r="G56" s="149">
        <v>0.05</v>
      </c>
      <c r="H56" s="25"/>
      <c r="I56" s="37"/>
      <c r="J56" s="38"/>
      <c r="K56" s="38"/>
      <c r="L56" s="38"/>
      <c r="M56" s="352"/>
      <c r="N56" s="38"/>
      <c r="O56" s="38"/>
      <c r="P56" s="38"/>
      <c r="Q56" s="38"/>
      <c r="R56" s="24"/>
      <c r="S56" s="319"/>
      <c r="T56" s="313" t="s">
        <v>275</v>
      </c>
      <c r="U56" s="318"/>
      <c r="V56" s="311"/>
    </row>
    <row r="57" spans="1:22" s="2" customFormat="1" ht="12.75">
      <c r="A57" s="669"/>
      <c r="B57" s="666"/>
      <c r="C57" s="666" t="s">
        <v>354</v>
      </c>
      <c r="D57" s="667"/>
      <c r="E57" s="35" t="s">
        <v>27</v>
      </c>
      <c r="F57" s="668"/>
      <c r="G57" s="668">
        <v>0.03</v>
      </c>
      <c r="H57" s="670"/>
      <c r="I57" s="281"/>
      <c r="J57" s="238"/>
      <c r="K57" s="238"/>
      <c r="L57" s="38"/>
      <c r="M57" s="352"/>
      <c r="N57" s="38"/>
      <c r="O57" s="38"/>
      <c r="P57" s="38"/>
      <c r="Q57" s="38"/>
      <c r="R57" s="24"/>
      <c r="S57" s="319"/>
      <c r="T57" s="313" t="s">
        <v>355</v>
      </c>
      <c r="U57" s="318"/>
      <c r="V57" s="311"/>
    </row>
    <row r="58" spans="1:22" s="2" customFormat="1" ht="12.75">
      <c r="A58" s="739" t="s">
        <v>802</v>
      </c>
      <c r="B58" s="740"/>
      <c r="C58" s="740"/>
      <c r="D58" s="740"/>
      <c r="E58" s="673" t="s">
        <v>27</v>
      </c>
      <c r="F58" s="741"/>
      <c r="G58" s="674">
        <v>1</v>
      </c>
      <c r="H58" s="742"/>
      <c r="I58" s="743">
        <v>1</v>
      </c>
      <c r="J58" s="617"/>
      <c r="K58" s="238"/>
      <c r="L58" s="38"/>
      <c r="M58" s="352"/>
      <c r="N58" s="38"/>
      <c r="O58" s="38"/>
      <c r="P58" s="38"/>
      <c r="Q58" s="38"/>
      <c r="R58" s="24"/>
      <c r="S58" s="319"/>
      <c r="T58" s="313"/>
      <c r="U58" s="318"/>
      <c r="V58" s="311"/>
    </row>
    <row r="59" spans="1:22" s="2" customFormat="1" ht="13.5" thickBot="1">
      <c r="A59" s="618" t="s">
        <v>139</v>
      </c>
      <c r="B59" s="383"/>
      <c r="C59" s="383"/>
      <c r="D59" s="619"/>
      <c r="E59" s="126" t="s">
        <v>27</v>
      </c>
      <c r="F59" s="170">
        <f>F45+F46+F47+F49</f>
        <v>12.8</v>
      </c>
      <c r="G59" s="170">
        <f>G45+G46+G49+G58</f>
        <v>16.41</v>
      </c>
      <c r="H59" s="17"/>
      <c r="I59" s="630">
        <f>I45+I46+I49+I58</f>
        <v>16.299</v>
      </c>
      <c r="J59" s="57"/>
      <c r="K59" s="57"/>
      <c r="L59" s="44">
        <f>L45+L46+L49</f>
        <v>15.299000000000001</v>
      </c>
      <c r="M59" s="352"/>
      <c r="N59" s="23"/>
      <c r="O59" s="23"/>
      <c r="P59" s="23"/>
      <c r="Q59" s="23"/>
      <c r="R59" s="24"/>
      <c r="S59" s="297" t="s">
        <v>542</v>
      </c>
      <c r="T59" s="311"/>
      <c r="U59" s="310"/>
      <c r="V59" s="311"/>
    </row>
    <row r="60" spans="1:22" s="2" customFormat="1" ht="13.5" thickBot="1">
      <c r="A60" s="58" t="s">
        <v>140</v>
      </c>
      <c r="B60" s="107"/>
      <c r="C60" s="107"/>
      <c r="D60" s="107"/>
      <c r="E60" s="59" t="s">
        <v>27</v>
      </c>
      <c r="F60" s="179">
        <f>F42-F59</f>
        <v>3.9308998699194255</v>
      </c>
      <c r="G60" s="179">
        <f>G42-G59</f>
        <v>0.4322055971298049</v>
      </c>
      <c r="H60" s="219"/>
      <c r="I60" s="220">
        <f>I42-I59</f>
        <v>2.4632055971298215</v>
      </c>
      <c r="J60" s="61"/>
      <c r="K60" s="61"/>
      <c r="L60" s="60">
        <f>L42-L59</f>
        <v>2.972293738208611</v>
      </c>
      <c r="M60" s="540">
        <f>M42+M46+M49</f>
        <v>0.48584036252316776</v>
      </c>
      <c r="N60" s="85"/>
      <c r="O60" s="85"/>
      <c r="P60" s="85"/>
      <c r="Q60" s="62" t="s">
        <v>32</v>
      </c>
      <c r="R60" s="14"/>
      <c r="S60" s="297" t="s">
        <v>264</v>
      </c>
      <c r="T60" s="311"/>
      <c r="U60" s="297" t="s">
        <v>543</v>
      </c>
      <c r="V60" s="313" t="s">
        <v>302</v>
      </c>
    </row>
    <row r="61" spans="1:22" ht="13.5" thickBot="1">
      <c r="A61" s="98"/>
      <c r="B61" s="108"/>
      <c r="C61" s="108"/>
      <c r="D61" s="108" t="s">
        <v>141</v>
      </c>
      <c r="E61" s="270" t="s">
        <v>27</v>
      </c>
      <c r="F61" s="271"/>
      <c r="G61" s="272">
        <f>G42-F59</f>
        <v>4.042205597129804</v>
      </c>
      <c r="L61" s="64" t="s">
        <v>142</v>
      </c>
      <c r="M61" s="65">
        <f>SQRT(M60)</f>
        <v>0.6970224978601248</v>
      </c>
      <c r="N61" s="86"/>
      <c r="O61" s="86"/>
      <c r="P61" s="86"/>
      <c r="Q61" s="66" t="s">
        <v>27</v>
      </c>
      <c r="S61" s="361"/>
      <c r="T61" s="361"/>
      <c r="U61" s="361"/>
      <c r="V61" s="361"/>
    </row>
    <row r="62" spans="12:17" ht="13.5" thickBot="1">
      <c r="L62" s="64" t="s">
        <v>143</v>
      </c>
      <c r="M62" s="67">
        <f>2*M61</f>
        <v>1.3940449957202496</v>
      </c>
      <c r="N62" s="68"/>
      <c r="O62" s="68"/>
      <c r="P62" s="68"/>
      <c r="Q62" s="66" t="s">
        <v>27</v>
      </c>
    </row>
    <row r="63" spans="1:17" ht="13.5" thickBot="1">
      <c r="A63" s="658" t="s">
        <v>884</v>
      </c>
      <c r="B63" s="654"/>
      <c r="C63" s="654"/>
      <c r="D63" s="654"/>
      <c r="E63" s="655" t="s">
        <v>27</v>
      </c>
      <c r="F63" s="656"/>
      <c r="G63" s="659">
        <f>G58+G49+G46</f>
        <v>4.41</v>
      </c>
      <c r="H63" s="657"/>
      <c r="I63" s="659">
        <f>I58+I49+I46</f>
        <v>4.2989999999999995</v>
      </c>
      <c r="L63" s="64"/>
      <c r="M63" s="68"/>
      <c r="N63" s="68"/>
      <c r="O63" s="68"/>
      <c r="P63" s="68"/>
      <c r="Q63" s="66"/>
    </row>
    <row r="64" spans="12:17" ht="12.75">
      <c r="L64" s="64"/>
      <c r="M64" s="68"/>
      <c r="N64" s="68"/>
      <c r="O64" s="68"/>
      <c r="P64" s="68"/>
      <c r="Q64" s="66"/>
    </row>
    <row r="65" spans="1:17" ht="12.75">
      <c r="A65" s="221"/>
      <c r="F65"/>
      <c r="H65" s="180" t="s">
        <v>144</v>
      </c>
      <c r="L65"/>
      <c r="M65" s="68"/>
      <c r="N65" s="68"/>
      <c r="O65" s="68"/>
      <c r="P65" s="68"/>
      <c r="Q65" s="66"/>
    </row>
    <row r="66" spans="6:17" ht="12.75">
      <c r="F66"/>
      <c r="G66" s="180" t="s">
        <v>145</v>
      </c>
      <c r="H66" s="180" t="s">
        <v>146</v>
      </c>
      <c r="I66" s="180" t="s">
        <v>147</v>
      </c>
      <c r="J66" s="180"/>
      <c r="K66"/>
      <c r="L66"/>
      <c r="M66" s="68"/>
      <c r="N66" s="68"/>
      <c r="O66" s="68"/>
      <c r="P66" s="68"/>
      <c r="Q66" s="66"/>
    </row>
    <row r="67" spans="1:17" ht="13.5" thickBot="1">
      <c r="A67" s="221" t="s">
        <v>172</v>
      </c>
      <c r="B67" s="221"/>
      <c r="C67" s="221"/>
      <c r="D67" s="221"/>
      <c r="F67"/>
      <c r="G67" s="180" t="s">
        <v>148</v>
      </c>
      <c r="H67" s="180" t="s">
        <v>148</v>
      </c>
      <c r="I67" s="180" t="s">
        <v>148</v>
      </c>
      <c r="J67" s="180"/>
      <c r="K67"/>
      <c r="L67"/>
      <c r="M67"/>
      <c r="N67"/>
      <c r="O67"/>
      <c r="P67"/>
      <c r="Q67"/>
    </row>
    <row r="68" spans="1:22" ht="12.75">
      <c r="A68" s="621" t="s">
        <v>149</v>
      </c>
      <c r="B68" s="622"/>
      <c r="C68" s="622"/>
      <c r="D68" s="622"/>
      <c r="E68" s="623" t="s">
        <v>27</v>
      </c>
      <c r="F68"/>
      <c r="G68" s="133">
        <f>SUM(I60,M62)</f>
        <v>3.857250592850071</v>
      </c>
      <c r="H68" s="185">
        <v>2</v>
      </c>
      <c r="I68" s="186">
        <f>G68-H68</f>
        <v>1.8572505928500709</v>
      </c>
      <c r="K68"/>
      <c r="L68"/>
      <c r="M68"/>
      <c r="N68"/>
      <c r="O68"/>
      <c r="P68"/>
      <c r="Q68"/>
      <c r="S68" s="363"/>
      <c r="T68" s="70" t="s">
        <v>37</v>
      </c>
      <c r="U68" s="363"/>
      <c r="V68" s="363"/>
    </row>
    <row r="69" spans="1:22" ht="12.75">
      <c r="A69" s="624" t="s">
        <v>150</v>
      </c>
      <c r="B69" s="242"/>
      <c r="C69" s="242"/>
      <c r="D69" s="242"/>
      <c r="E69" s="625" t="s">
        <v>27</v>
      </c>
      <c r="F69"/>
      <c r="G69" s="597">
        <f>SUM(I60)</f>
        <v>2.4632055971298215</v>
      </c>
      <c r="H69" s="190">
        <v>1</v>
      </c>
      <c r="I69" s="191">
        <f>G69-H69</f>
        <v>1.4632055971298215</v>
      </c>
      <c r="K69"/>
      <c r="L69"/>
      <c r="M69" s="68"/>
      <c r="N69" s="68"/>
      <c r="O69" s="68"/>
      <c r="P69" s="68"/>
      <c r="Q69" s="66"/>
      <c r="S69" s="364"/>
      <c r="T69" s="24" t="s">
        <v>37</v>
      </c>
      <c r="U69" s="364"/>
      <c r="V69" s="364"/>
    </row>
    <row r="70" spans="1:22" ht="13.5" thickBot="1">
      <c r="A70" s="626" t="s">
        <v>151</v>
      </c>
      <c r="B70" s="620"/>
      <c r="C70" s="620"/>
      <c r="D70" s="620"/>
      <c r="E70" s="627" t="s">
        <v>27</v>
      </c>
      <c r="F70"/>
      <c r="G70" s="598">
        <f>SUM(I60,-M62)</f>
        <v>1.0691606014095718</v>
      </c>
      <c r="H70" s="195">
        <v>0</v>
      </c>
      <c r="I70" s="196">
        <f>G70-H70</f>
        <v>1.0691606014095718</v>
      </c>
      <c r="K70"/>
      <c r="L70"/>
      <c r="M70" s="68"/>
      <c r="N70" s="68"/>
      <c r="O70" s="68"/>
      <c r="P70" s="68"/>
      <c r="Q70" s="66"/>
      <c r="S70" s="361"/>
      <c r="T70" s="71" t="s">
        <v>37</v>
      </c>
      <c r="U70" s="361"/>
      <c r="V70" s="361"/>
    </row>
    <row r="71" ht="13.5" thickBot="1"/>
    <row r="72" spans="2:17" ht="13.5" thickBot="1">
      <c r="B72" s="785" t="s">
        <v>433</v>
      </c>
      <c r="C72" s="786"/>
      <c r="D72" s="786"/>
      <c r="E72" s="786"/>
      <c r="F72" s="786"/>
      <c r="G72" s="786"/>
      <c r="H72" s="786"/>
      <c r="I72" s="786"/>
      <c r="J72" s="787"/>
      <c r="K72"/>
      <c r="L72"/>
      <c r="M72"/>
      <c r="N72"/>
      <c r="O72"/>
      <c r="P72"/>
      <c r="Q72"/>
    </row>
    <row r="73" spans="2:17" ht="12.75">
      <c r="B73" s="628"/>
      <c r="C73" s="629"/>
      <c r="D73" s="629"/>
      <c r="E73" s="788" t="s">
        <v>435</v>
      </c>
      <c r="F73" s="767"/>
      <c r="G73" s="788" t="s">
        <v>801</v>
      </c>
      <c r="H73" s="767"/>
      <c r="I73" s="788" t="s">
        <v>146</v>
      </c>
      <c r="J73" s="767"/>
      <c r="K73"/>
      <c r="L73"/>
      <c r="M73"/>
      <c r="N73"/>
      <c r="O73"/>
      <c r="P73"/>
      <c r="Q73"/>
    </row>
    <row r="74" spans="2:17" ht="12.75">
      <c r="B74" s="572"/>
      <c r="C74" s="573"/>
      <c r="D74" s="573" t="s">
        <v>4</v>
      </c>
      <c r="E74" s="660" t="s">
        <v>431</v>
      </c>
      <c r="F74" s="583" t="s">
        <v>432</v>
      </c>
      <c r="G74" s="661" t="s">
        <v>431</v>
      </c>
      <c r="H74" s="575" t="s">
        <v>432</v>
      </c>
      <c r="I74" s="661" t="s">
        <v>431</v>
      </c>
      <c r="J74" s="575" t="s">
        <v>432</v>
      </c>
      <c r="K74"/>
      <c r="L74"/>
      <c r="M74"/>
      <c r="N74"/>
      <c r="O74"/>
      <c r="P74"/>
      <c r="Q74"/>
    </row>
    <row r="75" spans="2:17" ht="12.75">
      <c r="B75" s="576" t="s">
        <v>96</v>
      </c>
      <c r="C75" s="569"/>
      <c r="D75" s="569"/>
      <c r="E75" s="662">
        <f>I75+G75</f>
        <v>35.71141943808537</v>
      </c>
      <c r="F75" s="663">
        <f>J75-H75</f>
        <v>37.9403803017535</v>
      </c>
      <c r="G75" s="662">
        <v>0.36</v>
      </c>
      <c r="H75" s="663">
        <v>0.49</v>
      </c>
      <c r="I75" s="662">
        <f>I13+K13</f>
        <v>35.35141943808537</v>
      </c>
      <c r="J75" s="663">
        <f>I13+J13</f>
        <v>38.4303803017535</v>
      </c>
      <c r="K75"/>
      <c r="L75"/>
      <c r="M75"/>
      <c r="N75"/>
      <c r="O75"/>
      <c r="P75"/>
      <c r="Q75"/>
    </row>
    <row r="76" spans="2:17" ht="13.5" thickBot="1">
      <c r="B76" s="643" t="s">
        <v>933</v>
      </c>
      <c r="C76" s="644"/>
      <c r="D76" s="644"/>
      <c r="E76" s="664">
        <f>I76+G76</f>
        <v>0</v>
      </c>
      <c r="F76" s="665">
        <f>J76-H76</f>
        <v>4.3100000000000005</v>
      </c>
      <c r="G76" s="664">
        <v>0</v>
      </c>
      <c r="H76" s="665">
        <v>0.1</v>
      </c>
      <c r="I76" s="664">
        <v>0</v>
      </c>
      <c r="J76" s="665">
        <f>G63</f>
        <v>4.41</v>
      </c>
      <c r="K76"/>
      <c r="L76"/>
      <c r="M76"/>
      <c r="N76"/>
      <c r="O76"/>
      <c r="P76"/>
      <c r="Q76"/>
    </row>
  </sheetData>
  <mergeCells count="4">
    <mergeCell ref="B72:J72"/>
    <mergeCell ref="E73:F73"/>
    <mergeCell ref="G73:H73"/>
    <mergeCell ref="I73:J73"/>
  </mergeCells>
  <printOptions headings="1" horizontalCentered="1"/>
  <pageMargins left="0.75" right="0.25" top="0.5" bottom="0.75" header="0.25" footer="0.25"/>
  <pageSetup fitToHeight="1" fitToWidth="1" horizontalDpi="600" verticalDpi="600" orientation="portrait" scale="65"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08"/>
  <sheetViews>
    <sheetView workbookViewId="0" topLeftCell="A77">
      <selection activeCell="J108" sqref="J108"/>
    </sheetView>
  </sheetViews>
  <sheetFormatPr defaultColWidth="9.140625" defaultRowHeight="12.75"/>
  <cols>
    <col min="1" max="3" width="3.421875" style="0" customWidth="1"/>
    <col min="4" max="4" width="24.421875" style="0" customWidth="1"/>
    <col min="5" max="5" width="11.7109375" style="63" customWidth="1"/>
    <col min="6" max="7" width="11.7109375" style="144" customWidth="1"/>
    <col min="8" max="8" width="11.7109375" style="63" customWidth="1"/>
    <col min="9" max="13" width="10.7109375" style="63" customWidth="1"/>
    <col min="14" max="16" width="10.7109375" style="63" hidden="1" customWidth="1"/>
    <col min="17" max="17" width="10.7109375" style="63" customWidth="1"/>
    <col min="18" max="18" width="44.7109375" style="0" customWidth="1"/>
    <col min="19" max="19" width="114.00390625" style="0" customWidth="1"/>
    <col min="20" max="20" width="101.7109375" style="0" bestFit="1" customWidth="1"/>
    <col min="21" max="21" width="91.421875" style="0" bestFit="1" customWidth="1"/>
    <col min="22" max="22" width="101.57421875" style="82" bestFit="1" customWidth="1"/>
    <col min="23" max="16384" width="8.8515625" style="0" customWidth="1"/>
  </cols>
  <sheetData>
    <row r="1" spans="1:22" s="2" customFormat="1" ht="13.5" thickBot="1">
      <c r="A1" s="109"/>
      <c r="B1" s="110"/>
      <c r="C1" s="110"/>
      <c r="D1" s="111"/>
      <c r="E1" s="4"/>
      <c r="F1" s="5" t="s">
        <v>175</v>
      </c>
      <c r="G1" s="5" t="s">
        <v>1</v>
      </c>
      <c r="H1" s="6"/>
      <c r="I1" s="7" t="s">
        <v>2</v>
      </c>
      <c r="J1" s="7"/>
      <c r="K1" s="6"/>
      <c r="L1" s="5" t="s">
        <v>3</v>
      </c>
      <c r="M1" s="6"/>
      <c r="N1" s="83"/>
      <c r="O1" s="83"/>
      <c r="P1" s="83"/>
      <c r="Q1" s="8"/>
      <c r="R1" s="9"/>
      <c r="S1" s="289"/>
      <c r="T1" s="290"/>
      <c r="U1" s="291"/>
      <c r="V1" s="292"/>
    </row>
    <row r="2" spans="1:22" s="12" customFormat="1" ht="39" customHeight="1" thickBot="1">
      <c r="A2" s="112" t="s">
        <v>4</v>
      </c>
      <c r="B2" s="113"/>
      <c r="C2" s="113"/>
      <c r="D2" s="114"/>
      <c r="E2" s="10" t="s">
        <v>5</v>
      </c>
      <c r="F2" s="245" t="s">
        <v>6</v>
      </c>
      <c r="G2" s="10" t="s">
        <v>7</v>
      </c>
      <c r="H2" s="10" t="s">
        <v>8</v>
      </c>
      <c r="I2" s="11" t="s">
        <v>9</v>
      </c>
      <c r="J2" s="11" t="s">
        <v>10</v>
      </c>
      <c r="K2" s="11" t="s">
        <v>11</v>
      </c>
      <c r="L2" s="11" t="s">
        <v>12</v>
      </c>
      <c r="M2" s="11" t="s">
        <v>13</v>
      </c>
      <c r="N2" s="10"/>
      <c r="O2" s="10"/>
      <c r="P2" s="10"/>
      <c r="Q2" s="10" t="s">
        <v>14</v>
      </c>
      <c r="R2" s="10" t="s">
        <v>15</v>
      </c>
      <c r="S2" s="293" t="s">
        <v>284</v>
      </c>
      <c r="T2" s="245" t="s">
        <v>285</v>
      </c>
      <c r="U2" s="293" t="s">
        <v>286</v>
      </c>
      <c r="V2" s="245" t="s">
        <v>287</v>
      </c>
    </row>
    <row r="3" spans="1:22" s="341" customFormat="1" ht="13.5" thickBot="1">
      <c r="A3" s="103" t="s">
        <v>16</v>
      </c>
      <c r="B3" s="103"/>
      <c r="C3" s="103"/>
      <c r="D3" s="103"/>
      <c r="E3" s="13"/>
      <c r="F3" s="145"/>
      <c r="G3" s="145"/>
      <c r="H3" s="13"/>
      <c r="I3" s="13"/>
      <c r="J3" s="13"/>
      <c r="K3" s="13"/>
      <c r="L3" s="13"/>
      <c r="M3" s="13"/>
      <c r="N3" s="13"/>
      <c r="O3" s="13"/>
      <c r="P3" s="13"/>
      <c r="Q3" s="13"/>
      <c r="R3" s="348"/>
      <c r="S3" s="119"/>
      <c r="V3" s="400"/>
    </row>
    <row r="4" spans="1:22" s="2" customFormat="1" ht="12.75">
      <c r="A4" s="127" t="s">
        <v>176</v>
      </c>
      <c r="B4" s="128"/>
      <c r="C4" s="128"/>
      <c r="D4" s="115"/>
      <c r="E4"/>
      <c r="F4" s="146" t="s">
        <v>17</v>
      </c>
      <c r="G4" s="146" t="s">
        <v>17</v>
      </c>
      <c r="H4"/>
      <c r="I4" s="75"/>
      <c r="J4" s="18"/>
      <c r="K4" s="18"/>
      <c r="L4" s="18"/>
      <c r="M4" s="351"/>
      <c r="N4" s="18"/>
      <c r="O4" s="18"/>
      <c r="P4" s="18"/>
      <c r="Q4" s="18"/>
      <c r="R4" s="294"/>
      <c r="S4" s="303"/>
      <c r="T4" s="337" t="s">
        <v>265</v>
      </c>
      <c r="U4" s="338"/>
      <c r="V4" s="304"/>
    </row>
    <row r="5" spans="1:22" s="2" customFormat="1" ht="13.5" thickBot="1">
      <c r="A5" s="138" t="s">
        <v>18</v>
      </c>
      <c r="B5" s="139"/>
      <c r="C5" s="139"/>
      <c r="D5" s="140"/>
      <c r="E5" s="22" t="s">
        <v>19</v>
      </c>
      <c r="F5" s="147">
        <v>0.0001</v>
      </c>
      <c r="G5" s="147">
        <v>0.0001</v>
      </c>
      <c r="H5" s="22"/>
      <c r="I5" s="52">
        <f>G5</f>
        <v>0.0001</v>
      </c>
      <c r="J5" s="23"/>
      <c r="K5" s="78"/>
      <c r="L5" s="77">
        <f>I5</f>
        <v>0.0001</v>
      </c>
      <c r="M5" s="352"/>
      <c r="N5" s="23"/>
      <c r="O5" s="23"/>
      <c r="P5" s="23"/>
      <c r="Q5" s="23"/>
      <c r="R5" s="295"/>
      <c r="S5" s="331"/>
      <c r="T5" s="339" t="s">
        <v>265</v>
      </c>
      <c r="U5" s="340"/>
      <c r="V5" s="305"/>
    </row>
    <row r="6" spans="1:27" s="341" customFormat="1" ht="13.5" thickBot="1">
      <c r="A6" s="103" t="s">
        <v>20</v>
      </c>
      <c r="B6" s="103"/>
      <c r="C6" s="103"/>
      <c r="D6" s="103"/>
      <c r="E6" s="13"/>
      <c r="F6" s="145"/>
      <c r="G6" s="145"/>
      <c r="H6" s="13"/>
      <c r="I6" s="13"/>
      <c r="J6" s="13"/>
      <c r="K6" s="13"/>
      <c r="L6" s="13"/>
      <c r="M6" s="353"/>
      <c r="N6" s="13"/>
      <c r="O6" s="13"/>
      <c r="P6" s="13"/>
      <c r="Q6" s="13"/>
      <c r="R6" s="348"/>
      <c r="S6" s="119"/>
      <c r="T6" s="119"/>
      <c r="U6" s="119"/>
      <c r="V6" s="119"/>
      <c r="W6" s="119"/>
      <c r="X6" s="119"/>
      <c r="Y6" s="119"/>
      <c r="Z6" s="119"/>
      <c r="AA6" s="119"/>
    </row>
    <row r="7" spans="1:27" s="2" customFormat="1" ht="12.75">
      <c r="A7" s="127" t="s">
        <v>21</v>
      </c>
      <c r="B7" s="128"/>
      <c r="C7" s="128"/>
      <c r="D7" s="115"/>
      <c r="E7" s="15" t="s">
        <v>19</v>
      </c>
      <c r="F7" s="148">
        <v>2027.7</v>
      </c>
      <c r="G7" s="148">
        <v>2034.9</v>
      </c>
      <c r="H7" s="17"/>
      <c r="I7" s="527">
        <f>G7</f>
        <v>2034.9</v>
      </c>
      <c r="J7" s="18"/>
      <c r="K7" s="18"/>
      <c r="L7" s="226">
        <f>I7</f>
        <v>2034.9</v>
      </c>
      <c r="M7" s="351"/>
      <c r="N7" s="18"/>
      <c r="O7" s="18"/>
      <c r="P7" s="18"/>
      <c r="Q7" s="18"/>
      <c r="R7" s="19"/>
      <c r="S7" s="332"/>
      <c r="T7" s="306" t="s">
        <v>266</v>
      </c>
      <c r="U7" s="307"/>
      <c r="V7" s="308"/>
      <c r="W7"/>
      <c r="X7"/>
      <c r="Y7"/>
      <c r="Z7"/>
      <c r="AA7"/>
    </row>
    <row r="8" spans="1:27" s="2" customFormat="1" ht="12.75">
      <c r="A8" s="116"/>
      <c r="B8" s="106" t="s">
        <v>22</v>
      </c>
      <c r="C8" s="106"/>
      <c r="D8" s="104"/>
      <c r="E8" s="20" t="s">
        <v>23</v>
      </c>
      <c r="F8" s="147" t="s">
        <v>24</v>
      </c>
      <c r="G8" s="147" t="s">
        <v>24</v>
      </c>
      <c r="H8" s="22"/>
      <c r="I8" s="52" t="str">
        <f>G8</f>
        <v>linear</v>
      </c>
      <c r="J8" s="23"/>
      <c r="K8" s="23"/>
      <c r="L8" s="23"/>
      <c r="M8" s="352"/>
      <c r="N8" s="23"/>
      <c r="O8" s="23"/>
      <c r="P8" s="23"/>
      <c r="Q8" s="23"/>
      <c r="R8" s="24" t="s">
        <v>25</v>
      </c>
      <c r="S8" s="319"/>
      <c r="T8" s="309" t="s">
        <v>267</v>
      </c>
      <c r="U8" s="310"/>
      <c r="V8" s="311"/>
      <c r="W8"/>
      <c r="X8"/>
      <c r="Y8"/>
      <c r="Z8"/>
      <c r="AA8"/>
    </row>
    <row r="9" spans="1:27" s="2" customFormat="1" ht="12.75">
      <c r="A9" s="116"/>
      <c r="B9" s="106" t="s">
        <v>26</v>
      </c>
      <c r="C9" s="106"/>
      <c r="D9" s="104"/>
      <c r="E9" s="20" t="s">
        <v>27</v>
      </c>
      <c r="F9" s="149" t="s">
        <v>28</v>
      </c>
      <c r="G9" s="149" t="s">
        <v>28</v>
      </c>
      <c r="H9" s="22"/>
      <c r="I9" s="52" t="str">
        <f>G9</f>
        <v> --</v>
      </c>
      <c r="J9" s="23"/>
      <c r="K9" s="23"/>
      <c r="L9" s="23"/>
      <c r="M9" s="352"/>
      <c r="N9" s="23"/>
      <c r="O9" s="23"/>
      <c r="P9" s="23"/>
      <c r="Q9" s="23"/>
      <c r="R9" s="24" t="s">
        <v>29</v>
      </c>
      <c r="S9" s="319"/>
      <c r="T9" s="309" t="s">
        <v>267</v>
      </c>
      <c r="U9" s="310"/>
      <c r="V9" s="311"/>
      <c r="W9"/>
      <c r="X9"/>
      <c r="Y9"/>
      <c r="Z9"/>
      <c r="AA9"/>
    </row>
    <row r="10" spans="1:27" s="2" customFormat="1" ht="12.75">
      <c r="A10" s="116" t="s">
        <v>30</v>
      </c>
      <c r="B10" s="106"/>
      <c r="C10" s="106"/>
      <c r="D10" s="104"/>
      <c r="E10" s="20" t="s">
        <v>27</v>
      </c>
      <c r="F10" s="149" t="s">
        <v>31</v>
      </c>
      <c r="G10" s="149">
        <v>70</v>
      </c>
      <c r="H10" s="538" t="str">
        <f>IF(J10=-K10,CONCATENATE("±",TEXT(ABS(J10),"0.0##")),CONCATENATE(TEXT(J10,"+0.0##;-0.0##"),"/",TEXT(K10,"+0.0##;-0.0##")))</f>
        <v>±0.5</v>
      </c>
      <c r="I10" s="524">
        <f>G10</f>
        <v>70</v>
      </c>
      <c r="J10" s="151">
        <v>0.5</v>
      </c>
      <c r="K10" s="151">
        <v>-0.5</v>
      </c>
      <c r="L10" s="20">
        <f>I10+((J10+K10)/3)</f>
        <v>70</v>
      </c>
      <c r="M10" s="401">
        <f>(J10^2+K10^2-(K10*J10))/18</f>
        <v>0.041666666666666664</v>
      </c>
      <c r="N10" s="20">
        <f>10*LOG(1/(1/((10^(L10/10))*(L5*1000000))))</f>
        <v>90</v>
      </c>
      <c r="O10" s="20">
        <f>10^(-N10/10)</f>
        <v>1E-09</v>
      </c>
      <c r="P10" s="20">
        <f>O10*SQRT(M10)</f>
        <v>2.0412414523193151E-10</v>
      </c>
      <c r="Q10" s="155" t="s">
        <v>36</v>
      </c>
      <c r="R10" s="24" t="s">
        <v>278</v>
      </c>
      <c r="S10" s="333"/>
      <c r="T10" s="309" t="s">
        <v>277</v>
      </c>
      <c r="U10" s="312" t="s">
        <v>290</v>
      </c>
      <c r="V10" s="313" t="s">
        <v>324</v>
      </c>
      <c r="W10"/>
      <c r="X10"/>
      <c r="Y10"/>
      <c r="Z10"/>
      <c r="AA10"/>
    </row>
    <row r="11" spans="1:27" s="2" customFormat="1" ht="12.75">
      <c r="A11" s="116" t="s">
        <v>33</v>
      </c>
      <c r="B11" s="106"/>
      <c r="C11" s="106"/>
      <c r="D11" s="104"/>
      <c r="E11" s="20" t="s">
        <v>27</v>
      </c>
      <c r="F11" s="149" t="s">
        <v>31</v>
      </c>
      <c r="G11" s="149">
        <v>70</v>
      </c>
      <c r="H11" s="538" t="str">
        <f>IF(J11=-K11,CONCATENATE("±",TEXT(ABS(J11),"0.0##")),CONCATENATE(TEXT(J11,"+0.0##;-0.0##"),"/",TEXT(K11,"+0.0##;-0.0##")))</f>
        <v>±0.5</v>
      </c>
      <c r="I11" s="524">
        <f>G11</f>
        <v>70</v>
      </c>
      <c r="J11" s="151">
        <v>0.5</v>
      </c>
      <c r="K11" s="151">
        <v>-0.5</v>
      </c>
      <c r="L11" s="20">
        <f>I11+((J11+K11)/3)</f>
        <v>70</v>
      </c>
      <c r="M11" s="401">
        <f>(J11^2+K11^2-(K11*J11))/18</f>
        <v>0.041666666666666664</v>
      </c>
      <c r="N11" s="20">
        <f>10*LOG(1/(1/((10^(L11/10))*(L5*1000000))))</f>
        <v>90</v>
      </c>
      <c r="O11" s="20">
        <f>10^(-N11/10)</f>
        <v>1E-09</v>
      </c>
      <c r="P11" s="20">
        <f>O11*SQRT(M11)</f>
        <v>2.0412414523193151E-10</v>
      </c>
      <c r="Q11" s="155" t="s">
        <v>36</v>
      </c>
      <c r="R11" s="24" t="s">
        <v>278</v>
      </c>
      <c r="S11" s="319"/>
      <c r="T11" s="309" t="s">
        <v>277</v>
      </c>
      <c r="U11" s="312" t="s">
        <v>290</v>
      </c>
      <c r="V11" s="313" t="s">
        <v>324</v>
      </c>
      <c r="W11"/>
      <c r="X11"/>
      <c r="Y11"/>
      <c r="Z11"/>
      <c r="AA11"/>
    </row>
    <row r="12" spans="1:27" s="157" customFormat="1" ht="12.75">
      <c r="A12" s="152" t="s">
        <v>34</v>
      </c>
      <c r="B12" s="153"/>
      <c r="C12" s="153"/>
      <c r="D12" s="154"/>
      <c r="E12" s="155" t="s">
        <v>35</v>
      </c>
      <c r="F12" s="149">
        <v>85.7</v>
      </c>
      <c r="G12" s="149">
        <v>76.7</v>
      </c>
      <c r="H12" s="538" t="str">
        <f>IF(J12=-K12,CONCATENATE("±",TEXT(ABS(J12),"0.0##")),CONCATENATE(TEXT(J12,"+0.0##;-0.0##"),"/",TEXT(K12,"+0.0##;-0.0##")))</f>
        <v>±0.5</v>
      </c>
      <c r="I12" s="529">
        <v>78.5</v>
      </c>
      <c r="J12" s="151">
        <v>0.5</v>
      </c>
      <c r="K12" s="151">
        <v>-0.5</v>
      </c>
      <c r="L12" s="155">
        <f>I12+((J12+K12)/3)</f>
        <v>78.5</v>
      </c>
      <c r="M12" s="401">
        <f>(J12^2+K12^2-(K12*J12))/18</f>
        <v>0.041666666666666664</v>
      </c>
      <c r="N12" s="155"/>
      <c r="O12" s="155"/>
      <c r="P12" s="155"/>
      <c r="Q12" s="155" t="s">
        <v>36</v>
      </c>
      <c r="R12" s="73"/>
      <c r="S12" s="319"/>
      <c r="T12" s="309" t="s">
        <v>267</v>
      </c>
      <c r="U12" s="312" t="s">
        <v>290</v>
      </c>
      <c r="V12" s="313" t="s">
        <v>324</v>
      </c>
      <c r="W12"/>
      <c r="X12"/>
      <c r="Y12"/>
      <c r="Z12"/>
      <c r="AA12"/>
    </row>
    <row r="13" spans="1:27" s="2" customFormat="1" ht="12.75">
      <c r="A13" s="143" t="s">
        <v>38</v>
      </c>
      <c r="B13" s="106"/>
      <c r="C13" s="106"/>
      <c r="D13" s="104"/>
      <c r="E13" s="20" t="s">
        <v>27</v>
      </c>
      <c r="F13" s="168">
        <f>-20*LOG(SIN(60*PI()/180))</f>
        <v>1.249387366083</v>
      </c>
      <c r="G13" s="168">
        <f>-20*LOG(SIN(60*PI()/180))</f>
        <v>1.249387366083</v>
      </c>
      <c r="H13" s="225" t="s">
        <v>177</v>
      </c>
      <c r="I13" s="525">
        <f>G13</f>
        <v>1.249387366083</v>
      </c>
      <c r="J13" s="99">
        <f>-I13/10</f>
        <v>-0.12493873660829999</v>
      </c>
      <c r="K13" s="99">
        <f>I13/10</f>
        <v>0.12493873660829999</v>
      </c>
      <c r="L13" s="40">
        <f>I13+((J13+K13)/3)</f>
        <v>1.249387366083</v>
      </c>
      <c r="M13" s="401">
        <f>(J13^2+K13^2-(K13*J13))/18</f>
        <v>0.0026016146508796934</v>
      </c>
      <c r="N13" s="41"/>
      <c r="O13" s="41"/>
      <c r="P13" s="41"/>
      <c r="Q13" s="155" t="s">
        <v>36</v>
      </c>
      <c r="R13" s="24" t="s">
        <v>40</v>
      </c>
      <c r="S13" s="319"/>
      <c r="T13" s="309" t="s">
        <v>267</v>
      </c>
      <c r="U13" s="312" t="s">
        <v>290</v>
      </c>
      <c r="V13" s="313" t="s">
        <v>324</v>
      </c>
      <c r="W13"/>
      <c r="X13"/>
      <c r="Y13"/>
      <c r="Z13"/>
      <c r="AA13"/>
    </row>
    <row r="14" spans="1:27" s="2" customFormat="1" ht="13.5" thickBot="1">
      <c r="A14" s="138" t="s">
        <v>41</v>
      </c>
      <c r="B14" s="139"/>
      <c r="C14" s="139"/>
      <c r="D14" s="140"/>
      <c r="E14" s="15" t="s">
        <v>27</v>
      </c>
      <c r="F14" s="158">
        <v>0.5</v>
      </c>
      <c r="G14" s="158">
        <v>0.5</v>
      </c>
      <c r="H14" s="538" t="str">
        <f>IF(J14=-K14,CONCATENATE("±",TEXT(ABS(J14),"0.0##")),CONCATENATE(TEXT(J14,"+0.0##;-0.0##"),"/",TEXT(K14,"+0.0##;-0.0##")))</f>
        <v>±0.5</v>
      </c>
      <c r="I14" s="52">
        <v>0.5</v>
      </c>
      <c r="J14" s="26">
        <v>-0.5</v>
      </c>
      <c r="K14" s="26">
        <v>0.5</v>
      </c>
      <c r="L14" s="20">
        <f>I14+((J14+K14)/2)</f>
        <v>0.5</v>
      </c>
      <c r="M14" s="53">
        <f>((J14-K14)^2)/12</f>
        <v>0.08333333333333333</v>
      </c>
      <c r="N14" s="20"/>
      <c r="O14" s="20"/>
      <c r="P14" s="20"/>
      <c r="Q14" s="20" t="s">
        <v>39</v>
      </c>
      <c r="R14" s="24"/>
      <c r="S14" s="334"/>
      <c r="T14" s="314" t="s">
        <v>268</v>
      </c>
      <c r="U14" s="315" t="s">
        <v>291</v>
      </c>
      <c r="V14" s="316" t="s">
        <v>324</v>
      </c>
      <c r="W14"/>
      <c r="X14"/>
      <c r="Y14"/>
      <c r="Z14"/>
      <c r="AA14"/>
    </row>
    <row r="15" spans="1:27" s="341" customFormat="1" ht="13.5" thickBot="1">
      <c r="A15" s="103" t="s">
        <v>42</v>
      </c>
      <c r="B15" s="103"/>
      <c r="C15" s="103"/>
      <c r="D15" s="103"/>
      <c r="E15" s="13"/>
      <c r="F15" s="145"/>
      <c r="G15" s="145"/>
      <c r="H15" s="13"/>
      <c r="I15" s="13"/>
      <c r="J15" s="28"/>
      <c r="K15" s="28"/>
      <c r="L15" s="13"/>
      <c r="M15" s="353"/>
      <c r="N15" s="13"/>
      <c r="O15" s="13"/>
      <c r="P15" s="13"/>
      <c r="Q15" s="13"/>
      <c r="R15" s="348"/>
      <c r="S15" s="119"/>
      <c r="T15" s="119"/>
      <c r="U15" s="119"/>
      <c r="V15" s="119"/>
      <c r="W15" s="119"/>
      <c r="X15" s="119"/>
      <c r="Y15" s="119"/>
      <c r="Z15" s="119"/>
      <c r="AA15" s="119"/>
    </row>
    <row r="16" spans="1:27" s="2" customFormat="1" ht="12.75">
      <c r="A16" s="127"/>
      <c r="B16" s="128" t="s">
        <v>43</v>
      </c>
      <c r="C16" s="128"/>
      <c r="D16" s="115"/>
      <c r="E16" s="15" t="s">
        <v>44</v>
      </c>
      <c r="F16" s="158"/>
      <c r="G16" s="158">
        <v>41126.8</v>
      </c>
      <c r="H16" s="17"/>
      <c r="I16" s="523">
        <v>41126.8</v>
      </c>
      <c r="J16" s="27">
        <v>40037.8</v>
      </c>
      <c r="K16" s="27">
        <v>41392</v>
      </c>
      <c r="L16" s="18"/>
      <c r="M16" s="351"/>
      <c r="N16" s="18"/>
      <c r="O16" s="18"/>
      <c r="P16" s="18"/>
      <c r="Q16" s="18"/>
      <c r="R16" s="137" t="s">
        <v>304</v>
      </c>
      <c r="S16" s="332"/>
      <c r="T16" s="306" t="s">
        <v>276</v>
      </c>
      <c r="U16" s="317"/>
      <c r="V16" s="308"/>
      <c r="W16"/>
      <c r="X16"/>
      <c r="Y16"/>
      <c r="Z16"/>
      <c r="AA16"/>
    </row>
    <row r="17" spans="1:27" s="2" customFormat="1" ht="12.75">
      <c r="A17" s="116" t="s">
        <v>45</v>
      </c>
      <c r="B17" s="106"/>
      <c r="C17" s="106"/>
      <c r="D17" s="104"/>
      <c r="E17" s="20" t="s">
        <v>27</v>
      </c>
      <c r="F17" s="159">
        <v>191</v>
      </c>
      <c r="G17" s="159">
        <f>(20*LOG(G7*1000000)+20*LOG(4*PI()*G16*1000)-20*LOG(300000000))</f>
        <v>190.8951320052605</v>
      </c>
      <c r="H17" s="30"/>
      <c r="I17" s="160">
        <f>(20*LOG($I$7*1000000)+20*LOG(4*PI()*I16*1000)-20*LOG(300000000))</f>
        <v>190.8951320052605</v>
      </c>
      <c r="J17" s="44">
        <f>(20*LOG($I$7*1000000)+20*LOG(4*PI()*J16*1000)-20*LOG(300000000))-I17</f>
        <v>-0.23309426716758708</v>
      </c>
      <c r="K17" s="84">
        <f>(20*LOG($I$7*1000000)+20*LOG(4*PI()*K16*1000)-20*LOG(300000000))-I17</f>
        <v>0.055829843931235246</v>
      </c>
      <c r="L17" s="20">
        <f>I17+((J17+K17)/3)</f>
        <v>190.83604386418173</v>
      </c>
      <c r="M17" s="401">
        <f>(J17^2+K17^2-(K17*J17))/18</f>
        <v>0.003914640300945144</v>
      </c>
      <c r="N17" s="20">
        <f>10*LOG(1/(1/((10^(L17/10))*(L10*1000000))))</f>
        <v>269.2870242643243</v>
      </c>
      <c r="O17" s="20">
        <f>10^(-N17/10)</f>
        <v>1.1784131320414455E-27</v>
      </c>
      <c r="P17" s="20">
        <f>O17*SQRT(M17)</f>
        <v>7.372987625072267E-29</v>
      </c>
      <c r="Q17" s="155" t="s">
        <v>36</v>
      </c>
      <c r="R17" s="24" t="s">
        <v>46</v>
      </c>
      <c r="S17" s="296" t="s">
        <v>256</v>
      </c>
      <c r="T17" s="311"/>
      <c r="U17" s="312" t="s">
        <v>290</v>
      </c>
      <c r="V17" s="313" t="s">
        <v>324</v>
      </c>
      <c r="W17"/>
      <c r="X17"/>
      <c r="Y17"/>
      <c r="Z17"/>
      <c r="AA17"/>
    </row>
    <row r="18" spans="1:27" s="2" customFormat="1" ht="13.5" thickBot="1">
      <c r="A18" s="138" t="s">
        <v>47</v>
      </c>
      <c r="B18" s="139"/>
      <c r="C18" s="139"/>
      <c r="D18" s="140"/>
      <c r="E18" s="20" t="s">
        <v>27</v>
      </c>
      <c r="F18" s="149">
        <v>0</v>
      </c>
      <c r="G18" s="149">
        <v>0.36</v>
      </c>
      <c r="H18" s="22" t="s">
        <v>244</v>
      </c>
      <c r="I18" s="525">
        <v>0.36</v>
      </c>
      <c r="J18" s="26">
        <f>0.14-0.36</f>
        <v>-0.21999999999999997</v>
      </c>
      <c r="K18" s="26">
        <f>1.83-0.36</f>
        <v>1.4700000000000002</v>
      </c>
      <c r="L18" s="20">
        <f>I18+((J18+K18)/2)</f>
        <v>0.9850000000000001</v>
      </c>
      <c r="M18" s="53">
        <f>((J18-K18)^2)/36</f>
        <v>0.07933611111111112</v>
      </c>
      <c r="N18" s="20"/>
      <c r="O18" s="20"/>
      <c r="P18" s="20"/>
      <c r="Q18" s="20" t="s">
        <v>32</v>
      </c>
      <c r="R18" s="216" t="s">
        <v>48</v>
      </c>
      <c r="S18" s="334"/>
      <c r="T18" s="316" t="s">
        <v>301</v>
      </c>
      <c r="U18" s="315" t="s">
        <v>292</v>
      </c>
      <c r="V18" s="316" t="s">
        <v>324</v>
      </c>
      <c r="W18"/>
      <c r="X18"/>
      <c r="Y18"/>
      <c r="Z18"/>
      <c r="AA18"/>
    </row>
    <row r="19" spans="1:27" s="341" customFormat="1" ht="13.5" thickBot="1">
      <c r="A19" s="103" t="s">
        <v>49</v>
      </c>
      <c r="B19" s="103"/>
      <c r="C19" s="103"/>
      <c r="D19" s="103"/>
      <c r="E19" s="13"/>
      <c r="F19" s="145"/>
      <c r="G19" s="145"/>
      <c r="H19" s="13"/>
      <c r="I19" s="13"/>
      <c r="J19" s="13"/>
      <c r="K19" s="13"/>
      <c r="L19" s="13"/>
      <c r="M19" s="353"/>
      <c r="N19" s="13"/>
      <c r="O19" s="13"/>
      <c r="P19" s="13"/>
      <c r="Q19" s="13"/>
      <c r="R19" s="348"/>
      <c r="S19" s="119"/>
      <c r="T19" s="119"/>
      <c r="U19" s="119"/>
      <c r="V19" s="119"/>
      <c r="W19" s="119"/>
      <c r="X19" s="119"/>
      <c r="Y19" s="119"/>
      <c r="Z19" s="119"/>
      <c r="AA19" s="119"/>
    </row>
    <row r="20" spans="1:27" s="2" customFormat="1" ht="12.75">
      <c r="A20" s="116"/>
      <c r="B20" s="106" t="s">
        <v>22</v>
      </c>
      <c r="C20" s="106"/>
      <c r="D20" s="104"/>
      <c r="E20" s="36" t="s">
        <v>23</v>
      </c>
      <c r="F20" s="155" t="s">
        <v>24</v>
      </c>
      <c r="G20" s="155" t="s">
        <v>24</v>
      </c>
      <c r="H20" s="22"/>
      <c r="I20" s="52" t="str">
        <f>G20</f>
        <v>linear</v>
      </c>
      <c r="J20" s="23"/>
      <c r="K20" s="23"/>
      <c r="L20" s="23"/>
      <c r="M20" s="352"/>
      <c r="N20" s="23"/>
      <c r="O20" s="23"/>
      <c r="P20" s="23"/>
      <c r="Q20" s="23"/>
      <c r="R20" s="137" t="s">
        <v>25</v>
      </c>
      <c r="S20" s="332"/>
      <c r="T20" s="306" t="s">
        <v>267</v>
      </c>
      <c r="U20" s="307"/>
      <c r="V20" s="308"/>
      <c r="W20"/>
      <c r="X20"/>
      <c r="Y20"/>
      <c r="Z20"/>
      <c r="AA20"/>
    </row>
    <row r="21" spans="1:27" s="2" customFormat="1" ht="12.75">
      <c r="A21" s="116"/>
      <c r="B21" s="106" t="s">
        <v>26</v>
      </c>
      <c r="C21" s="106"/>
      <c r="D21" s="104"/>
      <c r="E21" s="36" t="s">
        <v>27</v>
      </c>
      <c r="F21" s="155" t="s">
        <v>28</v>
      </c>
      <c r="G21" s="155" t="s">
        <v>28</v>
      </c>
      <c r="H21" s="22"/>
      <c r="I21" s="52" t="str">
        <f>G21</f>
        <v> --</v>
      </c>
      <c r="J21" s="23"/>
      <c r="K21" s="23"/>
      <c r="L21" s="23"/>
      <c r="M21" s="352"/>
      <c r="N21" s="23"/>
      <c r="O21" s="23"/>
      <c r="P21" s="23"/>
      <c r="Q21" s="23"/>
      <c r="R21" s="24" t="s">
        <v>29</v>
      </c>
      <c r="S21" s="319"/>
      <c r="T21" s="309" t="s">
        <v>267</v>
      </c>
      <c r="U21" s="310"/>
      <c r="V21" s="311"/>
      <c r="W21"/>
      <c r="X21"/>
      <c r="Y21"/>
      <c r="Z21"/>
      <c r="AA21"/>
    </row>
    <row r="22" spans="1:27" s="2" customFormat="1" ht="12.75">
      <c r="A22" s="116" t="s">
        <v>50</v>
      </c>
      <c r="B22" s="106"/>
      <c r="C22" s="106"/>
      <c r="D22" s="104"/>
      <c r="E22" s="36" t="s">
        <v>27</v>
      </c>
      <c r="F22" s="155">
        <v>0.2</v>
      </c>
      <c r="G22" s="155">
        <v>0.2</v>
      </c>
      <c r="H22" s="538" t="str">
        <f>IF(J22=-K22,CONCATENATE("±",TEXT(ABS(J22),"0.0##")),CONCATENATE(TEXT(J22,"+0.0##;-0.0##"),"/",TEXT(K22,"+0.0##;-0.0##")))</f>
        <v>±0.2</v>
      </c>
      <c r="I22" s="52">
        <v>0.2</v>
      </c>
      <c r="J22" s="26">
        <v>-0.2</v>
      </c>
      <c r="K22" s="26">
        <v>0.2</v>
      </c>
      <c r="L22" s="20">
        <f>I22+((J22+K22)/2)</f>
        <v>0.2</v>
      </c>
      <c r="M22" s="53">
        <f>((J22-K22)^2)/12</f>
        <v>0.013333333333333336</v>
      </c>
      <c r="N22" s="20"/>
      <c r="O22" s="20"/>
      <c r="P22" s="20"/>
      <c r="Q22" s="20" t="s">
        <v>39</v>
      </c>
      <c r="R22" s="24" t="s">
        <v>51</v>
      </c>
      <c r="S22" s="319"/>
      <c r="T22" s="311"/>
      <c r="U22" s="312" t="s">
        <v>291</v>
      </c>
      <c r="V22" s="313" t="s">
        <v>324</v>
      </c>
      <c r="W22"/>
      <c r="X22"/>
      <c r="Y22"/>
      <c r="Z22"/>
      <c r="AA22"/>
    </row>
    <row r="23" spans="1:27" s="2" customFormat="1" ht="12.75">
      <c r="A23" s="116" t="s">
        <v>52</v>
      </c>
      <c r="B23" s="106"/>
      <c r="C23" s="106"/>
      <c r="D23" s="104"/>
      <c r="E23" s="36" t="s">
        <v>35</v>
      </c>
      <c r="F23" s="234" t="s">
        <v>53</v>
      </c>
      <c r="G23" s="233" t="s">
        <v>171</v>
      </c>
      <c r="H23" s="30"/>
      <c r="I23" s="269" t="s">
        <v>171</v>
      </c>
      <c r="J23" s="38"/>
      <c r="K23" s="38"/>
      <c r="L23" s="38"/>
      <c r="M23" s="352"/>
      <c r="N23" s="38"/>
      <c r="O23" s="38"/>
      <c r="P23" s="38"/>
      <c r="Q23" s="38"/>
      <c r="R23" s="24"/>
      <c r="S23" s="319"/>
      <c r="T23" s="309" t="s">
        <v>269</v>
      </c>
      <c r="U23" s="318"/>
      <c r="V23" s="311"/>
      <c r="W23"/>
      <c r="X23"/>
      <c r="Y23"/>
      <c r="Z23"/>
      <c r="AA23"/>
    </row>
    <row r="24" spans="1:27" s="2" customFormat="1" ht="12.75">
      <c r="A24" s="116" t="s">
        <v>54</v>
      </c>
      <c r="B24" s="106"/>
      <c r="C24" s="106"/>
      <c r="D24" s="104"/>
      <c r="E24" s="235" t="s">
        <v>35</v>
      </c>
      <c r="F24" s="236">
        <f>F12-F13-F14-F17-F18-F22</f>
        <v>-107.249387366083</v>
      </c>
      <c r="G24" s="236">
        <f>G12-G13-G14-G17-G18-G22</f>
        <v>-116.5045193713435</v>
      </c>
      <c r="H24" s="55"/>
      <c r="I24" s="237">
        <f>I12-I13-I14-I17-I18-I22</f>
        <v>-114.70451937134351</v>
      </c>
      <c r="J24" s="238"/>
      <c r="K24" s="33"/>
      <c r="L24" s="34">
        <f>L12-L13-L14-L17-L18-L22</f>
        <v>-115.27043123026473</v>
      </c>
      <c r="M24" s="356">
        <f>M12+M13+M14+M17+M18+M22</f>
        <v>0.22418569939626928</v>
      </c>
      <c r="N24" s="34"/>
      <c r="O24" s="34"/>
      <c r="P24" s="34"/>
      <c r="Q24" s="35" t="s">
        <v>32</v>
      </c>
      <c r="R24" s="24"/>
      <c r="S24" s="297" t="s">
        <v>249</v>
      </c>
      <c r="T24" s="311"/>
      <c r="U24" s="298" t="s">
        <v>293</v>
      </c>
      <c r="V24" s="313" t="s">
        <v>302</v>
      </c>
      <c r="W24"/>
      <c r="X24"/>
      <c r="Y24"/>
      <c r="Z24"/>
      <c r="AA24"/>
    </row>
    <row r="25" spans="1:27" s="2" customFormat="1" ht="12.75">
      <c r="A25" s="116"/>
      <c r="B25" s="106" t="s">
        <v>55</v>
      </c>
      <c r="C25" s="106"/>
      <c r="D25" s="104"/>
      <c r="E25" s="36" t="s">
        <v>56</v>
      </c>
      <c r="F25" s="155">
        <v>11</v>
      </c>
      <c r="G25" s="151">
        <v>13.5</v>
      </c>
      <c r="H25" s="538" t="str">
        <f>IF(J25=-K25,CONCATENATE("±",TEXT(ABS(J25),"0.0##")),CONCATENATE(TEXT(J25,"+0.0##;-0.0##"),"/",TEXT(K25,"+0.0##;-0.0##")))</f>
        <v>±0.1</v>
      </c>
      <c r="I25" s="52">
        <f>G25+J25</f>
        <v>13.6</v>
      </c>
      <c r="J25" s="26">
        <v>0.1</v>
      </c>
      <c r="K25" s="26">
        <v>-0.1</v>
      </c>
      <c r="L25" s="20">
        <f>I25+((J25+K25)/3)</f>
        <v>13.6</v>
      </c>
      <c r="M25" s="401">
        <f>(J25^2+K25^2-(K25*J25))/18</f>
        <v>0.001666666666666667</v>
      </c>
      <c r="N25" s="20"/>
      <c r="O25" s="20"/>
      <c r="P25" s="20"/>
      <c r="Q25" s="155" t="s">
        <v>36</v>
      </c>
      <c r="R25" s="24" t="s">
        <v>57</v>
      </c>
      <c r="S25" s="319"/>
      <c r="T25" s="313" t="s">
        <v>272</v>
      </c>
      <c r="U25" s="312" t="s">
        <v>290</v>
      </c>
      <c r="V25" s="313" t="s">
        <v>324</v>
      </c>
      <c r="W25"/>
      <c r="X25"/>
      <c r="Y25"/>
      <c r="Z25"/>
      <c r="AA25"/>
    </row>
    <row r="26" spans="1:27" s="2" customFormat="1" ht="12.75">
      <c r="A26" s="116"/>
      <c r="B26" s="106" t="s">
        <v>58</v>
      </c>
      <c r="C26" s="106"/>
      <c r="D26" s="104"/>
      <c r="E26" s="36" t="s">
        <v>27</v>
      </c>
      <c r="F26" s="155">
        <v>1.8</v>
      </c>
      <c r="G26" s="151">
        <v>0.35</v>
      </c>
      <c r="H26" s="538" t="str">
        <f>IF(J26=-K26,CONCATENATE("±",TEXT(ABS(J26),"0.0##")),CONCATENATE(TEXT(J26,"+0.0##;-0.0##"),"/",TEXT(K26,"+0.0##;-0.0##")))</f>
        <v>±0.05</v>
      </c>
      <c r="I26" s="52">
        <f>G26+J26</f>
        <v>0.3</v>
      </c>
      <c r="J26" s="26">
        <v>-0.05</v>
      </c>
      <c r="K26" s="26">
        <v>0.05</v>
      </c>
      <c r="L26" s="40">
        <f>I26+((J26+K26)/3)</f>
        <v>0.3</v>
      </c>
      <c r="M26" s="53">
        <f>(J26^2+K26^2-(K26*J26))/18</f>
        <v>0.00041666666666666675</v>
      </c>
      <c r="N26" s="41"/>
      <c r="O26" s="41"/>
      <c r="P26" s="41"/>
      <c r="Q26" s="20" t="s">
        <v>36</v>
      </c>
      <c r="R26" s="24" t="s">
        <v>59</v>
      </c>
      <c r="S26" s="319"/>
      <c r="T26" s="313" t="s">
        <v>279</v>
      </c>
      <c r="U26" s="312" t="s">
        <v>290</v>
      </c>
      <c r="V26" s="313" t="s">
        <v>324</v>
      </c>
      <c r="W26"/>
      <c r="X26"/>
      <c r="Y26"/>
      <c r="Z26"/>
      <c r="AA26"/>
    </row>
    <row r="27" spans="1:27" s="2" customFormat="1" ht="12.75">
      <c r="A27" s="116"/>
      <c r="B27" s="106"/>
      <c r="C27" s="106" t="s">
        <v>60</v>
      </c>
      <c r="D27" s="104"/>
      <c r="E27" s="20" t="s">
        <v>61</v>
      </c>
      <c r="F27" s="159">
        <f>F24+F25-F26</f>
        <v>-98.049387366083</v>
      </c>
      <c r="G27" s="159">
        <f>G24+G25-G26</f>
        <v>-103.3545193713435</v>
      </c>
      <c r="H27" s="25"/>
      <c r="I27" s="37"/>
      <c r="J27" s="38"/>
      <c r="K27" s="38"/>
      <c r="L27" s="38"/>
      <c r="M27" s="352"/>
      <c r="N27" s="38"/>
      <c r="O27" s="38"/>
      <c r="P27" s="38"/>
      <c r="Q27" s="38"/>
      <c r="R27" s="24" t="s">
        <v>62</v>
      </c>
      <c r="S27" s="319"/>
      <c r="T27" s="311"/>
      <c r="U27" s="318"/>
      <c r="V27" s="311"/>
      <c r="W27"/>
      <c r="X27"/>
      <c r="Y27"/>
      <c r="Z27"/>
      <c r="AA27"/>
    </row>
    <row r="28" spans="1:27" s="2" customFormat="1" ht="12.75">
      <c r="A28" s="116"/>
      <c r="B28" s="106"/>
      <c r="C28" s="106" t="s">
        <v>63</v>
      </c>
      <c r="D28" s="104"/>
      <c r="E28" s="36" t="s">
        <v>64</v>
      </c>
      <c r="F28" s="155" t="s">
        <v>65</v>
      </c>
      <c r="G28" s="155">
        <v>150</v>
      </c>
      <c r="H28" s="22"/>
      <c r="I28" s="52">
        <v>150</v>
      </c>
      <c r="J28" s="26">
        <v>-5</v>
      </c>
      <c r="K28" s="26">
        <v>5</v>
      </c>
      <c r="L28" s="23"/>
      <c r="M28" s="352"/>
      <c r="N28" s="23"/>
      <c r="O28" s="23"/>
      <c r="P28" s="23"/>
      <c r="Q28" s="23"/>
      <c r="R28" s="24" t="s">
        <v>66</v>
      </c>
      <c r="S28" s="319"/>
      <c r="T28" s="313" t="s">
        <v>338</v>
      </c>
      <c r="U28" s="310"/>
      <c r="V28" s="311"/>
      <c r="W28"/>
      <c r="X28"/>
      <c r="Y28"/>
      <c r="Z28"/>
      <c r="AA28"/>
    </row>
    <row r="29" spans="1:27" s="2" customFormat="1" ht="12.75">
      <c r="A29" s="116"/>
      <c r="B29" s="106"/>
      <c r="C29" s="106"/>
      <c r="D29" s="104" t="s">
        <v>67</v>
      </c>
      <c r="E29" s="36" t="s">
        <v>27</v>
      </c>
      <c r="F29" s="155" t="s">
        <v>65</v>
      </c>
      <c r="G29" s="151">
        <v>4.61</v>
      </c>
      <c r="H29" s="538" t="str">
        <f>IF(J29=-K29,CONCATENATE("±",TEXT(ABS(J29),"0.0##")),CONCATENATE(TEXT(J29,"+0.0##;-0.0##"),"/",TEXT(K29,"+0.0##;-0.0##")))</f>
        <v>±1.03</v>
      </c>
      <c r="I29" s="525">
        <f>G29+J29</f>
        <v>3.58</v>
      </c>
      <c r="J29" s="26">
        <v>-1.03</v>
      </c>
      <c r="K29" s="26">
        <f>-J29</f>
        <v>1.03</v>
      </c>
      <c r="L29" s="23"/>
      <c r="M29" s="352"/>
      <c r="N29" s="23"/>
      <c r="O29" s="23"/>
      <c r="P29" s="23"/>
      <c r="Q29" s="23"/>
      <c r="R29" s="24" t="s">
        <v>69</v>
      </c>
      <c r="S29" s="319"/>
      <c r="T29" s="313" t="s">
        <v>279</v>
      </c>
      <c r="U29" s="310"/>
      <c r="V29" s="311"/>
      <c r="W29"/>
      <c r="X29"/>
      <c r="Y29"/>
      <c r="Z29"/>
      <c r="AA29"/>
    </row>
    <row r="30" spans="1:27" s="2" customFormat="1" ht="12.75">
      <c r="A30" s="116"/>
      <c r="B30" s="106"/>
      <c r="C30" s="106"/>
      <c r="D30" s="104" t="s">
        <v>70</v>
      </c>
      <c r="E30" s="36" t="s">
        <v>27</v>
      </c>
      <c r="F30" s="155" t="s">
        <v>65</v>
      </c>
      <c r="G30" s="155">
        <v>0.2</v>
      </c>
      <c r="H30" s="25" t="s">
        <v>68</v>
      </c>
      <c r="I30" s="525">
        <v>0.2</v>
      </c>
      <c r="J30" s="26">
        <v>0</v>
      </c>
      <c r="K30" s="26">
        <v>0</v>
      </c>
      <c r="L30" s="23"/>
      <c r="M30" s="352"/>
      <c r="N30" s="23"/>
      <c r="O30" s="23"/>
      <c r="P30" s="23"/>
      <c r="Q30" s="23"/>
      <c r="R30" s="24" t="s">
        <v>69</v>
      </c>
      <c r="S30" s="319"/>
      <c r="T30" s="313" t="s">
        <v>273</v>
      </c>
      <c r="U30" s="310"/>
      <c r="V30" s="311"/>
      <c r="W30"/>
      <c r="X30"/>
      <c r="Y30"/>
      <c r="Z30"/>
      <c r="AA30"/>
    </row>
    <row r="31" spans="1:27" s="2" customFormat="1" ht="12.75">
      <c r="A31" s="116"/>
      <c r="B31" s="106"/>
      <c r="C31" s="106" t="s">
        <v>71</v>
      </c>
      <c r="D31" s="104"/>
      <c r="E31" s="36" t="s">
        <v>64</v>
      </c>
      <c r="F31" s="44" t="s">
        <v>65</v>
      </c>
      <c r="G31" s="44">
        <f>290*(10^((G29+G30)*0.1)-1)</f>
        <v>587.8048941493788</v>
      </c>
      <c r="H31" s="22"/>
      <c r="I31" s="43">
        <f>290*(10^((I29+I30)/10)-1)</f>
        <v>402.4652720448216</v>
      </c>
      <c r="J31" s="44">
        <f>(290*(10^((I29+J29+I30+J30)*0.1)-1))-I31</f>
        <v>-146.20703609277933</v>
      </c>
      <c r="K31" s="44">
        <f>(290*(10^((I29+K29+I30+K30)*0.1)-1))-I31</f>
        <v>185.33962210455724</v>
      </c>
      <c r="L31" s="23"/>
      <c r="M31" s="352"/>
      <c r="N31" s="23"/>
      <c r="O31" s="23"/>
      <c r="P31" s="23"/>
      <c r="Q31" s="23"/>
      <c r="R31" s="24" t="s">
        <v>72</v>
      </c>
      <c r="S31" s="297" t="s">
        <v>250</v>
      </c>
      <c r="T31" s="311"/>
      <c r="U31" s="310"/>
      <c r="V31" s="311"/>
      <c r="W31"/>
      <c r="X31"/>
      <c r="Y31"/>
      <c r="Z31"/>
      <c r="AA31"/>
    </row>
    <row r="32" spans="1:27" s="2" customFormat="1" ht="12.75">
      <c r="A32" s="116"/>
      <c r="B32" s="106" t="s">
        <v>73</v>
      </c>
      <c r="C32" s="106"/>
      <c r="D32" s="104"/>
      <c r="E32" s="36" t="s">
        <v>74</v>
      </c>
      <c r="F32" s="44" t="s">
        <v>65</v>
      </c>
      <c r="G32" s="44">
        <f>10*LOG(G28+G31)</f>
        <v>28.67941531746056</v>
      </c>
      <c r="H32" s="22"/>
      <c r="I32" s="43">
        <f>10*LOG(I28+I31)</f>
        <v>27.42304983473304</v>
      </c>
      <c r="J32" s="44">
        <f>(10*LOG(I28+J28+I31+J31))-I32</f>
        <v>-1.388810239374667</v>
      </c>
      <c r="K32" s="44">
        <f>(10*LOG(I28+K28+I31+K31))-I32</f>
        <v>1.2856977305791055</v>
      </c>
      <c r="L32" s="40">
        <f>I32+((J32+K32)/2)</f>
        <v>27.371493580335258</v>
      </c>
      <c r="M32" s="53">
        <f>((J32-K32)^2)/36</f>
        <v>0.1986942467040625</v>
      </c>
      <c r="N32" s="41"/>
      <c r="O32" s="41"/>
      <c r="P32" s="41"/>
      <c r="Q32" s="20" t="s">
        <v>32</v>
      </c>
      <c r="R32" s="24" t="s">
        <v>75</v>
      </c>
      <c r="S32" s="297" t="s">
        <v>251</v>
      </c>
      <c r="T32" s="311"/>
      <c r="U32" s="312" t="s">
        <v>292</v>
      </c>
      <c r="V32" s="313" t="s">
        <v>324</v>
      </c>
      <c r="W32"/>
      <c r="X32"/>
      <c r="Y32"/>
      <c r="Z32"/>
      <c r="AA32"/>
    </row>
    <row r="33" spans="1:27" s="2" customFormat="1" ht="12.75">
      <c r="A33" s="116" t="s">
        <v>76</v>
      </c>
      <c r="B33" s="106"/>
      <c r="C33" s="106"/>
      <c r="D33" s="104"/>
      <c r="E33" s="36" t="s">
        <v>77</v>
      </c>
      <c r="F33" s="161">
        <v>-18.4</v>
      </c>
      <c r="G33" s="161">
        <f>G25-G26-G32</f>
        <v>-15.52941531746056</v>
      </c>
      <c r="H33" s="22"/>
      <c r="I33" s="43">
        <f>I25-I26-I32</f>
        <v>-14.12304983473304</v>
      </c>
      <c r="J33" s="23"/>
      <c r="K33" s="23"/>
      <c r="L33" s="44">
        <f>L25-L26-L32</f>
        <v>-14.07149358033526</v>
      </c>
      <c r="M33" s="355">
        <f>M25+M26+M32</f>
        <v>0.20077758003739582</v>
      </c>
      <c r="N33" s="44"/>
      <c r="O33" s="44"/>
      <c r="P33" s="44"/>
      <c r="Q33" s="26" t="s">
        <v>32</v>
      </c>
      <c r="R33" s="24"/>
      <c r="S33" s="297" t="s">
        <v>252</v>
      </c>
      <c r="T33" s="311"/>
      <c r="U33" s="298" t="s">
        <v>294</v>
      </c>
      <c r="V33" s="313" t="s">
        <v>302</v>
      </c>
      <c r="W33"/>
      <c r="X33"/>
      <c r="Y33"/>
      <c r="Z33"/>
      <c r="AA33"/>
    </row>
    <row r="34" spans="1:27" s="2" customFormat="1" ht="12.75">
      <c r="A34" s="116" t="s">
        <v>78</v>
      </c>
      <c r="B34" s="106"/>
      <c r="C34" s="106"/>
      <c r="D34" s="104"/>
      <c r="E34" s="36" t="s">
        <v>79</v>
      </c>
      <c r="F34" s="164">
        <v>-198.6</v>
      </c>
      <c r="G34" s="164">
        <v>-198.6</v>
      </c>
      <c r="H34" s="22"/>
      <c r="I34" s="52">
        <v>-198.6</v>
      </c>
      <c r="J34" s="23"/>
      <c r="K34" s="23"/>
      <c r="L34" s="20">
        <f>I34</f>
        <v>-198.6</v>
      </c>
      <c r="M34" s="53">
        <v>0</v>
      </c>
      <c r="N34" s="20"/>
      <c r="O34" s="20"/>
      <c r="P34" s="20"/>
      <c r="Q34" s="20" t="s">
        <v>80</v>
      </c>
      <c r="R34" s="24" t="s">
        <v>81</v>
      </c>
      <c r="S34" s="319"/>
      <c r="T34" s="311"/>
      <c r="U34" s="330" t="s">
        <v>303</v>
      </c>
      <c r="V34" s="313" t="s">
        <v>302</v>
      </c>
      <c r="W34"/>
      <c r="X34"/>
      <c r="Y34"/>
      <c r="Z34"/>
      <c r="AA34"/>
    </row>
    <row r="35" spans="1:27" s="2" customFormat="1" ht="12.75">
      <c r="A35" s="116" t="s">
        <v>82</v>
      </c>
      <c r="B35" s="106"/>
      <c r="C35" s="106"/>
      <c r="D35" s="104"/>
      <c r="E35" s="36" t="s">
        <v>83</v>
      </c>
      <c r="F35" s="44">
        <f>F24+F33-F34</f>
        <v>72.95061263391699</v>
      </c>
      <c r="G35" s="44">
        <f>G24+G33-G34</f>
        <v>66.56606531119593</v>
      </c>
      <c r="H35" s="22"/>
      <c r="I35" s="43">
        <f>I24+I33-I34</f>
        <v>69.77243079392343</v>
      </c>
      <c r="J35" s="23"/>
      <c r="K35" s="23"/>
      <c r="L35" s="44">
        <f>L24+L33-L34</f>
        <v>69.25807518939999</v>
      </c>
      <c r="M35" s="355">
        <f>M24+M33+M34</f>
        <v>0.4249632794336651</v>
      </c>
      <c r="N35" s="47"/>
      <c r="O35" s="20">
        <f>10^(-L35/10)</f>
        <v>1.1862944021198419E-07</v>
      </c>
      <c r="P35" s="20">
        <f>O35*SQRT(M35)</f>
        <v>7.733359211656931E-08</v>
      </c>
      <c r="Q35" s="26" t="s">
        <v>32</v>
      </c>
      <c r="R35" s="24"/>
      <c r="S35" s="297" t="s">
        <v>331</v>
      </c>
      <c r="T35" s="311"/>
      <c r="U35" s="298" t="s">
        <v>295</v>
      </c>
      <c r="V35" s="313" t="s">
        <v>302</v>
      </c>
      <c r="W35"/>
      <c r="X35"/>
      <c r="Y35"/>
      <c r="Z35"/>
      <c r="AA35"/>
    </row>
    <row r="36" spans="1:27" s="2" customFormat="1" ht="13.5" thickBot="1">
      <c r="A36" s="138" t="s">
        <v>84</v>
      </c>
      <c r="B36" s="139"/>
      <c r="C36" s="139"/>
      <c r="D36" s="140"/>
      <c r="E36" s="31" t="s">
        <v>83</v>
      </c>
      <c r="F36" s="165">
        <f>F35</f>
        <v>72.95061263391699</v>
      </c>
      <c r="G36" s="165">
        <f>10*LOG(1/(1/((10^(G10/10))*(G5*1000000))+1/((10^(G11/10))*(G5*1000000))+1/(10^(G35/10))))</f>
        <v>66.52684973649787</v>
      </c>
      <c r="H36" s="142"/>
      <c r="I36" s="166">
        <f>10*LOG(1/(1/((10^(I10/10))*(I5*1000000))+1/((10^(I11/10))*(I5*1000000))+1/(10^(I35/10))))</f>
        <v>69.69077850279955</v>
      </c>
      <c r="J36" s="18"/>
      <c r="K36" s="18"/>
      <c r="L36" s="165">
        <f>10*LOG(1/(1/((10^(L10/10))*(L5*1000000))+1/((10^(L11/10))*(L5*1000000))+1/(10^(L35/10))))</f>
        <v>69.1854668754185</v>
      </c>
      <c r="M36" s="402">
        <f>(P36/O36)^2</f>
        <v>0.41533928438904605</v>
      </c>
      <c r="N36" s="49"/>
      <c r="O36" s="87">
        <f>O10+O11+O35</f>
        <v>1.2062944021198418E-07</v>
      </c>
      <c r="P36" s="87">
        <f>P10+P11+P35</f>
        <v>7.774184040703317E-08</v>
      </c>
      <c r="Q36" s="26" t="s">
        <v>32</v>
      </c>
      <c r="R36" s="216" t="s">
        <v>85</v>
      </c>
      <c r="S36" s="302" t="s">
        <v>253</v>
      </c>
      <c r="T36" s="328"/>
      <c r="U36" s="321" t="s">
        <v>299</v>
      </c>
      <c r="V36" s="316" t="s">
        <v>288</v>
      </c>
      <c r="W36"/>
      <c r="X36"/>
      <c r="Y36"/>
      <c r="Z36"/>
      <c r="AA36"/>
    </row>
    <row r="37" spans="1:27" s="341" customFormat="1" ht="13.5" thickBot="1">
      <c r="A37" s="103" t="s">
        <v>86</v>
      </c>
      <c r="B37" s="103"/>
      <c r="C37" s="103"/>
      <c r="D37" s="103"/>
      <c r="E37" s="13"/>
      <c r="F37" s="145"/>
      <c r="G37" s="145"/>
      <c r="H37" s="13"/>
      <c r="I37" s="13"/>
      <c r="J37" s="13"/>
      <c r="K37" s="13"/>
      <c r="L37" s="13"/>
      <c r="M37" s="353"/>
      <c r="N37" s="13"/>
      <c r="O37" s="13"/>
      <c r="P37" s="13"/>
      <c r="Q37" s="13"/>
      <c r="R37" s="348"/>
      <c r="S37" s="119"/>
      <c r="T37" s="119"/>
      <c r="U37" s="119"/>
      <c r="V37" s="119"/>
      <c r="W37" s="119"/>
      <c r="X37" s="119"/>
      <c r="Y37" s="119"/>
      <c r="Z37" s="119"/>
      <c r="AA37" s="119"/>
    </row>
    <row r="38" spans="1:27" s="2" customFormat="1" ht="12.75">
      <c r="A38" s="127" t="s">
        <v>87</v>
      </c>
      <c r="B38" s="128"/>
      <c r="C38" s="128"/>
      <c r="D38" s="115"/>
      <c r="E38" s="15" t="s">
        <v>19</v>
      </c>
      <c r="F38" s="148">
        <v>468.825</v>
      </c>
      <c r="G38" s="148">
        <v>468.825</v>
      </c>
      <c r="H38" s="17"/>
      <c r="I38" s="523">
        <f>G38</f>
        <v>468.825</v>
      </c>
      <c r="J38" s="18"/>
      <c r="K38" s="18"/>
      <c r="L38" s="18"/>
      <c r="M38" s="351"/>
      <c r="N38" s="18"/>
      <c r="O38" s="18"/>
      <c r="P38" s="18"/>
      <c r="Q38" s="18"/>
      <c r="R38" s="137"/>
      <c r="S38" s="332"/>
      <c r="T38" s="306" t="s">
        <v>266</v>
      </c>
      <c r="U38" s="307"/>
      <c r="V38" s="308"/>
      <c r="W38"/>
      <c r="X38"/>
      <c r="Y38"/>
      <c r="Z38"/>
      <c r="AA38"/>
    </row>
    <row r="39" spans="1:27" s="2" customFormat="1" ht="12.75">
      <c r="A39" s="116"/>
      <c r="B39" s="106"/>
      <c r="C39" s="106" t="s">
        <v>88</v>
      </c>
      <c r="D39" s="104"/>
      <c r="E39" s="20" t="s">
        <v>89</v>
      </c>
      <c r="F39" s="561">
        <v>4.168698346073007</v>
      </c>
      <c r="G39" s="335">
        <f>(10^(G40/10))/1000</f>
        <v>3.689775985701507</v>
      </c>
      <c r="H39" s="22"/>
      <c r="I39" s="524">
        <f>(10^(I40/10))/1000</f>
        <v>4.54988060150049</v>
      </c>
      <c r="J39" s="23"/>
      <c r="K39" s="23"/>
      <c r="L39" s="23"/>
      <c r="M39" s="352"/>
      <c r="N39" s="23"/>
      <c r="O39" s="23"/>
      <c r="P39" s="23"/>
      <c r="Q39" s="23"/>
      <c r="R39" s="24" t="s">
        <v>90</v>
      </c>
      <c r="S39" s="319"/>
      <c r="T39" s="313" t="s">
        <v>270</v>
      </c>
      <c r="U39" s="310"/>
      <c r="V39" s="311"/>
      <c r="W39"/>
      <c r="X39"/>
      <c r="Y39"/>
      <c r="Z39"/>
      <c r="AA39"/>
    </row>
    <row r="40" spans="1:27" s="2" customFormat="1" ht="12.75">
      <c r="A40" s="116"/>
      <c r="B40" s="106" t="s">
        <v>88</v>
      </c>
      <c r="C40" s="106"/>
      <c r="D40" s="104"/>
      <c r="E40" s="20" t="s">
        <v>61</v>
      </c>
      <c r="F40" s="168">
        <f>10*LOG(F39)+30</f>
        <v>36.20000469994191</v>
      </c>
      <c r="G40" s="599">
        <v>35.67</v>
      </c>
      <c r="H40" s="538" t="str">
        <f>IF(J40=-K40,CONCATENATE("±",TEXT(ABS(J40),"0.0##")),CONCATENATE(TEXT(J40,"+0.0##;-0.0##"),"/",TEXT(K40,"+0.0##;-0.0##")))</f>
        <v>±0.91</v>
      </c>
      <c r="I40" s="525">
        <f>G40+J40</f>
        <v>36.58</v>
      </c>
      <c r="J40" s="26">
        <v>0.91</v>
      </c>
      <c r="K40" s="26">
        <v>-0.91</v>
      </c>
      <c r="L40" s="208">
        <f>I40+((J40+K40)/3)</f>
        <v>36.58</v>
      </c>
      <c r="M40" s="53">
        <f>(J40^2+K40^2-(K40*J40))/18</f>
        <v>0.13801666666666668</v>
      </c>
      <c r="N40" s="41"/>
      <c r="O40" s="41"/>
      <c r="P40" s="41"/>
      <c r="Q40" s="20" t="s">
        <v>36</v>
      </c>
      <c r="R40" s="24" t="s">
        <v>91</v>
      </c>
      <c r="S40" s="319"/>
      <c r="T40" s="313" t="s">
        <v>270</v>
      </c>
      <c r="U40" s="312" t="s">
        <v>290</v>
      </c>
      <c r="V40" s="313" t="s">
        <v>324</v>
      </c>
      <c r="W40"/>
      <c r="X40"/>
      <c r="Y40"/>
      <c r="Z40"/>
      <c r="AA40"/>
    </row>
    <row r="41" spans="1:27" s="2" customFormat="1" ht="12.75">
      <c r="A41" s="116"/>
      <c r="B41" s="106" t="s">
        <v>92</v>
      </c>
      <c r="C41" s="106"/>
      <c r="D41" s="104"/>
      <c r="E41" s="20" t="s">
        <v>27</v>
      </c>
      <c r="F41" s="169" t="s">
        <v>65</v>
      </c>
      <c r="G41" s="151">
        <v>0.7</v>
      </c>
      <c r="H41" s="538" t="str">
        <f>IF(J41=-K41,CONCATENATE("±",TEXT(ABS(J41),"0.0##")),CONCATENATE(TEXT(J41,"+0.0##;-0.0##"),"/",TEXT(K41,"+0.0##;-0.0##")))</f>
        <v>±0.2</v>
      </c>
      <c r="I41" s="52">
        <f>G41+J41</f>
        <v>0.49999999999999994</v>
      </c>
      <c r="J41" s="26">
        <v>-0.2</v>
      </c>
      <c r="K41" s="26">
        <v>0.2</v>
      </c>
      <c r="L41" s="40">
        <f>I41+((J41+K41)/2)</f>
        <v>0.49999999999999994</v>
      </c>
      <c r="M41" s="53">
        <f>((J41-K41)^2)/12</f>
        <v>0.013333333333333336</v>
      </c>
      <c r="N41" s="41"/>
      <c r="O41" s="41"/>
      <c r="P41" s="41"/>
      <c r="Q41" s="20" t="s">
        <v>39</v>
      </c>
      <c r="R41" s="24" t="s">
        <v>93</v>
      </c>
      <c r="S41" s="319"/>
      <c r="T41" s="313" t="s">
        <v>271</v>
      </c>
      <c r="U41" s="312" t="s">
        <v>291</v>
      </c>
      <c r="V41" s="313" t="s">
        <v>324</v>
      </c>
      <c r="W41"/>
      <c r="X41"/>
      <c r="Y41"/>
      <c r="Z41"/>
      <c r="AA41"/>
    </row>
    <row r="42" spans="1:27" s="2" customFormat="1" ht="12.75">
      <c r="A42" s="116"/>
      <c r="B42" s="106" t="s">
        <v>94</v>
      </c>
      <c r="C42" s="106"/>
      <c r="D42" s="104"/>
      <c r="E42" s="20" t="s">
        <v>27</v>
      </c>
      <c r="F42" s="149">
        <v>1.5</v>
      </c>
      <c r="G42" s="151">
        <v>0.78</v>
      </c>
      <c r="H42" s="538" t="str">
        <f>IF(J42=-K42,CONCATENATE("±",TEXT(ABS(J42),"0.0##")),CONCATENATE(TEXT(J42,"+0.0##;-0.0##"),"/",TEXT(K42,"+0.0##;-0.0##")))</f>
        <v>±0.15</v>
      </c>
      <c r="I42" s="52">
        <f>G42+J42</f>
        <v>0.63</v>
      </c>
      <c r="J42" s="26">
        <v>-0.15</v>
      </c>
      <c r="K42" s="26">
        <v>0.15</v>
      </c>
      <c r="L42" s="40">
        <f>I42+((J42+K42)/2)</f>
        <v>0.63</v>
      </c>
      <c r="M42" s="53">
        <f>((J42-K42)^2)/12</f>
        <v>0.0075</v>
      </c>
      <c r="N42" s="41"/>
      <c r="O42" s="41"/>
      <c r="P42" s="41"/>
      <c r="Q42" s="20" t="s">
        <v>39</v>
      </c>
      <c r="R42" s="24" t="s">
        <v>95</v>
      </c>
      <c r="S42" s="319"/>
      <c r="T42" s="313" t="s">
        <v>279</v>
      </c>
      <c r="U42" s="312" t="s">
        <v>291</v>
      </c>
      <c r="V42" s="313" t="s">
        <v>324</v>
      </c>
      <c r="W42"/>
      <c r="X42"/>
      <c r="Y42"/>
      <c r="Z42"/>
      <c r="AA42"/>
    </row>
    <row r="43" spans="1:27" s="2" customFormat="1" ht="12.75">
      <c r="A43" s="116"/>
      <c r="B43" s="106"/>
      <c r="C43" s="106" t="s">
        <v>96</v>
      </c>
      <c r="D43" s="104"/>
      <c r="E43" s="20" t="s">
        <v>61</v>
      </c>
      <c r="F43" s="159" t="s">
        <v>65</v>
      </c>
      <c r="G43" s="84">
        <f>G40-G41-G42</f>
        <v>34.19</v>
      </c>
      <c r="H43" s="675"/>
      <c r="I43" s="99">
        <f>I40-I41-I42</f>
        <v>35.449999999999996</v>
      </c>
      <c r="J43" s="99">
        <f>SQRT(6*M43)</f>
        <v>0.9762684057163789</v>
      </c>
      <c r="K43" s="99">
        <f>-SQRT(6*M43)</f>
        <v>-0.9762684057163789</v>
      </c>
      <c r="L43" s="99">
        <f>L40-L41-L42</f>
        <v>35.449999999999996</v>
      </c>
      <c r="M43" s="591">
        <f>SUM(M40:M42)</f>
        <v>0.15885000000000002</v>
      </c>
      <c r="N43" s="99"/>
      <c r="O43" s="99"/>
      <c r="P43" s="99"/>
      <c r="Q43" s="26" t="s">
        <v>32</v>
      </c>
      <c r="R43" s="24" t="s">
        <v>97</v>
      </c>
      <c r="S43" s="297" t="s">
        <v>384</v>
      </c>
      <c r="T43" s="311"/>
      <c r="U43" s="298" t="s">
        <v>385</v>
      </c>
      <c r="V43" s="425" t="s">
        <v>302</v>
      </c>
      <c r="W43"/>
      <c r="X43"/>
      <c r="Y43"/>
      <c r="Z43"/>
      <c r="AA43"/>
    </row>
    <row r="44" spans="1:27" s="2" customFormat="1" ht="12.75">
      <c r="A44" s="116"/>
      <c r="B44" s="106" t="s">
        <v>58</v>
      </c>
      <c r="C44" s="106"/>
      <c r="D44" s="104"/>
      <c r="E44" s="20" t="s">
        <v>27</v>
      </c>
      <c r="F44" s="149" t="s">
        <v>65</v>
      </c>
      <c r="G44" s="539">
        <v>0.3</v>
      </c>
      <c r="H44" s="538" t="str">
        <f>IF(J44=-K44,CONCATENATE("±",TEXT(ABS(J44),"0.0##")),CONCATENATE(TEXT(J44,"+0.0##;-0.0##"),"/",TEXT(K44,"+0.0##;-0.0##")))</f>
        <v>±0.1</v>
      </c>
      <c r="I44" s="52">
        <f>G44+J44</f>
        <v>0.19999999999999998</v>
      </c>
      <c r="J44" s="26">
        <v>-0.1</v>
      </c>
      <c r="K44" s="26">
        <v>0.1</v>
      </c>
      <c r="L44" s="40">
        <f>I44+((J44+K44)/2)</f>
        <v>0.19999999999999998</v>
      </c>
      <c r="M44" s="53">
        <f>((J44-K44)^2)/12</f>
        <v>0.003333333333333334</v>
      </c>
      <c r="N44" s="41"/>
      <c r="O44" s="41"/>
      <c r="P44" s="41"/>
      <c r="Q44" s="20" t="s">
        <v>39</v>
      </c>
      <c r="R44" s="24" t="s">
        <v>98</v>
      </c>
      <c r="S44" s="319"/>
      <c r="T44" s="313" t="s">
        <v>279</v>
      </c>
      <c r="U44" s="312" t="s">
        <v>291</v>
      </c>
      <c r="V44" s="313" t="s">
        <v>324</v>
      </c>
      <c r="W44"/>
      <c r="X44"/>
      <c r="Y44"/>
      <c r="Z44"/>
      <c r="AA44"/>
    </row>
    <row r="45" spans="1:27" s="2" customFormat="1" ht="12.75">
      <c r="A45" s="116"/>
      <c r="B45" s="106" t="s">
        <v>55</v>
      </c>
      <c r="C45" s="106"/>
      <c r="D45" s="104"/>
      <c r="E45" s="20" t="s">
        <v>56</v>
      </c>
      <c r="F45" s="149">
        <v>10.3</v>
      </c>
      <c r="G45" s="539">
        <v>10.6</v>
      </c>
      <c r="H45" s="538" t="str">
        <f>IF(J45=-K45,CONCATENATE("±",TEXT(ABS(J45),"0.0##")),CONCATENATE(TEXT(J45,"+0.0##;-0.0##"),"/",TEXT(K45,"+0.0##;-0.0##")))</f>
        <v>±0.15</v>
      </c>
      <c r="I45" s="52">
        <v>10.9</v>
      </c>
      <c r="J45" s="26">
        <v>0.15</v>
      </c>
      <c r="K45" s="26">
        <v>-0.15</v>
      </c>
      <c r="L45" s="40">
        <f>I45+((J45+K45)/3)</f>
        <v>10.9</v>
      </c>
      <c r="M45" s="53">
        <f>(J45^2+K45^2-(K45*J45))/18</f>
        <v>0.0037500000000000003</v>
      </c>
      <c r="N45" s="41"/>
      <c r="O45" s="41"/>
      <c r="P45" s="41"/>
      <c r="Q45" s="20" t="s">
        <v>36</v>
      </c>
      <c r="R45" s="24" t="s">
        <v>57</v>
      </c>
      <c r="S45" s="319"/>
      <c r="T45" s="313" t="s">
        <v>272</v>
      </c>
      <c r="U45" s="312" t="s">
        <v>290</v>
      </c>
      <c r="V45" s="313" t="s">
        <v>324</v>
      </c>
      <c r="W45"/>
      <c r="X45"/>
      <c r="Y45"/>
      <c r="Z45"/>
      <c r="AA45"/>
    </row>
    <row r="46" spans="1:27" s="2" customFormat="1" ht="12.75">
      <c r="A46" s="116"/>
      <c r="B46" s="106"/>
      <c r="C46" s="106" t="s">
        <v>22</v>
      </c>
      <c r="D46" s="104"/>
      <c r="E46" s="36" t="s">
        <v>23</v>
      </c>
      <c r="F46" s="164" t="s">
        <v>24</v>
      </c>
      <c r="G46" s="164" t="s">
        <v>178</v>
      </c>
      <c r="H46" s="22"/>
      <c r="I46" s="52" t="str">
        <f>G46</f>
        <v>RHCP</v>
      </c>
      <c r="J46" s="23"/>
      <c r="K46" s="23"/>
      <c r="L46" s="23"/>
      <c r="M46" s="352"/>
      <c r="N46" s="23"/>
      <c r="O46" s="23"/>
      <c r="P46" s="23"/>
      <c r="Q46" s="23"/>
      <c r="R46" s="24" t="s">
        <v>25</v>
      </c>
      <c r="S46" s="319"/>
      <c r="T46" s="309" t="s">
        <v>267</v>
      </c>
      <c r="U46" s="310"/>
      <c r="V46" s="311"/>
      <c r="W46"/>
      <c r="X46"/>
      <c r="Y46"/>
      <c r="Z46"/>
      <c r="AA46"/>
    </row>
    <row r="47" spans="1:27" s="2" customFormat="1" ht="12.75">
      <c r="A47" s="116"/>
      <c r="B47" s="106"/>
      <c r="C47" s="106" t="s">
        <v>26</v>
      </c>
      <c r="D47" s="104"/>
      <c r="E47" s="36" t="s">
        <v>27</v>
      </c>
      <c r="F47" s="155" t="s">
        <v>28</v>
      </c>
      <c r="G47" s="155">
        <v>2</v>
      </c>
      <c r="H47" s="22"/>
      <c r="I47" s="52">
        <f>G47</f>
        <v>2</v>
      </c>
      <c r="J47" s="23"/>
      <c r="K47" s="23"/>
      <c r="L47" s="23"/>
      <c r="M47" s="352"/>
      <c r="N47" s="23"/>
      <c r="O47" s="23"/>
      <c r="P47" s="23"/>
      <c r="Q47" s="23"/>
      <c r="R47" s="24" t="s">
        <v>29</v>
      </c>
      <c r="S47" s="319"/>
      <c r="T47" s="309" t="s">
        <v>267</v>
      </c>
      <c r="U47" s="310"/>
      <c r="V47" s="311"/>
      <c r="W47"/>
      <c r="X47"/>
      <c r="Y47"/>
      <c r="Z47"/>
      <c r="AA47"/>
    </row>
    <row r="48" spans="1:27" s="2" customFormat="1" ht="12.75">
      <c r="A48" s="116" t="s">
        <v>34</v>
      </c>
      <c r="B48" s="106"/>
      <c r="C48" s="106"/>
      <c r="D48" s="104"/>
      <c r="E48" s="20" t="s">
        <v>35</v>
      </c>
      <c r="F48" s="159">
        <f>F40-F42+F45</f>
        <v>45.00000469994191</v>
      </c>
      <c r="G48" s="159">
        <f>G40-G41-G42-G44+G45</f>
        <v>44.49</v>
      </c>
      <c r="H48" s="22"/>
      <c r="I48" s="525">
        <f>I40-I41-I42-I44+I45</f>
        <v>46.14999999999999</v>
      </c>
      <c r="J48" s="23"/>
      <c r="K48" s="23"/>
      <c r="L48" s="43">
        <f>L40-L41-L42-L44+L45</f>
        <v>46.14999999999999</v>
      </c>
      <c r="M48" s="480">
        <f>M40+M41+M42+M44+M45</f>
        <v>0.16593333333333335</v>
      </c>
      <c r="N48" s="84"/>
      <c r="O48" s="84"/>
      <c r="P48" s="84"/>
      <c r="Q48" s="20" t="s">
        <v>32</v>
      </c>
      <c r="R48" s="24"/>
      <c r="S48" s="297" t="s">
        <v>254</v>
      </c>
      <c r="T48" s="311"/>
      <c r="U48" s="298" t="s">
        <v>296</v>
      </c>
      <c r="V48" s="313" t="s">
        <v>302</v>
      </c>
      <c r="W48"/>
      <c r="X48"/>
      <c r="Y48"/>
      <c r="Z48"/>
      <c r="AA48"/>
    </row>
    <row r="49" spans="1:27" s="2" customFormat="1" ht="12.75">
      <c r="A49" s="143" t="s">
        <v>38</v>
      </c>
      <c r="B49" s="106"/>
      <c r="C49" s="106"/>
      <c r="D49" s="104"/>
      <c r="E49" s="20" t="s">
        <v>27</v>
      </c>
      <c r="F49" s="168">
        <f>-20*LOG(SIN(60*PI()/180))</f>
        <v>1.249387366083</v>
      </c>
      <c r="G49" s="168">
        <f>-20*LOG(SIN(60*PI()/180))</f>
        <v>1.249387366083</v>
      </c>
      <c r="H49" s="225" t="s">
        <v>177</v>
      </c>
      <c r="I49" s="525">
        <f>G49</f>
        <v>1.249387366083</v>
      </c>
      <c r="J49" s="99">
        <f>-I49/10</f>
        <v>-0.12493873660829999</v>
      </c>
      <c r="K49" s="99">
        <f>I49/10</f>
        <v>0.12493873660829999</v>
      </c>
      <c r="L49" s="40">
        <f>I49+((J49+K49)/2)</f>
        <v>1.249387366083</v>
      </c>
      <c r="M49" s="53">
        <f>((J49-K49)^2)/12</f>
        <v>0.005203229301759387</v>
      </c>
      <c r="N49" s="41"/>
      <c r="O49" s="41"/>
      <c r="P49" s="41"/>
      <c r="Q49" s="20" t="s">
        <v>39</v>
      </c>
      <c r="R49" s="24" t="s">
        <v>40</v>
      </c>
      <c r="S49" s="319"/>
      <c r="T49" s="309" t="s">
        <v>267</v>
      </c>
      <c r="U49" s="312" t="s">
        <v>291</v>
      </c>
      <c r="V49" s="313" t="s">
        <v>324</v>
      </c>
      <c r="W49"/>
      <c r="X49"/>
      <c r="Y49"/>
      <c r="Z49"/>
      <c r="AA49"/>
    </row>
    <row r="50" spans="1:27" s="2" customFormat="1" ht="12.75">
      <c r="A50" s="116" t="s">
        <v>99</v>
      </c>
      <c r="B50" s="106"/>
      <c r="C50" s="106"/>
      <c r="D50" s="104"/>
      <c r="E50" s="20"/>
      <c r="F50" s="149">
        <v>1</v>
      </c>
      <c r="G50" s="149">
        <v>1</v>
      </c>
      <c r="H50" s="22"/>
      <c r="I50" s="52">
        <v>1</v>
      </c>
      <c r="J50" s="23"/>
      <c r="K50" s="23"/>
      <c r="L50" s="23"/>
      <c r="M50" s="352"/>
      <c r="N50" s="23"/>
      <c r="O50" s="23"/>
      <c r="P50" s="23"/>
      <c r="Q50" s="23"/>
      <c r="R50" s="24" t="s">
        <v>100</v>
      </c>
      <c r="S50" s="319"/>
      <c r="T50" s="309" t="s">
        <v>274</v>
      </c>
      <c r="U50" s="310"/>
      <c r="V50" s="311"/>
      <c r="W50"/>
      <c r="X50"/>
      <c r="Y50"/>
      <c r="Z50"/>
      <c r="AA50"/>
    </row>
    <row r="51" spans="1:27" s="2" customFormat="1" ht="13.5" thickBot="1">
      <c r="A51" s="138" t="s">
        <v>101</v>
      </c>
      <c r="B51" s="139"/>
      <c r="C51" s="139"/>
      <c r="D51" s="140"/>
      <c r="E51" s="31" t="s">
        <v>35</v>
      </c>
      <c r="F51" s="213">
        <f>F48-F49-10*LOG(F50)</f>
        <v>43.75061733385891</v>
      </c>
      <c r="G51" s="246">
        <f>G48-G49-10*LOG(G50)</f>
        <v>43.240612633917</v>
      </c>
      <c r="H51" s="17"/>
      <c r="I51" s="32">
        <f>I48-I49-10*LOG(I50)</f>
        <v>44.90061263391699</v>
      </c>
      <c r="J51" s="18"/>
      <c r="K51" s="18"/>
      <c r="L51" s="32">
        <f>L48-L49-10*LOG(I50)</f>
        <v>44.90061263391699</v>
      </c>
      <c r="M51" s="355">
        <f>M48+M49</f>
        <v>0.17113656263509275</v>
      </c>
      <c r="N51" s="44"/>
      <c r="O51" s="44"/>
      <c r="P51" s="44"/>
      <c r="Q51" s="20" t="s">
        <v>32</v>
      </c>
      <c r="R51" s="216" t="s">
        <v>102</v>
      </c>
      <c r="S51" s="322" t="s">
        <v>255</v>
      </c>
      <c r="T51" s="328"/>
      <c r="U51" s="299" t="s">
        <v>297</v>
      </c>
      <c r="V51" s="316" t="s">
        <v>302</v>
      </c>
      <c r="W51"/>
      <c r="X51"/>
      <c r="Y51"/>
      <c r="Z51"/>
      <c r="AA51"/>
    </row>
    <row r="52" spans="1:27" s="341" customFormat="1" ht="13.5" thickBot="1">
      <c r="A52" s="103" t="s">
        <v>103</v>
      </c>
      <c r="B52" s="103"/>
      <c r="C52" s="103"/>
      <c r="D52" s="103"/>
      <c r="E52" s="13"/>
      <c r="F52" s="145"/>
      <c r="G52" s="145"/>
      <c r="H52" s="13"/>
      <c r="I52" s="13"/>
      <c r="J52" s="13"/>
      <c r="K52" s="13"/>
      <c r="L52" s="13"/>
      <c r="M52" s="353"/>
      <c r="N52" s="13"/>
      <c r="O52" s="13"/>
      <c r="P52" s="13"/>
      <c r="Q52" s="13"/>
      <c r="R52" s="348"/>
      <c r="S52" s="119"/>
      <c r="T52" s="119"/>
      <c r="U52" s="119"/>
      <c r="V52" s="119"/>
      <c r="W52" s="119"/>
      <c r="X52" s="119"/>
      <c r="Y52" s="119"/>
      <c r="Z52" s="119"/>
      <c r="AA52" s="119"/>
    </row>
    <row r="53" spans="1:27" s="2" customFormat="1" ht="12.75">
      <c r="A53" s="127"/>
      <c r="B53" s="128" t="s">
        <v>43</v>
      </c>
      <c r="C53" s="128"/>
      <c r="D53" s="115"/>
      <c r="E53" s="15" t="s">
        <v>44</v>
      </c>
      <c r="F53" s="158"/>
      <c r="G53" s="158">
        <v>41126.8</v>
      </c>
      <c r="H53" s="17"/>
      <c r="I53" s="523">
        <v>41126.8</v>
      </c>
      <c r="J53" s="27">
        <v>40037.8</v>
      </c>
      <c r="K53" s="27">
        <v>41392</v>
      </c>
      <c r="L53" s="18"/>
      <c r="M53" s="351"/>
      <c r="N53" s="18"/>
      <c r="O53" s="18"/>
      <c r="P53" s="18"/>
      <c r="Q53" s="18"/>
      <c r="R53" s="137" t="s">
        <v>304</v>
      </c>
      <c r="S53" s="332"/>
      <c r="T53" s="306" t="s">
        <v>276</v>
      </c>
      <c r="U53" s="307"/>
      <c r="V53" s="308"/>
      <c r="W53"/>
      <c r="X53"/>
      <c r="Y53"/>
      <c r="Z53"/>
      <c r="AA53"/>
    </row>
    <row r="54" spans="1:27" s="2" customFormat="1" ht="12.75">
      <c r="A54" s="116" t="s">
        <v>45</v>
      </c>
      <c r="B54" s="106"/>
      <c r="C54" s="106"/>
      <c r="D54" s="104"/>
      <c r="E54" s="20" t="s">
        <v>27</v>
      </c>
      <c r="F54" s="159">
        <v>178.3</v>
      </c>
      <c r="G54" s="159">
        <f>(20*LOG(G38*1000000)+20*LOG(4*PI()*G53*1000)-20*LOG(300000000))</f>
        <v>178.1444858154569</v>
      </c>
      <c r="H54" s="30"/>
      <c r="I54" s="160">
        <f>(20*LOG($I$38*1000000)+20*LOG(4*PI()*I53*1000)-20*LOG(300000000))</f>
        <v>178.1444858154569</v>
      </c>
      <c r="J54" s="44">
        <f>(20*LOG($I$38*1000000)+20*LOG(4*PI()*J53*1000)-20*LOG(300000000))-I54</f>
        <v>-0.23309426716758708</v>
      </c>
      <c r="K54" s="44">
        <f>(20*LOG($I$38*1000000)+20*LOG(4*PI()*K53*1000)-20*LOG(300000000))-I54</f>
        <v>0.055829843931235246</v>
      </c>
      <c r="L54" s="40">
        <f>I54+((J54+K54)/3)</f>
        <v>178.08539767437813</v>
      </c>
      <c r="M54" s="53">
        <f>(J54^2+K54^2-(K54*J54))/18</f>
        <v>0.003914640300945144</v>
      </c>
      <c r="N54" s="41"/>
      <c r="O54" s="41"/>
      <c r="P54" s="41"/>
      <c r="Q54" s="20" t="s">
        <v>36</v>
      </c>
      <c r="R54" s="24" t="s">
        <v>46</v>
      </c>
      <c r="S54" s="296" t="s">
        <v>257</v>
      </c>
      <c r="T54" s="311"/>
      <c r="U54" s="312" t="s">
        <v>290</v>
      </c>
      <c r="V54" s="313" t="s">
        <v>324</v>
      </c>
      <c r="W54"/>
      <c r="X54"/>
      <c r="Y54"/>
      <c r="Z54"/>
      <c r="AA54"/>
    </row>
    <row r="55" spans="1:27" s="2" customFormat="1" ht="13.5" thickBot="1">
      <c r="A55" s="138" t="s">
        <v>47</v>
      </c>
      <c r="B55" s="139"/>
      <c r="C55" s="139"/>
      <c r="D55" s="140"/>
      <c r="E55" s="20" t="s">
        <v>27</v>
      </c>
      <c r="F55" s="149">
        <v>0</v>
      </c>
      <c r="G55" s="149">
        <v>0.15</v>
      </c>
      <c r="H55" s="225" t="s">
        <v>179</v>
      </c>
      <c r="I55" s="52">
        <v>0.15</v>
      </c>
      <c r="J55" s="26">
        <v>-0.1</v>
      </c>
      <c r="K55" s="26">
        <v>0.53</v>
      </c>
      <c r="L55" s="20">
        <f>I55+((J55+K55)/2)</f>
        <v>0.365</v>
      </c>
      <c r="M55" s="53">
        <f>((J55-K55)^2)/36</f>
        <v>0.011025</v>
      </c>
      <c r="N55" s="20"/>
      <c r="O55" s="20"/>
      <c r="P55" s="20"/>
      <c r="Q55" s="20" t="s">
        <v>32</v>
      </c>
      <c r="R55" s="216" t="s">
        <v>48</v>
      </c>
      <c r="S55" s="334"/>
      <c r="T55" s="316" t="s">
        <v>301</v>
      </c>
      <c r="U55" s="315" t="s">
        <v>292</v>
      </c>
      <c r="V55" s="316" t="s">
        <v>324</v>
      </c>
      <c r="W55"/>
      <c r="X55"/>
      <c r="Y55"/>
      <c r="Z55"/>
      <c r="AA55"/>
    </row>
    <row r="56" spans="1:27" s="341" customFormat="1" ht="13.5" thickBot="1">
      <c r="A56" s="103" t="s">
        <v>105</v>
      </c>
      <c r="B56" s="103"/>
      <c r="C56" s="103"/>
      <c r="D56" s="103"/>
      <c r="E56" s="13"/>
      <c r="F56" s="145"/>
      <c r="G56" s="145"/>
      <c r="H56" s="13"/>
      <c r="I56" s="13"/>
      <c r="J56" s="13"/>
      <c r="K56" s="13"/>
      <c r="L56" s="13"/>
      <c r="M56" s="353"/>
      <c r="N56" s="13"/>
      <c r="O56" s="13"/>
      <c r="P56" s="13"/>
      <c r="Q56" s="13"/>
      <c r="R56" s="348"/>
      <c r="S56" s="119"/>
      <c r="T56" s="119"/>
      <c r="U56" s="119"/>
      <c r="V56" s="119"/>
      <c r="W56" s="119"/>
      <c r="X56" s="119"/>
      <c r="Y56" s="119"/>
      <c r="Z56" s="119"/>
      <c r="AA56" s="119"/>
    </row>
    <row r="57" spans="1:27" s="2" customFormat="1" ht="12.75">
      <c r="A57" s="127" t="s">
        <v>106</v>
      </c>
      <c r="B57" s="128"/>
      <c r="C57" s="128"/>
      <c r="D57" s="115"/>
      <c r="E57" s="15" t="s">
        <v>35</v>
      </c>
      <c r="F57" s="170">
        <f>F51-F54-F55</f>
        <v>-134.5493826661411</v>
      </c>
      <c r="G57" s="170">
        <f>G51-G54-G55</f>
        <v>-135.0538731815399</v>
      </c>
      <c r="H57" s="17"/>
      <c r="I57" s="32">
        <f>I51-I54-I55</f>
        <v>-133.39387318153993</v>
      </c>
      <c r="J57" s="18"/>
      <c r="K57" s="18"/>
      <c r="L57" s="34">
        <f>L51-L54-L55</f>
        <v>-133.54978504046113</v>
      </c>
      <c r="M57" s="356">
        <f>M51+M54+M55</f>
        <v>0.1860762029360379</v>
      </c>
      <c r="N57" s="34"/>
      <c r="O57" s="34"/>
      <c r="P57" s="34"/>
      <c r="Q57" s="18"/>
      <c r="R57" s="137"/>
      <c r="S57" s="323" t="s">
        <v>258</v>
      </c>
      <c r="T57" s="308"/>
      <c r="U57" s="323" t="s">
        <v>305</v>
      </c>
      <c r="V57" s="324" t="s">
        <v>302</v>
      </c>
      <c r="W57"/>
      <c r="X57"/>
      <c r="Y57"/>
      <c r="Z57"/>
      <c r="AA57"/>
    </row>
    <row r="58" spans="1:27" s="2" customFormat="1" ht="12.75">
      <c r="A58" s="116" t="s">
        <v>107</v>
      </c>
      <c r="B58" s="106"/>
      <c r="C58" s="106"/>
      <c r="D58" s="104"/>
      <c r="E58" s="20" t="s">
        <v>108</v>
      </c>
      <c r="F58" s="149">
        <v>-154</v>
      </c>
      <c r="G58" s="149">
        <v>-152</v>
      </c>
      <c r="H58" s="25"/>
      <c r="I58" s="37"/>
      <c r="J58" s="38"/>
      <c r="K58" s="38"/>
      <c r="L58" s="38"/>
      <c r="M58" s="352"/>
      <c r="N58" s="38"/>
      <c r="O58" s="38"/>
      <c r="P58" s="38"/>
      <c r="Q58" s="38"/>
      <c r="R58" s="24" t="s">
        <v>281</v>
      </c>
      <c r="S58" s="319"/>
      <c r="T58" s="309" t="s">
        <v>280</v>
      </c>
      <c r="U58" s="318"/>
      <c r="V58" s="311"/>
      <c r="W58"/>
      <c r="X58"/>
      <c r="Y58"/>
      <c r="Z58"/>
      <c r="AA58"/>
    </row>
    <row r="59" spans="1:27" s="2" customFormat="1" ht="12.75">
      <c r="A59" s="116" t="s">
        <v>109</v>
      </c>
      <c r="B59" s="106"/>
      <c r="C59" s="106"/>
      <c r="D59" s="104"/>
      <c r="E59" s="20" t="s">
        <v>108</v>
      </c>
      <c r="F59" s="171">
        <v>-164</v>
      </c>
      <c r="G59" s="171">
        <f>(G51-30)-G55-(10*LOG(4*PI()*(G53*1000)^2))</f>
        <v>-150.18398438982211</v>
      </c>
      <c r="H59" s="25"/>
      <c r="I59" s="37"/>
      <c r="J59" s="38"/>
      <c r="K59" s="38"/>
      <c r="L59" s="38"/>
      <c r="M59" s="352"/>
      <c r="N59" s="38"/>
      <c r="O59" s="38"/>
      <c r="P59" s="38"/>
      <c r="Q59" s="38"/>
      <c r="R59" s="24" t="s">
        <v>282</v>
      </c>
      <c r="S59" s="319"/>
      <c r="T59" s="311"/>
      <c r="U59" s="318"/>
      <c r="V59" s="311"/>
      <c r="W59"/>
      <c r="X59"/>
      <c r="Y59"/>
      <c r="Z59"/>
      <c r="AA59"/>
    </row>
    <row r="60" spans="1:27" s="2" customFormat="1" ht="12.75">
      <c r="A60" s="116"/>
      <c r="B60" s="106" t="s">
        <v>110</v>
      </c>
      <c r="C60" s="106"/>
      <c r="D60" s="104"/>
      <c r="E60" s="20" t="s">
        <v>77</v>
      </c>
      <c r="F60" s="149">
        <v>-29.3</v>
      </c>
      <c r="G60" s="149">
        <v>-29</v>
      </c>
      <c r="H60" s="538" t="str">
        <f>IF(J60=-K60,CONCATENATE("±",TEXT(ABS(J60),"0.0##")),CONCATENATE(TEXT(J60,"+0.0##;-0.0##"),"/",TEXT(K60,"+0.0##;-0.0##")))</f>
        <v>±0.5</v>
      </c>
      <c r="I60" s="52">
        <f>G60</f>
        <v>-29</v>
      </c>
      <c r="J60" s="26">
        <v>0.5</v>
      </c>
      <c r="K60" s="26">
        <v>-0.5</v>
      </c>
      <c r="L60" s="20">
        <f>I60+((J60+K60)/2)</f>
        <v>-29</v>
      </c>
      <c r="M60" s="53">
        <f>((J60-K60)^2)/36</f>
        <v>0.027777777777777776</v>
      </c>
      <c r="N60" s="20"/>
      <c r="O60" s="20"/>
      <c r="P60" s="20"/>
      <c r="Q60" s="20" t="s">
        <v>32</v>
      </c>
      <c r="R60" s="24" t="s">
        <v>283</v>
      </c>
      <c r="S60" s="319"/>
      <c r="T60" s="309" t="s">
        <v>268</v>
      </c>
      <c r="U60" s="312" t="s">
        <v>292</v>
      </c>
      <c r="V60" s="313" t="s">
        <v>324</v>
      </c>
      <c r="W60"/>
      <c r="X60"/>
      <c r="Y60"/>
      <c r="Z60"/>
      <c r="AA60"/>
    </row>
    <row r="61" spans="1:27" s="2" customFormat="1" ht="12.75">
      <c r="A61" s="116"/>
      <c r="B61" s="106" t="s">
        <v>111</v>
      </c>
      <c r="C61" s="106"/>
      <c r="D61" s="104"/>
      <c r="E61" s="20" t="s">
        <v>27</v>
      </c>
      <c r="F61" s="149">
        <v>0.5</v>
      </c>
      <c r="G61" s="539">
        <v>0.5</v>
      </c>
      <c r="H61" s="538" t="str">
        <f>IF(J61=-K61,CONCATENATE("±",TEXT(ABS(J61),"0.0##")),CONCATENATE(TEXT(J61,"+0.0##;-0.0##"),"/",TEXT(K61,"+0.0##;-0.0##")))</f>
        <v>±0.25</v>
      </c>
      <c r="I61" s="52">
        <v>0.25</v>
      </c>
      <c r="J61" s="26">
        <v>-0.25</v>
      </c>
      <c r="K61" s="26">
        <v>0.25</v>
      </c>
      <c r="L61" s="20">
        <f>I61+((J61+K61)/2)</f>
        <v>0.25</v>
      </c>
      <c r="M61" s="53">
        <f>((J61-K61)^2)/12</f>
        <v>0.020833333333333332</v>
      </c>
      <c r="N61" s="20"/>
      <c r="O61" s="20"/>
      <c r="P61" s="20"/>
      <c r="Q61" s="20" t="s">
        <v>39</v>
      </c>
      <c r="R61" s="24" t="s">
        <v>283</v>
      </c>
      <c r="S61" s="319"/>
      <c r="T61" s="309" t="s">
        <v>268</v>
      </c>
      <c r="U61" s="312" t="s">
        <v>291</v>
      </c>
      <c r="V61" s="313" t="s">
        <v>324</v>
      </c>
      <c r="W61"/>
      <c r="X61"/>
      <c r="Y61"/>
      <c r="Z61"/>
      <c r="AA61"/>
    </row>
    <row r="62" spans="1:27" s="2" customFormat="1" ht="12.75">
      <c r="A62" s="116"/>
      <c r="B62" s="106"/>
      <c r="C62" s="106" t="s">
        <v>22</v>
      </c>
      <c r="D62" s="104"/>
      <c r="E62" s="36" t="s">
        <v>23</v>
      </c>
      <c r="F62" s="164" t="s">
        <v>24</v>
      </c>
      <c r="G62" s="164" t="s">
        <v>178</v>
      </c>
      <c r="H62" s="22"/>
      <c r="I62" s="52" t="str">
        <f>G62</f>
        <v>RHCP</v>
      </c>
      <c r="J62" s="23"/>
      <c r="K62" s="23"/>
      <c r="L62" s="23"/>
      <c r="M62" s="352"/>
      <c r="N62" s="23"/>
      <c r="O62" s="23"/>
      <c r="P62" s="23"/>
      <c r="Q62" s="23"/>
      <c r="R62" s="24" t="s">
        <v>25</v>
      </c>
      <c r="S62" s="319"/>
      <c r="T62" s="309" t="s">
        <v>267</v>
      </c>
      <c r="U62" s="310"/>
      <c r="V62" s="311"/>
      <c r="W62"/>
      <c r="X62"/>
      <c r="Y62"/>
      <c r="Z62"/>
      <c r="AA62"/>
    </row>
    <row r="63" spans="1:27" s="2" customFormat="1" ht="12.75">
      <c r="A63" s="116"/>
      <c r="B63" s="106"/>
      <c r="C63" s="106" t="s">
        <v>26</v>
      </c>
      <c r="D63" s="104"/>
      <c r="E63" s="36" t="s">
        <v>27</v>
      </c>
      <c r="F63" s="155" t="s">
        <v>28</v>
      </c>
      <c r="G63" s="155">
        <v>3</v>
      </c>
      <c r="H63" s="22"/>
      <c r="I63" s="52">
        <f>G63</f>
        <v>3</v>
      </c>
      <c r="J63" s="23"/>
      <c r="K63" s="23"/>
      <c r="L63" s="23"/>
      <c r="M63" s="352"/>
      <c r="N63" s="23"/>
      <c r="O63" s="23"/>
      <c r="P63" s="23"/>
      <c r="Q63" s="23"/>
      <c r="R63" s="24" t="s">
        <v>29</v>
      </c>
      <c r="S63" s="319"/>
      <c r="T63" s="309" t="s">
        <v>267</v>
      </c>
      <c r="U63" s="310"/>
      <c r="V63" s="311"/>
      <c r="W63"/>
      <c r="X63"/>
      <c r="Y63"/>
      <c r="Z63"/>
      <c r="AA63"/>
    </row>
    <row r="64" spans="1:27" s="2" customFormat="1" ht="12" customHeight="1">
      <c r="A64" s="116"/>
      <c r="B64" s="106" t="s">
        <v>50</v>
      </c>
      <c r="C64" s="106"/>
      <c r="D64" s="104"/>
      <c r="E64" s="20" t="s">
        <v>27</v>
      </c>
      <c r="F64" s="149">
        <v>0.2</v>
      </c>
      <c r="G64" s="149">
        <v>0.354</v>
      </c>
      <c r="H64" s="538" t="str">
        <f>IF(J64=-K64,CONCATENATE("±",TEXT(ABS(J64),"0.0##")),CONCATENATE(TEXT(J64,"+0.0##;-0.0##"),"/",TEXT(K64,"+0.0##;-0.0##")))</f>
        <v>±0.3</v>
      </c>
      <c r="I64" s="52">
        <v>0.354</v>
      </c>
      <c r="J64" s="26">
        <v>-0.3</v>
      </c>
      <c r="K64" s="26">
        <v>0.3</v>
      </c>
      <c r="L64" s="20">
        <f>I64+((J64+K64)/2)</f>
        <v>0.354</v>
      </c>
      <c r="M64" s="53">
        <f>((J64-K64)^2)/12</f>
        <v>0.03</v>
      </c>
      <c r="N64" s="20"/>
      <c r="O64" s="20"/>
      <c r="P64" s="20"/>
      <c r="Q64" s="20" t="s">
        <v>39</v>
      </c>
      <c r="R64" s="24" t="s">
        <v>51</v>
      </c>
      <c r="S64" s="319"/>
      <c r="T64" s="311"/>
      <c r="U64" s="312" t="s">
        <v>291</v>
      </c>
      <c r="V64" s="313" t="s">
        <v>324</v>
      </c>
      <c r="W64"/>
      <c r="X64"/>
      <c r="Y64"/>
      <c r="Z64"/>
      <c r="AA64"/>
    </row>
    <row r="65" spans="1:27" s="2" customFormat="1" ht="12.75">
      <c r="A65" s="116"/>
      <c r="B65" s="106" t="s">
        <v>78</v>
      </c>
      <c r="C65" s="106"/>
      <c r="D65" s="104"/>
      <c r="E65" s="20" t="s">
        <v>79</v>
      </c>
      <c r="F65" s="147">
        <v>-198.6</v>
      </c>
      <c r="G65" s="147">
        <v>-198.6</v>
      </c>
      <c r="H65" s="22"/>
      <c r="I65" s="52">
        <v>-198.6</v>
      </c>
      <c r="J65" s="26">
        <v>0</v>
      </c>
      <c r="K65" s="26">
        <v>0</v>
      </c>
      <c r="L65" s="20">
        <f>I65</f>
        <v>-198.6</v>
      </c>
      <c r="M65" s="53">
        <v>0</v>
      </c>
      <c r="N65" s="20"/>
      <c r="O65" s="20"/>
      <c r="P65" s="20"/>
      <c r="Q65" s="20" t="s">
        <v>80</v>
      </c>
      <c r="R65" s="24" t="s">
        <v>81</v>
      </c>
      <c r="S65" s="319"/>
      <c r="T65" s="311"/>
      <c r="U65" s="330" t="s">
        <v>303</v>
      </c>
      <c r="V65" s="313" t="s">
        <v>302</v>
      </c>
      <c r="W65"/>
      <c r="X65"/>
      <c r="Y65"/>
      <c r="Z65"/>
      <c r="AA65"/>
    </row>
    <row r="66" spans="1:27" s="2" customFormat="1" ht="12.75">
      <c r="A66" s="116" t="s">
        <v>112</v>
      </c>
      <c r="B66" s="106"/>
      <c r="C66" s="106"/>
      <c r="D66" s="104"/>
      <c r="E66" s="36" t="s">
        <v>83</v>
      </c>
      <c r="F66" s="44">
        <f>F57+F60-F61-F64-F65</f>
        <v>34.050617333858895</v>
      </c>
      <c r="G66" s="44">
        <f>G57+G60-G61-G64-G65</f>
        <v>33.69212681846008</v>
      </c>
      <c r="H66" s="22"/>
      <c r="I66" s="43">
        <f>I57+I60-I61-I64-I65</f>
        <v>35.60212681846005</v>
      </c>
      <c r="J66" s="23"/>
      <c r="K66" s="23"/>
      <c r="L66" s="44">
        <f>L57+L60-L61-L64-L65</f>
        <v>35.44621495953885</v>
      </c>
      <c r="M66" s="355">
        <f>M57+M60+M61+M64+M65</f>
        <v>0.264687314047149</v>
      </c>
      <c r="N66" s="44"/>
      <c r="O66" s="44"/>
      <c r="P66" s="44"/>
      <c r="Q66" s="20" t="s">
        <v>32</v>
      </c>
      <c r="R66" s="24"/>
      <c r="S66" s="297" t="s">
        <v>259</v>
      </c>
      <c r="T66" s="311"/>
      <c r="U66" s="360" t="s">
        <v>321</v>
      </c>
      <c r="V66" s="313" t="s">
        <v>302</v>
      </c>
      <c r="W66"/>
      <c r="X66"/>
      <c r="Y66"/>
      <c r="Z66"/>
      <c r="AA66"/>
    </row>
    <row r="67" spans="1:27" s="2" customFormat="1" ht="12.75">
      <c r="A67" s="116"/>
      <c r="B67" s="106" t="s">
        <v>113</v>
      </c>
      <c r="C67" s="106"/>
      <c r="D67" s="104"/>
      <c r="E67" s="20" t="s">
        <v>27</v>
      </c>
      <c r="F67" s="149" t="s">
        <v>31</v>
      </c>
      <c r="G67" s="149">
        <v>0.05</v>
      </c>
      <c r="H67" s="25" t="s">
        <v>68</v>
      </c>
      <c r="I67" s="525">
        <f>G67*0.9</f>
        <v>0.045000000000000005</v>
      </c>
      <c r="J67" s="26">
        <f>-G67*0.1</f>
        <v>-0.005000000000000001</v>
      </c>
      <c r="K67" s="26">
        <f>G67*0.1</f>
        <v>0.005000000000000001</v>
      </c>
      <c r="L67" s="40">
        <f>I67+((J67+K67)/2)</f>
        <v>0.045000000000000005</v>
      </c>
      <c r="M67" s="53">
        <f>((J67-K67)^2)/36</f>
        <v>2.777777777777779E-06</v>
      </c>
      <c r="N67" s="41"/>
      <c r="O67" s="41"/>
      <c r="P67" s="41"/>
      <c r="Q67" s="20" t="s">
        <v>32</v>
      </c>
      <c r="R67" s="24" t="s">
        <v>114</v>
      </c>
      <c r="S67" s="319"/>
      <c r="T67" s="313" t="s">
        <v>279</v>
      </c>
      <c r="U67" s="312" t="s">
        <v>292</v>
      </c>
      <c r="V67" s="313" t="s">
        <v>324</v>
      </c>
      <c r="W67"/>
      <c r="X67"/>
      <c r="Y67"/>
      <c r="Z67"/>
      <c r="AA67"/>
    </row>
    <row r="68" spans="1:27" s="2" customFormat="1" ht="12.75">
      <c r="A68" s="116"/>
      <c r="B68" s="106" t="s">
        <v>115</v>
      </c>
      <c r="C68" s="106"/>
      <c r="D68" s="104"/>
      <c r="E68" s="20" t="s">
        <v>27</v>
      </c>
      <c r="F68" s="149">
        <v>0</v>
      </c>
      <c r="G68" s="149">
        <v>0</v>
      </c>
      <c r="H68" s="22"/>
      <c r="I68" s="52">
        <v>0</v>
      </c>
      <c r="J68" s="26">
        <v>0</v>
      </c>
      <c r="K68" s="26">
        <v>0</v>
      </c>
      <c r="L68" s="20">
        <f>I68+((J68+K68)/2)</f>
        <v>0</v>
      </c>
      <c r="M68" s="53">
        <f>((J68-K68)^2)/12</f>
        <v>0</v>
      </c>
      <c r="N68" s="20"/>
      <c r="O68" s="20"/>
      <c r="P68" s="20"/>
      <c r="Q68" s="20" t="s">
        <v>39</v>
      </c>
      <c r="R68" s="24" t="s">
        <v>116</v>
      </c>
      <c r="S68" s="319"/>
      <c r="T68" s="311"/>
      <c r="U68" s="312" t="s">
        <v>291</v>
      </c>
      <c r="V68" s="313" t="s">
        <v>324</v>
      </c>
      <c r="W68"/>
      <c r="X68"/>
      <c r="Y68"/>
      <c r="Z68"/>
      <c r="AA68"/>
    </row>
    <row r="69" spans="1:27" s="2" customFormat="1" ht="13.5" thickBot="1">
      <c r="A69" s="138" t="s">
        <v>117</v>
      </c>
      <c r="B69" s="139"/>
      <c r="C69" s="139"/>
      <c r="D69" s="140"/>
      <c r="E69" s="20" t="s">
        <v>83</v>
      </c>
      <c r="F69" s="159">
        <f>F66-F68</f>
        <v>34.050617333858895</v>
      </c>
      <c r="G69" s="159">
        <f>G66-G67-G68</f>
        <v>33.642126818460085</v>
      </c>
      <c r="H69" s="22"/>
      <c r="I69" s="43">
        <f>I66-I67-I68</f>
        <v>35.55712681846005</v>
      </c>
      <c r="J69" s="23"/>
      <c r="K69" s="23"/>
      <c r="L69" s="44">
        <f>L66-L67-L68</f>
        <v>35.40121495953885</v>
      </c>
      <c r="M69" s="355">
        <f>M66+M67+M68</f>
        <v>0.2646900918249268</v>
      </c>
      <c r="N69" s="44"/>
      <c r="O69" s="20">
        <f>10^(-L69/10)</f>
        <v>0.0002883224794395783</v>
      </c>
      <c r="P69" s="20">
        <f>O69*SQRT(M69)</f>
        <v>0.00014833626730852216</v>
      </c>
      <c r="Q69" s="20" t="s">
        <v>32</v>
      </c>
      <c r="R69" s="216"/>
      <c r="S69" s="325" t="s">
        <v>260</v>
      </c>
      <c r="T69" s="328"/>
      <c r="U69" s="299" t="s">
        <v>298</v>
      </c>
      <c r="V69" s="316" t="s">
        <v>302</v>
      </c>
      <c r="W69"/>
      <c r="X69"/>
      <c r="Y69"/>
      <c r="Z69"/>
      <c r="AA69"/>
    </row>
    <row r="70" spans="1:27" s="341" customFormat="1" ht="13.5" thickBot="1">
      <c r="A70" s="103" t="s">
        <v>118</v>
      </c>
      <c r="B70" s="103"/>
      <c r="C70" s="103"/>
      <c r="D70" s="103"/>
      <c r="E70" s="13"/>
      <c r="F70" s="145"/>
      <c r="G70" s="145"/>
      <c r="H70" s="13"/>
      <c r="I70" s="13"/>
      <c r="J70" s="13"/>
      <c r="K70" s="13"/>
      <c r="L70" s="13"/>
      <c r="M70" s="353"/>
      <c r="N70" s="13"/>
      <c r="O70" s="13"/>
      <c r="P70" s="13"/>
      <c r="Q70" s="13"/>
      <c r="R70" s="348"/>
      <c r="S70" s="119"/>
      <c r="T70" s="119"/>
      <c r="U70" s="119"/>
      <c r="V70" s="119"/>
      <c r="W70" s="119"/>
      <c r="X70" s="119"/>
      <c r="Y70" s="119"/>
      <c r="Z70" s="119"/>
      <c r="AA70" s="119"/>
    </row>
    <row r="71" spans="1:27" s="2" customFormat="1" ht="12.75">
      <c r="A71" s="127" t="s">
        <v>119</v>
      </c>
      <c r="B71" s="128"/>
      <c r="C71" s="128"/>
      <c r="D71" s="115"/>
      <c r="E71" s="129" t="s">
        <v>83</v>
      </c>
      <c r="F71" s="172">
        <f>10*LOG(1/(1/(10^(F36/10))+1/(10^(F69/10))))</f>
        <v>34.05005788961627</v>
      </c>
      <c r="G71" s="173">
        <f>10*LOG(1/(1/(10^(G36/10))+1/(10^(G69/10))))</f>
        <v>33.63989221593809</v>
      </c>
      <c r="H71" s="132"/>
      <c r="I71" s="133">
        <f>10*LOG(1/(1/(10^(I36/10))+1/(10^(I69/10))))</f>
        <v>35.55545058182432</v>
      </c>
      <c r="J71" s="134"/>
      <c r="K71" s="134"/>
      <c r="L71" s="133">
        <f>10*LOG(1/(1/(10^(L36/10))+1/(10^(L69/10))))</f>
        <v>35.39939832199792</v>
      </c>
      <c r="M71" s="358">
        <f>(P71/O71)^2</f>
        <v>0.2647460311921442</v>
      </c>
      <c r="N71" s="135"/>
      <c r="O71" s="136">
        <f>O36+O69</f>
        <v>0.00028844310887979026</v>
      </c>
      <c r="P71" s="136">
        <f>P36+P69</f>
        <v>0.00014841400914892918</v>
      </c>
      <c r="Q71" s="129" t="s">
        <v>32</v>
      </c>
      <c r="R71" s="137" t="s">
        <v>120</v>
      </c>
      <c r="S71" s="326" t="s">
        <v>261</v>
      </c>
      <c r="T71" s="308"/>
      <c r="U71" s="327" t="s">
        <v>299</v>
      </c>
      <c r="V71" s="324" t="s">
        <v>288</v>
      </c>
      <c r="W71"/>
      <c r="X71"/>
      <c r="Y71"/>
      <c r="Z71"/>
      <c r="AA71"/>
    </row>
    <row r="72" spans="1:27" s="2" customFormat="1" ht="12.75">
      <c r="A72" s="116" t="s">
        <v>18</v>
      </c>
      <c r="B72" s="106"/>
      <c r="C72" s="106"/>
      <c r="D72" s="104"/>
      <c r="E72" s="120" t="s">
        <v>121</v>
      </c>
      <c r="F72" s="174">
        <f>10*LOG(F5)+60</f>
        <v>20</v>
      </c>
      <c r="G72" s="174">
        <f>10*LOG(G5)+60</f>
        <v>20</v>
      </c>
      <c r="H72" s="122"/>
      <c r="I72" s="175">
        <f>10*LOG(I5)+60</f>
        <v>20</v>
      </c>
      <c r="J72" s="124"/>
      <c r="K72" s="124"/>
      <c r="L72" s="125">
        <f>I72</f>
        <v>20</v>
      </c>
      <c r="M72" s="403">
        <v>0</v>
      </c>
      <c r="N72" s="126"/>
      <c r="O72" s="126"/>
      <c r="P72" s="126"/>
      <c r="Q72" s="126" t="s">
        <v>80</v>
      </c>
      <c r="R72" s="24"/>
      <c r="S72" s="297" t="s">
        <v>262</v>
      </c>
      <c r="T72" s="309" t="s">
        <v>265</v>
      </c>
      <c r="U72" s="330" t="s">
        <v>303</v>
      </c>
      <c r="V72" s="313" t="s">
        <v>302</v>
      </c>
      <c r="W72"/>
      <c r="X72"/>
      <c r="Y72"/>
      <c r="Z72"/>
      <c r="AA72"/>
    </row>
    <row r="73" spans="1:27" s="2" customFormat="1" ht="13.5" thickBot="1">
      <c r="A73" s="138" t="s">
        <v>122</v>
      </c>
      <c r="B73" s="139"/>
      <c r="C73" s="139"/>
      <c r="D73" s="140"/>
      <c r="E73" s="36" t="s">
        <v>27</v>
      </c>
      <c r="F73" s="44">
        <f>F71-F72</f>
        <v>14.05005788961627</v>
      </c>
      <c r="G73" s="44">
        <f>G71-G72</f>
        <v>13.63989221593809</v>
      </c>
      <c r="H73" s="22"/>
      <c r="I73" s="43">
        <f>I71-I72</f>
        <v>15.555450581824317</v>
      </c>
      <c r="J73" s="23"/>
      <c r="K73" s="23"/>
      <c r="L73" s="44">
        <f>L71-L72</f>
        <v>15.399398321997921</v>
      </c>
      <c r="M73" s="355">
        <f>M71+M72</f>
        <v>0.2647460311921442</v>
      </c>
      <c r="N73" s="44"/>
      <c r="O73" s="44"/>
      <c r="P73" s="44"/>
      <c r="Q73" s="20" t="s">
        <v>32</v>
      </c>
      <c r="R73" s="216"/>
      <c r="S73" s="325" t="s">
        <v>263</v>
      </c>
      <c r="T73" s="328"/>
      <c r="U73" s="299" t="s">
        <v>300</v>
      </c>
      <c r="V73" s="316" t="s">
        <v>302</v>
      </c>
      <c r="W73"/>
      <c r="X73"/>
      <c r="Y73"/>
      <c r="Z73"/>
      <c r="AA73"/>
    </row>
    <row r="74" spans="1:27" s="341" customFormat="1" ht="13.5" thickBot="1">
      <c r="A74" s="103" t="s">
        <v>123</v>
      </c>
      <c r="B74" s="103"/>
      <c r="C74" s="103"/>
      <c r="D74" s="103"/>
      <c r="E74" s="13"/>
      <c r="F74" s="145"/>
      <c r="G74" s="145"/>
      <c r="H74" s="13"/>
      <c r="I74" s="13"/>
      <c r="J74" s="13"/>
      <c r="K74" s="13"/>
      <c r="L74" s="13"/>
      <c r="M74" s="353"/>
      <c r="N74" s="13"/>
      <c r="O74" s="13"/>
      <c r="P74" s="13"/>
      <c r="Q74" s="13"/>
      <c r="R74" s="348"/>
      <c r="S74" s="119"/>
      <c r="T74" s="119"/>
      <c r="U74" s="119"/>
      <c r="V74" s="119"/>
      <c r="W74" s="119"/>
      <c r="X74" s="119"/>
      <c r="Y74" s="119"/>
      <c r="Z74" s="119"/>
      <c r="AA74" s="119"/>
    </row>
    <row r="75" spans="1:27" s="2" customFormat="1" ht="12.75">
      <c r="A75" s="127"/>
      <c r="B75" s="128" t="s">
        <v>124</v>
      </c>
      <c r="C75" s="128"/>
      <c r="D75" s="115"/>
      <c r="E75" s="20"/>
      <c r="F75" s="176">
        <v>1E-06</v>
      </c>
      <c r="G75" s="176">
        <v>1E-05</v>
      </c>
      <c r="H75" s="22"/>
      <c r="I75" s="526">
        <f>G75</f>
        <v>1E-05</v>
      </c>
      <c r="J75" s="23"/>
      <c r="K75" s="23"/>
      <c r="L75" s="23"/>
      <c r="M75" s="352"/>
      <c r="N75" s="23"/>
      <c r="O75" s="23"/>
      <c r="P75" s="23"/>
      <c r="Q75" s="23"/>
      <c r="R75" s="137"/>
      <c r="S75" s="332"/>
      <c r="T75" s="306" t="s">
        <v>265</v>
      </c>
      <c r="U75" s="307"/>
      <c r="V75" s="308"/>
      <c r="W75"/>
      <c r="X75"/>
      <c r="Y75"/>
      <c r="Z75"/>
      <c r="AA75"/>
    </row>
    <row r="76" spans="1:27" s="2" customFormat="1" ht="12.75">
      <c r="A76" s="116" t="s">
        <v>125</v>
      </c>
      <c r="B76" s="106"/>
      <c r="C76" s="106"/>
      <c r="D76" s="104"/>
      <c r="E76" s="20" t="s">
        <v>27</v>
      </c>
      <c r="F76" s="167">
        <v>10.5</v>
      </c>
      <c r="G76" s="167">
        <v>9.6</v>
      </c>
      <c r="H76" s="22"/>
      <c r="I76" s="524">
        <f>G76</f>
        <v>9.6</v>
      </c>
      <c r="J76" s="26">
        <v>0</v>
      </c>
      <c r="K76" s="26">
        <v>0</v>
      </c>
      <c r="L76" s="20">
        <f>I76</f>
        <v>9.6</v>
      </c>
      <c r="M76" s="352"/>
      <c r="N76" s="23"/>
      <c r="O76" s="23"/>
      <c r="P76" s="23"/>
      <c r="Q76" s="23"/>
      <c r="R76" s="24" t="s">
        <v>126</v>
      </c>
      <c r="S76" s="319"/>
      <c r="T76" s="311"/>
      <c r="U76" s="310"/>
      <c r="V76" s="311"/>
      <c r="W76"/>
      <c r="X76"/>
      <c r="Y76"/>
      <c r="Z76"/>
      <c r="AA76"/>
    </row>
    <row r="77" spans="1:27" s="2" customFormat="1" ht="12.75">
      <c r="A77" s="116" t="s">
        <v>127</v>
      </c>
      <c r="B77" s="106"/>
      <c r="C77" s="106"/>
      <c r="D77" s="104"/>
      <c r="E77" s="20" t="s">
        <v>27</v>
      </c>
      <c r="F77" s="149">
        <v>0.8</v>
      </c>
      <c r="G77" s="149">
        <v>2</v>
      </c>
      <c r="H77" s="538" t="str">
        <f>IF(J77=-K77,CONCATENATE("±",TEXT(ABS(J77),"0.0##")),CONCATENATE(TEXT(J77,"+0.0##;-0.0##"),"/",TEXT(K77,"+0.0##;-0.0##")))</f>
        <v>±0.25</v>
      </c>
      <c r="I77" s="52">
        <v>2</v>
      </c>
      <c r="J77" s="26">
        <v>-0.25</v>
      </c>
      <c r="K77" s="26">
        <v>0.25</v>
      </c>
      <c r="L77" s="20">
        <f>I77+((J77+K77)/2)</f>
        <v>2</v>
      </c>
      <c r="M77" s="53">
        <f>((J77-K77)^2)/12</f>
        <v>0.020833333333333332</v>
      </c>
      <c r="N77" s="53"/>
      <c r="O77" s="53"/>
      <c r="P77" s="53"/>
      <c r="Q77" s="20" t="s">
        <v>39</v>
      </c>
      <c r="R77" s="24"/>
      <c r="S77" s="319"/>
      <c r="T77" s="309" t="s">
        <v>265</v>
      </c>
      <c r="U77" s="312" t="s">
        <v>291</v>
      </c>
      <c r="V77" s="313" t="s">
        <v>324</v>
      </c>
      <c r="W77"/>
      <c r="X77"/>
      <c r="Y77"/>
      <c r="Z77"/>
      <c r="AA77"/>
    </row>
    <row r="78" spans="1:27" s="2" customFormat="1" ht="12.75">
      <c r="A78" s="116"/>
      <c r="B78" s="106" t="s">
        <v>128</v>
      </c>
      <c r="C78" s="106"/>
      <c r="D78" s="104"/>
      <c r="E78" s="20" t="s">
        <v>27</v>
      </c>
      <c r="F78" s="149"/>
      <c r="G78" s="149"/>
      <c r="H78" s="25"/>
      <c r="I78" s="37"/>
      <c r="J78" s="38"/>
      <c r="K78" s="38"/>
      <c r="L78" s="38"/>
      <c r="M78" s="352"/>
      <c r="N78" s="38"/>
      <c r="O78" s="38"/>
      <c r="P78" s="38"/>
      <c r="Q78" s="38"/>
      <c r="R78" s="24"/>
      <c r="S78" s="319"/>
      <c r="T78" s="311"/>
      <c r="U78" s="318"/>
      <c r="V78" s="311"/>
      <c r="W78"/>
      <c r="X78"/>
      <c r="Y78"/>
      <c r="Z78"/>
      <c r="AA78"/>
    </row>
    <row r="79" spans="1:27" s="2" customFormat="1" ht="12.75">
      <c r="A79" s="116"/>
      <c r="B79" s="106" t="s">
        <v>243</v>
      </c>
      <c r="D79" s="104"/>
      <c r="E79" s="20" t="s">
        <v>27</v>
      </c>
      <c r="F79" s="149"/>
      <c r="G79" s="149">
        <v>0</v>
      </c>
      <c r="H79" s="25"/>
      <c r="I79" s="37"/>
      <c r="J79" s="38"/>
      <c r="K79" s="38"/>
      <c r="L79" s="38"/>
      <c r="M79" s="352"/>
      <c r="N79" s="38"/>
      <c r="O79" s="38"/>
      <c r="P79" s="38"/>
      <c r="Q79" s="38"/>
      <c r="R79" s="24"/>
      <c r="S79" s="319"/>
      <c r="T79" s="311"/>
      <c r="U79" s="318"/>
      <c r="V79" s="311"/>
      <c r="W79"/>
      <c r="X79"/>
      <c r="Y79"/>
      <c r="Z79"/>
      <c r="AA79"/>
    </row>
    <row r="80" spans="1:27" s="2" customFormat="1" ht="12.75">
      <c r="A80" s="116"/>
      <c r="B80" s="106" t="s">
        <v>129</v>
      </c>
      <c r="C80" s="106"/>
      <c r="D80" s="104"/>
      <c r="E80" s="20" t="s">
        <v>27</v>
      </c>
      <c r="F80" s="149"/>
      <c r="G80" s="149">
        <f>SUM(G81:G83)</f>
        <v>0.612</v>
      </c>
      <c r="H80" s="25"/>
      <c r="I80" s="37"/>
      <c r="J80" s="38"/>
      <c r="K80" s="38"/>
      <c r="L80" s="38"/>
      <c r="M80" s="352"/>
      <c r="N80" s="38"/>
      <c r="O80" s="38"/>
      <c r="P80" s="38"/>
      <c r="Q80" s="38"/>
      <c r="R80" s="24"/>
      <c r="S80" s="319"/>
      <c r="T80" s="311"/>
      <c r="U80" s="318"/>
      <c r="V80" s="311"/>
      <c r="W80"/>
      <c r="X80"/>
      <c r="Y80"/>
      <c r="Z80"/>
      <c r="AA80"/>
    </row>
    <row r="81" spans="1:27" s="2" customFormat="1" ht="12.75">
      <c r="A81" s="116"/>
      <c r="B81" s="106"/>
      <c r="C81" s="106" t="s">
        <v>130</v>
      </c>
      <c r="D81" s="104"/>
      <c r="E81" s="20" t="s">
        <v>27</v>
      </c>
      <c r="F81" s="149"/>
      <c r="G81" s="149">
        <v>0.6</v>
      </c>
      <c r="H81" s="25"/>
      <c r="I81" s="37"/>
      <c r="J81" s="38"/>
      <c r="K81" s="38"/>
      <c r="L81" s="38"/>
      <c r="M81" s="352"/>
      <c r="N81" s="38"/>
      <c r="O81" s="38"/>
      <c r="P81" s="38"/>
      <c r="Q81" s="38"/>
      <c r="R81" s="24"/>
      <c r="S81" s="319"/>
      <c r="T81" s="311"/>
      <c r="U81" s="318"/>
      <c r="V81" s="311"/>
      <c r="W81"/>
      <c r="X81"/>
      <c r="Y81"/>
      <c r="Z81"/>
      <c r="AA81"/>
    </row>
    <row r="82" spans="1:27" s="2" customFormat="1" ht="12.75">
      <c r="A82" s="116"/>
      <c r="B82" s="106"/>
      <c r="C82" s="106" t="s">
        <v>131</v>
      </c>
      <c r="D82" s="104"/>
      <c r="E82" s="20" t="s">
        <v>27</v>
      </c>
      <c r="F82" s="149"/>
      <c r="G82" s="149"/>
      <c r="H82" s="25"/>
      <c r="I82" s="37"/>
      <c r="J82" s="38"/>
      <c r="K82" s="38"/>
      <c r="L82" s="38"/>
      <c r="M82" s="352"/>
      <c r="N82" s="38"/>
      <c r="O82" s="38"/>
      <c r="P82" s="38"/>
      <c r="Q82" s="38"/>
      <c r="R82" s="24"/>
      <c r="S82" s="319"/>
      <c r="T82" s="311"/>
      <c r="U82" s="318"/>
      <c r="V82" s="311"/>
      <c r="W82"/>
      <c r="X82"/>
      <c r="Y82"/>
      <c r="Z82"/>
      <c r="AA82"/>
    </row>
    <row r="83" spans="1:27" s="2" customFormat="1" ht="12.75">
      <c r="A83" s="116"/>
      <c r="B83" s="106"/>
      <c r="C83" s="106" t="s">
        <v>132</v>
      </c>
      <c r="D83" s="104"/>
      <c r="E83" s="20" t="s">
        <v>27</v>
      </c>
      <c r="F83" s="149"/>
      <c r="G83" s="149">
        <v>0.012</v>
      </c>
      <c r="H83" s="25"/>
      <c r="I83" s="37"/>
      <c r="J83" s="38"/>
      <c r="K83" s="38"/>
      <c r="L83" s="38"/>
      <c r="M83" s="352"/>
      <c r="N83" s="38"/>
      <c r="O83" s="38"/>
      <c r="P83" s="38"/>
      <c r="Q83" s="38"/>
      <c r="R83" s="24"/>
      <c r="S83" s="319"/>
      <c r="T83" s="311"/>
      <c r="U83" s="318"/>
      <c r="V83" s="311"/>
      <c r="W83"/>
      <c r="X83"/>
      <c r="Y83"/>
      <c r="Z83"/>
      <c r="AA83"/>
    </row>
    <row r="84" spans="1:27" s="2" customFormat="1" ht="12.75">
      <c r="A84" s="116" t="s">
        <v>133</v>
      </c>
      <c r="B84" s="106"/>
      <c r="C84" s="106"/>
      <c r="D84" s="104"/>
      <c r="E84" s="20" t="s">
        <v>27</v>
      </c>
      <c r="F84" s="149">
        <v>1.2</v>
      </c>
      <c r="G84" s="168">
        <f>SUM(G85:G88)</f>
        <v>0.5900000000000001</v>
      </c>
      <c r="H84" s="25" t="s">
        <v>134</v>
      </c>
      <c r="I84" s="525">
        <f>G84*0.9</f>
        <v>0.5310000000000001</v>
      </c>
      <c r="J84" s="99">
        <f>-G84*0.1</f>
        <v>-0.05900000000000001</v>
      </c>
      <c r="K84" s="99">
        <f>G84*0.1</f>
        <v>0.05900000000000001</v>
      </c>
      <c r="L84" s="20">
        <f>I84+((J84+K84)/3)</f>
        <v>0.5310000000000001</v>
      </c>
      <c r="M84" s="53">
        <f>(J84^2+K84^2-(K84*J84))/18</f>
        <v>0.0005801666666666669</v>
      </c>
      <c r="N84" s="20"/>
      <c r="O84" s="20"/>
      <c r="P84" s="20"/>
      <c r="Q84" s="20" t="s">
        <v>36</v>
      </c>
      <c r="R84" s="24"/>
      <c r="S84" s="319"/>
      <c r="T84" s="309" t="s">
        <v>135</v>
      </c>
      <c r="U84" s="312" t="s">
        <v>290</v>
      </c>
      <c r="V84" s="313" t="s">
        <v>324</v>
      </c>
      <c r="W84"/>
      <c r="X84"/>
      <c r="Y84"/>
      <c r="Z84"/>
      <c r="AA84"/>
    </row>
    <row r="85" spans="1:27" s="2" customFormat="1" ht="12.75">
      <c r="A85" s="116"/>
      <c r="B85" s="106"/>
      <c r="C85" s="106" t="s">
        <v>130</v>
      </c>
      <c r="D85" s="104"/>
      <c r="E85" s="20" t="s">
        <v>27</v>
      </c>
      <c r="F85" s="149"/>
      <c r="G85" s="149">
        <v>0.53</v>
      </c>
      <c r="H85" s="25"/>
      <c r="I85" s="37"/>
      <c r="J85" s="38"/>
      <c r="K85" s="38"/>
      <c r="L85" s="38"/>
      <c r="M85" s="352"/>
      <c r="N85" s="38"/>
      <c r="O85" s="38"/>
      <c r="P85" s="38"/>
      <c r="Q85" s="38"/>
      <c r="R85" s="24"/>
      <c r="S85" s="319"/>
      <c r="T85" s="313" t="s">
        <v>289</v>
      </c>
      <c r="U85" s="318"/>
      <c r="V85" s="311"/>
      <c r="W85"/>
      <c r="X85"/>
      <c r="Y85"/>
      <c r="Z85"/>
      <c r="AA85"/>
    </row>
    <row r="86" spans="1:27" s="2" customFormat="1" ht="12.75">
      <c r="A86" s="116"/>
      <c r="B86" s="106"/>
      <c r="C86" s="106" t="s">
        <v>136</v>
      </c>
      <c r="D86" s="104"/>
      <c r="E86" s="20" t="s">
        <v>27</v>
      </c>
      <c r="F86" s="177"/>
      <c r="G86" s="177">
        <v>0.01</v>
      </c>
      <c r="H86" s="25"/>
      <c r="I86" s="37"/>
      <c r="J86" s="38"/>
      <c r="K86" s="38"/>
      <c r="L86" s="38"/>
      <c r="M86" s="352"/>
      <c r="N86" s="38"/>
      <c r="O86" s="38"/>
      <c r="P86" s="38"/>
      <c r="Q86" s="38"/>
      <c r="R86" s="24"/>
      <c r="S86" s="319"/>
      <c r="T86" s="313" t="s">
        <v>289</v>
      </c>
      <c r="U86" s="318"/>
      <c r="V86" s="311"/>
      <c r="W86"/>
      <c r="X86"/>
      <c r="Y86"/>
      <c r="Z86"/>
      <c r="AA86"/>
    </row>
    <row r="87" spans="1:27" s="2" customFormat="1" ht="12.75">
      <c r="A87" s="116"/>
      <c r="B87" s="106"/>
      <c r="C87" s="106" t="s">
        <v>137</v>
      </c>
      <c r="D87" s="104"/>
      <c r="E87" s="20" t="s">
        <v>27</v>
      </c>
      <c r="F87" s="149"/>
      <c r="G87" s="149">
        <v>0</v>
      </c>
      <c r="H87" s="25"/>
      <c r="I87" s="37"/>
      <c r="J87" s="38"/>
      <c r="K87" s="38"/>
      <c r="L87" s="38"/>
      <c r="M87" s="352"/>
      <c r="N87" s="38"/>
      <c r="O87" s="38"/>
      <c r="P87" s="38"/>
      <c r="Q87" s="38"/>
      <c r="R87" s="24"/>
      <c r="S87" s="319"/>
      <c r="T87" s="313" t="s">
        <v>289</v>
      </c>
      <c r="U87" s="318"/>
      <c r="V87" s="311"/>
      <c r="W87"/>
      <c r="X87"/>
      <c r="Y87"/>
      <c r="Z87"/>
      <c r="AA87"/>
    </row>
    <row r="88" spans="1:27" s="2" customFormat="1" ht="12.75">
      <c r="A88" s="116"/>
      <c r="B88" s="106"/>
      <c r="C88" s="106" t="s">
        <v>138</v>
      </c>
      <c r="D88" s="104"/>
      <c r="E88" s="20" t="s">
        <v>27</v>
      </c>
      <c r="F88" s="149"/>
      <c r="G88" s="149">
        <v>0.05</v>
      </c>
      <c r="H88" s="25"/>
      <c r="I88" s="37"/>
      <c r="J88" s="38"/>
      <c r="K88" s="38"/>
      <c r="L88" s="38"/>
      <c r="M88" s="352"/>
      <c r="N88" s="38"/>
      <c r="O88" s="38"/>
      <c r="P88" s="38"/>
      <c r="Q88" s="38"/>
      <c r="R88" s="24"/>
      <c r="S88" s="319"/>
      <c r="T88" s="313" t="s">
        <v>275</v>
      </c>
      <c r="U88" s="318"/>
      <c r="V88" s="311"/>
      <c r="W88"/>
      <c r="X88"/>
      <c r="Y88"/>
      <c r="Z88"/>
      <c r="AA88"/>
    </row>
    <row r="89" spans="1:27" s="2" customFormat="1" ht="13.5" thickBot="1">
      <c r="A89" s="138" t="s">
        <v>139</v>
      </c>
      <c r="B89" s="139"/>
      <c r="C89" s="139"/>
      <c r="D89" s="140"/>
      <c r="E89" s="20" t="s">
        <v>27</v>
      </c>
      <c r="F89" s="178">
        <f>F76+F77+F84</f>
        <v>12.5</v>
      </c>
      <c r="G89" s="178">
        <f>G76+G77+G84</f>
        <v>12.19</v>
      </c>
      <c r="H89" s="55"/>
      <c r="I89" s="56">
        <f>I76+I77+I84</f>
        <v>12.131</v>
      </c>
      <c r="J89" s="57"/>
      <c r="K89" s="57"/>
      <c r="L89" s="44">
        <f>L76+L77+L84</f>
        <v>12.131</v>
      </c>
      <c r="M89" s="352"/>
      <c r="N89" s="23"/>
      <c r="O89" s="23"/>
      <c r="P89" s="23"/>
      <c r="Q89" s="23"/>
      <c r="R89" s="216"/>
      <c r="S89" s="325" t="s">
        <v>542</v>
      </c>
      <c r="T89" s="328"/>
      <c r="U89" s="329"/>
      <c r="V89" s="328"/>
      <c r="W89"/>
      <c r="X89"/>
      <c r="Y89"/>
      <c r="Z89"/>
      <c r="AA89"/>
    </row>
    <row r="90" spans="1:22" s="12" customFormat="1" ht="26.25" thickBot="1">
      <c r="A90" s="762" t="s">
        <v>140</v>
      </c>
      <c r="B90" s="763"/>
      <c r="C90" s="763"/>
      <c r="D90" s="764"/>
      <c r="E90" s="491" t="s">
        <v>27</v>
      </c>
      <c r="F90" s="502">
        <f>F73-F89</f>
        <v>1.5500578896162693</v>
      </c>
      <c r="G90" s="502">
        <f>G73-G89</f>
        <v>1.4498922159380907</v>
      </c>
      <c r="H90" s="493"/>
      <c r="I90" s="494">
        <f>I73-I89</f>
        <v>3.424450581824317</v>
      </c>
      <c r="J90" s="495"/>
      <c r="K90" s="495"/>
      <c r="L90" s="496">
        <f>L73-L89</f>
        <v>3.268398321997921</v>
      </c>
      <c r="M90" s="542">
        <f>M73+M77+M84</f>
        <v>0.28615953119214416</v>
      </c>
      <c r="N90" s="497"/>
      <c r="O90" s="497"/>
      <c r="P90" s="497"/>
      <c r="Q90" s="498" t="s">
        <v>32</v>
      </c>
      <c r="R90" s="499"/>
      <c r="S90" s="484" t="s">
        <v>264</v>
      </c>
      <c r="T90" s="500"/>
      <c r="U90" s="484" t="s">
        <v>543</v>
      </c>
      <c r="V90" s="501" t="s">
        <v>302</v>
      </c>
    </row>
    <row r="91" spans="1:22" ht="13.5" thickBot="1">
      <c r="A91" s="98"/>
      <c r="B91" s="108"/>
      <c r="C91" s="108"/>
      <c r="D91" s="108" t="s">
        <v>141</v>
      </c>
      <c r="E91" s="270" t="s">
        <v>27</v>
      </c>
      <c r="F91" s="271"/>
      <c r="G91" s="272">
        <f>G73-F89</f>
        <v>1.1398922159380902</v>
      </c>
      <c r="L91" s="64" t="s">
        <v>142</v>
      </c>
      <c r="M91" s="273">
        <f>SQRT(M90)</f>
        <v>0.5349388106990781</v>
      </c>
      <c r="N91" s="86"/>
      <c r="O91" s="86"/>
      <c r="P91" s="86"/>
      <c r="Q91" s="66" t="s">
        <v>27</v>
      </c>
      <c r="S91" s="319"/>
      <c r="T91" s="311"/>
      <c r="U91" s="318"/>
      <c r="V91" s="311"/>
    </row>
    <row r="92" spans="1:22" ht="13.5" thickBot="1">
      <c r="A92" s="648" t="s">
        <v>802</v>
      </c>
      <c r="B92" s="649"/>
      <c r="C92" s="649"/>
      <c r="D92" s="649"/>
      <c r="E92" s="592" t="s">
        <v>27</v>
      </c>
      <c r="F92" s="593"/>
      <c r="G92" s="595">
        <v>1</v>
      </c>
      <c r="H92" s="594"/>
      <c r="I92" s="595">
        <v>1</v>
      </c>
      <c r="L92" s="64" t="s">
        <v>143</v>
      </c>
      <c r="M92" s="67">
        <f>2*M91</f>
        <v>1.0698776213981562</v>
      </c>
      <c r="N92" s="68"/>
      <c r="O92" s="68"/>
      <c r="P92" s="68"/>
      <c r="Q92" s="66" t="s">
        <v>27</v>
      </c>
      <c r="V92"/>
    </row>
    <row r="93" spans="1:22" ht="13.5" thickBot="1">
      <c r="A93" s="648" t="s">
        <v>813</v>
      </c>
      <c r="B93" s="650"/>
      <c r="C93" s="650"/>
      <c r="D93" s="650"/>
      <c r="E93" s="592" t="s">
        <v>27</v>
      </c>
      <c r="F93" s="593"/>
      <c r="G93" s="596">
        <f>G90-G92</f>
        <v>0.4498922159380907</v>
      </c>
      <c r="H93" s="594"/>
      <c r="I93" s="596">
        <f>I90-I92</f>
        <v>2.424450581824317</v>
      </c>
      <c r="L93" s="64"/>
      <c r="M93" s="68"/>
      <c r="N93" s="68"/>
      <c r="O93" s="68"/>
      <c r="P93" s="68"/>
      <c r="Q93" s="66"/>
      <c r="V93"/>
    </row>
    <row r="94" spans="1:22" ht="13.5" thickBot="1">
      <c r="A94" s="569"/>
      <c r="B94" s="287"/>
      <c r="C94" s="287"/>
      <c r="D94" s="287"/>
      <c r="E94" s="633"/>
      <c r="F94" s="634"/>
      <c r="G94" s="635"/>
      <c r="H94" s="288"/>
      <c r="I94" s="635"/>
      <c r="L94" s="64"/>
      <c r="M94" s="68"/>
      <c r="N94" s="68"/>
      <c r="O94" s="68"/>
      <c r="P94" s="68"/>
      <c r="Q94" s="66"/>
      <c r="V94"/>
    </row>
    <row r="95" spans="1:22" ht="13.5" thickBot="1">
      <c r="A95" s="658" t="s">
        <v>884</v>
      </c>
      <c r="B95" s="654"/>
      <c r="C95" s="654"/>
      <c r="D95" s="654"/>
      <c r="E95" s="655" t="s">
        <v>27</v>
      </c>
      <c r="F95" s="656"/>
      <c r="G95" s="659">
        <f>G77+G84+G92</f>
        <v>3.59</v>
      </c>
      <c r="H95" s="657"/>
      <c r="I95" s="659">
        <f>I77+I84+I92</f>
        <v>3.531</v>
      </c>
      <c r="L95" s="64"/>
      <c r="M95" s="68"/>
      <c r="N95" s="68"/>
      <c r="O95" s="68"/>
      <c r="P95" s="68"/>
      <c r="Q95" s="66"/>
      <c r="V95"/>
    </row>
    <row r="96" spans="1:22" ht="12.75">
      <c r="A96" s="119"/>
      <c r="B96" s="119"/>
      <c r="C96" s="119"/>
      <c r="D96" s="119"/>
      <c r="F96" s="63"/>
      <c r="G96" s="63"/>
      <c r="H96" s="180" t="s">
        <v>144</v>
      </c>
      <c r="L96" s="64"/>
      <c r="M96" s="68"/>
      <c r="N96" s="68"/>
      <c r="O96" s="68"/>
      <c r="P96" s="68"/>
      <c r="Q96" s="66"/>
      <c r="V96"/>
    </row>
    <row r="97" spans="1:22" ht="12.75">
      <c r="A97" s="181"/>
      <c r="B97" s="181"/>
      <c r="C97" s="181"/>
      <c r="D97" s="181"/>
      <c r="F97" s="63"/>
      <c r="G97" s="180" t="s">
        <v>145</v>
      </c>
      <c r="H97" s="180" t="s">
        <v>146</v>
      </c>
      <c r="I97" s="180" t="s">
        <v>147</v>
      </c>
      <c r="J97" s="180"/>
      <c r="L97" s="64"/>
      <c r="M97" s="68"/>
      <c r="N97" s="68"/>
      <c r="O97" s="68"/>
      <c r="P97" s="68"/>
      <c r="Q97" s="66"/>
      <c r="V97"/>
    </row>
    <row r="98" spans="1:22" ht="13.5" thickBot="1">
      <c r="A98" s="181"/>
      <c r="B98" s="181"/>
      <c r="C98" s="181"/>
      <c r="D98" s="181"/>
      <c r="E98" s="180"/>
      <c r="F98" s="63"/>
      <c r="G98" s="180" t="s">
        <v>148</v>
      </c>
      <c r="H98" s="180" t="s">
        <v>148</v>
      </c>
      <c r="I98" s="180" t="s">
        <v>148</v>
      </c>
      <c r="L98" s="64"/>
      <c r="M98" s="68"/>
      <c r="N98" s="68"/>
      <c r="O98" s="68"/>
      <c r="P98" s="68"/>
      <c r="Q98" s="66"/>
      <c r="V98"/>
    </row>
    <row r="99" spans="1:22" ht="12.75">
      <c r="A99" s="182" t="s">
        <v>149</v>
      </c>
      <c r="B99" s="183"/>
      <c r="C99" s="183"/>
      <c r="D99" s="183"/>
      <c r="E99" s="184" t="s">
        <v>27</v>
      </c>
      <c r="F99" s="63"/>
      <c r="G99" s="133">
        <f>I93+M92</f>
        <v>3.494328203222473</v>
      </c>
      <c r="H99" s="185">
        <v>2</v>
      </c>
      <c r="I99" s="186">
        <f>G99-H99</f>
        <v>1.494328203222473</v>
      </c>
      <c r="L99" s="64"/>
      <c r="M99" s="68"/>
      <c r="N99" s="68"/>
      <c r="O99" s="68"/>
      <c r="P99" s="68"/>
      <c r="Q99" s="66"/>
      <c r="S99" s="363"/>
      <c r="T99" s="70" t="s">
        <v>37</v>
      </c>
      <c r="U99" s="363"/>
      <c r="V99" s="363"/>
    </row>
    <row r="100" spans="1:22" ht="12.75">
      <c r="A100" s="187" t="s">
        <v>150</v>
      </c>
      <c r="B100" s="188"/>
      <c r="C100" s="188"/>
      <c r="D100" s="188"/>
      <c r="E100" s="189" t="s">
        <v>27</v>
      </c>
      <c r="F100" s="63"/>
      <c r="G100" s="597">
        <f>I93</f>
        <v>2.424450581824317</v>
      </c>
      <c r="H100" s="190">
        <v>1</v>
      </c>
      <c r="I100" s="191">
        <f>G100-H100</f>
        <v>1.424450581824317</v>
      </c>
      <c r="K100"/>
      <c r="L100"/>
      <c r="M100"/>
      <c r="N100"/>
      <c r="O100"/>
      <c r="P100"/>
      <c r="Q100"/>
      <c r="S100" s="364"/>
      <c r="T100" s="24" t="s">
        <v>37</v>
      </c>
      <c r="U100" s="364"/>
      <c r="V100" s="364"/>
    </row>
    <row r="101" spans="1:22" ht="13.5" thickBot="1">
      <c r="A101" s="192" t="s">
        <v>151</v>
      </c>
      <c r="B101" s="193"/>
      <c r="C101" s="193"/>
      <c r="D101" s="193"/>
      <c r="E101" s="194" t="s">
        <v>27</v>
      </c>
      <c r="F101" s="63"/>
      <c r="G101" s="598">
        <f>I93-M92</f>
        <v>1.3545729604261607</v>
      </c>
      <c r="H101" s="195">
        <v>0</v>
      </c>
      <c r="I101" s="196">
        <f>G101-H101</f>
        <v>1.3545729604261607</v>
      </c>
      <c r="K101"/>
      <c r="L101"/>
      <c r="M101"/>
      <c r="N101"/>
      <c r="O101"/>
      <c r="P101"/>
      <c r="Q101"/>
      <c r="S101" s="361"/>
      <c r="T101" s="71" t="s">
        <v>37</v>
      </c>
      <c r="U101" s="361"/>
      <c r="V101" s="361"/>
    </row>
    <row r="102" spans="6:22" ht="13.5" thickBot="1">
      <c r="F102"/>
      <c r="G102"/>
      <c r="H102" s="197"/>
      <c r="I102"/>
      <c r="J102"/>
      <c r="K102"/>
      <c r="L102"/>
      <c r="M102"/>
      <c r="N102"/>
      <c r="O102"/>
      <c r="P102"/>
      <c r="Q102"/>
      <c r="V102"/>
    </row>
    <row r="103" spans="2:12" ht="12.75">
      <c r="B103" s="765" t="s">
        <v>433</v>
      </c>
      <c r="C103" s="797"/>
      <c r="D103" s="797"/>
      <c r="E103" s="797"/>
      <c r="F103" s="797"/>
      <c r="G103" s="797"/>
      <c r="H103" s="797"/>
      <c r="I103" s="797"/>
      <c r="J103" s="797"/>
      <c r="K103" s="798"/>
      <c r="L103" s="607"/>
    </row>
    <row r="104" spans="2:12" ht="12.75">
      <c r="B104" s="581"/>
      <c r="C104" s="288"/>
      <c r="D104" s="288"/>
      <c r="E104" s="795" t="s">
        <v>435</v>
      </c>
      <c r="F104" s="796"/>
      <c r="G104" s="795" t="s">
        <v>801</v>
      </c>
      <c r="H104" s="796"/>
      <c r="I104" s="795" t="s">
        <v>146</v>
      </c>
      <c r="J104" s="796"/>
      <c r="K104" s="582"/>
      <c r="L104" s="607"/>
    </row>
    <row r="105" spans="2:12" ht="12.75">
      <c r="B105" s="572"/>
      <c r="C105" s="573"/>
      <c r="D105" s="574" t="s">
        <v>4</v>
      </c>
      <c r="E105" s="637" t="s">
        <v>431</v>
      </c>
      <c r="F105" s="637" t="s">
        <v>432</v>
      </c>
      <c r="G105" s="637" t="s">
        <v>431</v>
      </c>
      <c r="H105" s="637" t="s">
        <v>432</v>
      </c>
      <c r="I105" s="637" t="s">
        <v>431</v>
      </c>
      <c r="J105" s="637" t="s">
        <v>432</v>
      </c>
      <c r="K105" s="575" t="s">
        <v>5</v>
      </c>
      <c r="L105" s="607"/>
    </row>
    <row r="106" spans="2:12" ht="12.75">
      <c r="B106" s="576" t="s">
        <v>67</v>
      </c>
      <c r="C106" s="569"/>
      <c r="D106" s="569"/>
      <c r="E106" s="638">
        <f>I106+G106</f>
        <v>2.61</v>
      </c>
      <c r="F106" s="639">
        <f>J106-H106</f>
        <v>4.550000000000001</v>
      </c>
      <c r="G106" s="640">
        <v>0.06</v>
      </c>
      <c r="H106" s="640">
        <v>0.06</v>
      </c>
      <c r="I106" s="641">
        <f>I29+J29</f>
        <v>2.55</v>
      </c>
      <c r="J106" s="642">
        <f>I29+K29</f>
        <v>4.61</v>
      </c>
      <c r="K106" s="577" t="s">
        <v>27</v>
      </c>
      <c r="L106" s="607"/>
    </row>
    <row r="107" spans="2:12" ht="12.75">
      <c r="B107" s="576" t="s">
        <v>96</v>
      </c>
      <c r="C107" s="569"/>
      <c r="D107" s="569"/>
      <c r="E107" s="638">
        <f>I107+G107</f>
        <v>34.88373159428362</v>
      </c>
      <c r="F107" s="639">
        <f>J107-H107</f>
        <v>36.34626840571637</v>
      </c>
      <c r="G107" s="640">
        <v>0.41</v>
      </c>
      <c r="H107" s="640">
        <v>0.08</v>
      </c>
      <c r="I107" s="638">
        <f>I43+K43</f>
        <v>34.47373159428362</v>
      </c>
      <c r="J107" s="639">
        <f>I43+J43</f>
        <v>36.42626840571637</v>
      </c>
      <c r="K107" s="577" t="s">
        <v>61</v>
      </c>
      <c r="L107" s="607"/>
    </row>
    <row r="108" spans="2:12" ht="13.5" thickBot="1">
      <c r="B108" s="643" t="s">
        <v>885</v>
      </c>
      <c r="C108" s="644"/>
      <c r="D108" s="644"/>
      <c r="E108" s="645">
        <f>I108+G108</f>
        <v>0</v>
      </c>
      <c r="F108" s="646">
        <f>J108-H108</f>
        <v>3.5309999999999997</v>
      </c>
      <c r="G108" s="647">
        <v>0</v>
      </c>
      <c r="H108" s="647">
        <f>K84</f>
        <v>0.05900000000000001</v>
      </c>
      <c r="I108" s="645">
        <v>0</v>
      </c>
      <c r="J108" s="646">
        <f>G95</f>
        <v>3.59</v>
      </c>
      <c r="K108" s="578" t="s">
        <v>27</v>
      </c>
      <c r="L108" s="607"/>
    </row>
  </sheetData>
  <mergeCells count="5">
    <mergeCell ref="A90:D90"/>
    <mergeCell ref="E104:F104"/>
    <mergeCell ref="G104:H104"/>
    <mergeCell ref="I104:J104"/>
    <mergeCell ref="B103:K103"/>
  </mergeCells>
  <printOptions headings="1" horizontalCentered="1"/>
  <pageMargins left="0.75" right="0.25" top="0.5" bottom="0.75" header="0.25" footer="0.25"/>
  <pageSetup fitToHeight="1" fitToWidth="1" horizontalDpi="600" verticalDpi="600" orientation="portrait" scale="47"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C126"/>
  <sheetViews>
    <sheetView zoomScale="75" zoomScaleNormal="75" workbookViewId="0" topLeftCell="A1">
      <pane ySplit="2" topLeftCell="BM117" activePane="bottomLeft" state="frozen"/>
      <selection pane="topLeft" activeCell="I107" sqref="I107:J107"/>
      <selection pane="bottomLeft" activeCell="G98" sqref="G98"/>
    </sheetView>
  </sheetViews>
  <sheetFormatPr defaultColWidth="9.140625" defaultRowHeight="12.75"/>
  <cols>
    <col min="1" max="3" width="3.421875" style="0" customWidth="1"/>
    <col min="4" max="4" width="25.140625" style="0" customWidth="1"/>
    <col min="5" max="5" width="9.7109375" style="63" customWidth="1"/>
    <col min="6" max="6" width="9.8515625" style="144" customWidth="1"/>
    <col min="7" max="9" width="10.7109375" style="144" customWidth="1"/>
    <col min="10" max="10" width="10.28125" style="63" customWidth="1"/>
    <col min="11" max="11" width="10.7109375" style="63" customWidth="1"/>
    <col min="12" max="13" width="8.8515625" style="63" customWidth="1"/>
    <col min="14" max="14" width="8.28125" style="63" customWidth="1"/>
    <col min="15" max="15" width="10.00390625" style="63" customWidth="1"/>
    <col min="16" max="18" width="10.7109375" style="63" hidden="1" customWidth="1"/>
    <col min="19" max="19" width="6.8515625" style="63" customWidth="1"/>
    <col min="20" max="20" width="44.7109375" style="0" customWidth="1"/>
    <col min="21" max="21" width="115.28125" style="66" customWidth="1"/>
    <col min="22" max="22" width="101.7109375" style="0" customWidth="1"/>
    <col min="23" max="23" width="91.421875" style="288" customWidth="1"/>
    <col min="24" max="24" width="100.57421875" style="82" customWidth="1"/>
    <col min="25" max="16384" width="8.8515625" style="0" customWidth="1"/>
  </cols>
  <sheetData>
    <row r="1" spans="1:24" s="2" customFormat="1" ht="13.5" thickBot="1">
      <c r="A1" s="109"/>
      <c r="B1" s="110"/>
      <c r="C1" s="110"/>
      <c r="D1" s="111"/>
      <c r="E1" s="4"/>
      <c r="F1" s="1" t="s">
        <v>175</v>
      </c>
      <c r="G1" s="5" t="s">
        <v>1</v>
      </c>
      <c r="H1" s="7"/>
      <c r="I1" s="7"/>
      <c r="J1" s="6"/>
      <c r="K1" s="7" t="s">
        <v>2</v>
      </c>
      <c r="L1" s="7"/>
      <c r="M1" s="6"/>
      <c r="N1" s="5" t="s">
        <v>3</v>
      </c>
      <c r="O1" s="6"/>
      <c r="P1" s="83"/>
      <c r="Q1" s="83"/>
      <c r="R1" s="83"/>
      <c r="S1" s="8"/>
      <c r="T1" s="9"/>
      <c r="U1" s="289"/>
      <c r="V1" s="290"/>
      <c r="W1" s="291"/>
      <c r="X1" s="292"/>
    </row>
    <row r="2" spans="1:24" s="12" customFormat="1" ht="39" customHeight="1" thickBot="1">
      <c r="A2" s="112" t="s">
        <v>4</v>
      </c>
      <c r="B2" s="113"/>
      <c r="C2" s="113"/>
      <c r="D2" s="114"/>
      <c r="E2" s="10" t="s">
        <v>5</v>
      </c>
      <c r="F2" s="245" t="s">
        <v>6</v>
      </c>
      <c r="G2" s="10" t="s">
        <v>7</v>
      </c>
      <c r="H2" s="10" t="s">
        <v>7</v>
      </c>
      <c r="I2" s="10" t="s">
        <v>7</v>
      </c>
      <c r="J2" s="10" t="s">
        <v>8</v>
      </c>
      <c r="K2" s="11" t="s">
        <v>9</v>
      </c>
      <c r="L2" s="11" t="s">
        <v>10</v>
      </c>
      <c r="M2" s="11" t="s">
        <v>11</v>
      </c>
      <c r="N2" s="11" t="s">
        <v>12</v>
      </c>
      <c r="O2" s="11" t="s">
        <v>13</v>
      </c>
      <c r="P2" s="10"/>
      <c r="Q2" s="10"/>
      <c r="R2" s="10"/>
      <c r="S2" s="10" t="s">
        <v>14</v>
      </c>
      <c r="T2" s="10" t="s">
        <v>15</v>
      </c>
      <c r="U2" s="293" t="s">
        <v>284</v>
      </c>
      <c r="V2" s="245" t="s">
        <v>285</v>
      </c>
      <c r="W2" s="293" t="s">
        <v>286</v>
      </c>
      <c r="X2" s="245" t="s">
        <v>287</v>
      </c>
    </row>
    <row r="3" spans="1:24" s="341" customFormat="1" ht="13.5" thickBot="1">
      <c r="A3" s="103" t="s">
        <v>16</v>
      </c>
      <c r="B3" s="103"/>
      <c r="C3" s="103"/>
      <c r="D3" s="103"/>
      <c r="E3" s="13"/>
      <c r="F3" s="145"/>
      <c r="G3" s="145"/>
      <c r="H3" s="145"/>
      <c r="I3" s="145"/>
      <c r="J3" s="13"/>
      <c r="K3" s="13"/>
      <c r="L3" s="13"/>
      <c r="M3" s="13"/>
      <c r="N3" s="13"/>
      <c r="O3" s="13"/>
      <c r="P3" s="13"/>
      <c r="Q3" s="13"/>
      <c r="R3" s="13"/>
      <c r="S3" s="13"/>
      <c r="T3" s="348"/>
      <c r="U3" s="407"/>
      <c r="V3" s="348"/>
      <c r="W3" s="285"/>
      <c r="X3" s="400"/>
    </row>
    <row r="4" spans="1:24" s="2" customFormat="1" ht="12.75">
      <c r="A4" s="127" t="s">
        <v>180</v>
      </c>
      <c r="B4" s="128"/>
      <c r="C4" s="128"/>
      <c r="D4" s="115"/>
      <c r="E4"/>
      <c r="F4" s="146" t="s">
        <v>181</v>
      </c>
      <c r="G4" s="146" t="s">
        <v>181</v>
      </c>
      <c r="H4" s="146" t="s">
        <v>182</v>
      </c>
      <c r="I4" s="146" t="s">
        <v>182</v>
      </c>
      <c r="J4"/>
      <c r="K4" s="75"/>
      <c r="L4" s="18"/>
      <c r="M4" s="18"/>
      <c r="N4" s="18"/>
      <c r="O4" s="351"/>
      <c r="P4" s="18"/>
      <c r="Q4" s="18"/>
      <c r="R4" s="18"/>
      <c r="S4" s="18"/>
      <c r="T4" s="294"/>
      <c r="U4" s="303"/>
      <c r="V4" s="337" t="s">
        <v>265</v>
      </c>
      <c r="W4" s="338"/>
      <c r="X4" s="304"/>
    </row>
    <row r="5" spans="1:24" s="2" customFormat="1" ht="13.5" thickBot="1">
      <c r="A5" s="138" t="s">
        <v>18</v>
      </c>
      <c r="B5" s="139"/>
      <c r="C5" s="139"/>
      <c r="D5" s="140"/>
      <c r="E5" s="22" t="s">
        <v>19</v>
      </c>
      <c r="F5" s="147">
        <v>0.0001</v>
      </c>
      <c r="G5" s="147">
        <v>0.0001</v>
      </c>
      <c r="H5" s="147">
        <v>0.0003</v>
      </c>
      <c r="I5" s="147">
        <v>0.0012</v>
      </c>
      <c r="J5" s="22"/>
      <c r="K5" s="52">
        <f>G5</f>
        <v>0.0001</v>
      </c>
      <c r="L5" s="26"/>
      <c r="M5" s="717"/>
      <c r="N5" s="77">
        <f>K5</f>
        <v>0.0001</v>
      </c>
      <c r="O5" s="352"/>
      <c r="P5" s="23"/>
      <c r="Q5" s="23"/>
      <c r="R5" s="23"/>
      <c r="S5" s="23"/>
      <c r="T5" s="295"/>
      <c r="U5" s="331"/>
      <c r="V5" s="339" t="s">
        <v>265</v>
      </c>
      <c r="W5" s="340"/>
      <c r="X5" s="305"/>
    </row>
    <row r="6" spans="1:29" s="341" customFormat="1" ht="13.5" thickBot="1">
      <c r="A6" s="103" t="s">
        <v>20</v>
      </c>
      <c r="B6" s="103"/>
      <c r="C6" s="103"/>
      <c r="D6" s="103"/>
      <c r="E6" s="13"/>
      <c r="F6" s="145"/>
      <c r="G6" s="145"/>
      <c r="H6" s="145"/>
      <c r="I6" s="145"/>
      <c r="J6" s="13"/>
      <c r="K6" s="28"/>
      <c r="L6" s="28"/>
      <c r="M6" s="28"/>
      <c r="N6" s="13"/>
      <c r="O6" s="353"/>
      <c r="P6" s="13"/>
      <c r="Q6" s="13"/>
      <c r="R6" s="13"/>
      <c r="S6" s="13"/>
      <c r="T6" s="348"/>
      <c r="U6" s="408"/>
      <c r="V6" s="409"/>
      <c r="W6" s="410"/>
      <c r="X6" s="411"/>
      <c r="Y6" s="119"/>
      <c r="Z6" s="119"/>
      <c r="AA6" s="119"/>
      <c r="AB6" s="119"/>
      <c r="AC6" s="119"/>
    </row>
    <row r="7" spans="1:29" s="2" customFormat="1" ht="12.75">
      <c r="A7" s="127" t="s">
        <v>21</v>
      </c>
      <c r="B7" s="128"/>
      <c r="C7" s="128"/>
      <c r="D7" s="115"/>
      <c r="E7" s="15" t="s">
        <v>19</v>
      </c>
      <c r="F7" s="148">
        <v>401.9</v>
      </c>
      <c r="G7" s="148">
        <v>401.9</v>
      </c>
      <c r="H7" s="148">
        <v>401.9</v>
      </c>
      <c r="I7" s="148">
        <v>401.9</v>
      </c>
      <c r="J7" s="17"/>
      <c r="K7" s="527">
        <f aca="true" t="shared" si="0" ref="K7:K13">G7</f>
        <v>401.9</v>
      </c>
      <c r="L7" s="27"/>
      <c r="M7" s="27"/>
      <c r="N7" s="226">
        <f>K7</f>
        <v>401.9</v>
      </c>
      <c r="O7" s="351"/>
      <c r="P7" s="18"/>
      <c r="Q7" s="18"/>
      <c r="R7" s="18"/>
      <c r="S7" s="18"/>
      <c r="T7" s="19"/>
      <c r="U7" s="332"/>
      <c r="V7" s="306" t="s">
        <v>266</v>
      </c>
      <c r="W7" s="307"/>
      <c r="X7" s="308"/>
      <c r="Y7"/>
      <c r="Z7"/>
      <c r="AA7"/>
      <c r="AB7"/>
      <c r="AC7"/>
    </row>
    <row r="8" spans="1:29" s="2" customFormat="1" ht="12.75">
      <c r="A8" s="116"/>
      <c r="B8" s="106" t="s">
        <v>22</v>
      </c>
      <c r="C8" s="106"/>
      <c r="D8" s="104"/>
      <c r="E8" s="20" t="s">
        <v>23</v>
      </c>
      <c r="F8" s="147" t="s">
        <v>178</v>
      </c>
      <c r="G8" s="147" t="s">
        <v>178</v>
      </c>
      <c r="H8" s="147" t="s">
        <v>178</v>
      </c>
      <c r="I8" s="147" t="s">
        <v>178</v>
      </c>
      <c r="J8" s="22"/>
      <c r="K8" s="52" t="str">
        <f t="shared" si="0"/>
        <v>RHCP</v>
      </c>
      <c r="L8" s="26"/>
      <c r="M8" s="26"/>
      <c r="N8" s="23"/>
      <c r="O8" s="352"/>
      <c r="P8" s="23"/>
      <c r="Q8" s="23"/>
      <c r="R8" s="23"/>
      <c r="S8" s="23"/>
      <c r="T8" s="24" t="s">
        <v>25</v>
      </c>
      <c r="U8" s="319"/>
      <c r="V8" s="309" t="s">
        <v>267</v>
      </c>
      <c r="W8" s="310"/>
      <c r="X8" s="311"/>
      <c r="Y8"/>
      <c r="Z8"/>
      <c r="AA8"/>
      <c r="AB8"/>
      <c r="AC8"/>
    </row>
    <row r="9" spans="1:29" s="2" customFormat="1" ht="12.75">
      <c r="A9" s="116"/>
      <c r="B9" s="106" t="s">
        <v>26</v>
      </c>
      <c r="C9" s="106"/>
      <c r="D9" s="104"/>
      <c r="E9" s="20" t="s">
        <v>27</v>
      </c>
      <c r="F9" s="149">
        <v>3</v>
      </c>
      <c r="G9" s="149">
        <v>3</v>
      </c>
      <c r="H9" s="149">
        <v>3</v>
      </c>
      <c r="I9" s="149">
        <v>3</v>
      </c>
      <c r="J9" s="22"/>
      <c r="K9" s="52">
        <f t="shared" si="0"/>
        <v>3</v>
      </c>
      <c r="L9" s="26"/>
      <c r="M9" s="26"/>
      <c r="N9" s="23"/>
      <c r="O9" s="352"/>
      <c r="P9" s="23"/>
      <c r="Q9" s="23"/>
      <c r="R9" s="23"/>
      <c r="S9" s="23"/>
      <c r="T9" s="24" t="s">
        <v>29</v>
      </c>
      <c r="U9" s="319"/>
      <c r="V9" s="309" t="s">
        <v>267</v>
      </c>
      <c r="W9" s="310"/>
      <c r="X9" s="311"/>
      <c r="Y9"/>
      <c r="Z9"/>
      <c r="AA9"/>
      <c r="AB9"/>
      <c r="AC9"/>
    </row>
    <row r="10" spans="1:29" s="2" customFormat="1" ht="12.75">
      <c r="A10" s="116" t="s">
        <v>30</v>
      </c>
      <c r="B10" s="106"/>
      <c r="C10" s="106"/>
      <c r="D10" s="104"/>
      <c r="E10" s="20" t="s">
        <v>27</v>
      </c>
      <c r="F10" s="149" t="s">
        <v>31</v>
      </c>
      <c r="G10" s="149">
        <v>70</v>
      </c>
      <c r="H10" s="149">
        <v>70</v>
      </c>
      <c r="I10" s="149">
        <v>70</v>
      </c>
      <c r="J10" s="538" t="str">
        <f>IF(L10=-M10,CONCATENATE("±",TEXT(ABS(L10),"0.0##")),CONCATENATE(TEXT(L10,"+0.0##;-0.0##"),"/",TEXT(M10,"+0.0##;-0.0##")))</f>
        <v>±0.5</v>
      </c>
      <c r="K10" s="524">
        <f t="shared" si="0"/>
        <v>70</v>
      </c>
      <c r="L10" s="151">
        <v>0.5</v>
      </c>
      <c r="M10" s="151">
        <v>-0.5</v>
      </c>
      <c r="N10" s="20">
        <f>K10+((L10+M10)/3)</f>
        <v>70</v>
      </c>
      <c r="O10" s="401">
        <f>(L10^2+M10^2-(M10*L10))/18</f>
        <v>0.041666666666666664</v>
      </c>
      <c r="P10" s="20">
        <f>10*LOG(1/(1/((10^(N10/10))*(N5*1000000))))</f>
        <v>90</v>
      </c>
      <c r="Q10" s="20">
        <f>10^(-P10/10)</f>
        <v>1E-09</v>
      </c>
      <c r="R10" s="20">
        <f>Q10*SQRT(O10)</f>
        <v>2.0412414523193151E-10</v>
      </c>
      <c r="S10" s="155" t="s">
        <v>36</v>
      </c>
      <c r="T10" s="24" t="s">
        <v>278</v>
      </c>
      <c r="U10" s="333"/>
      <c r="V10" s="309" t="s">
        <v>277</v>
      </c>
      <c r="W10" s="312" t="s">
        <v>290</v>
      </c>
      <c r="X10" s="313" t="s">
        <v>324</v>
      </c>
      <c r="Y10"/>
      <c r="Z10"/>
      <c r="AA10"/>
      <c r="AB10"/>
      <c r="AC10"/>
    </row>
    <row r="11" spans="1:29" s="2" customFormat="1" ht="12.75">
      <c r="A11" s="116" t="s">
        <v>33</v>
      </c>
      <c r="B11" s="106"/>
      <c r="C11" s="106"/>
      <c r="D11" s="104"/>
      <c r="E11" s="20" t="s">
        <v>27</v>
      </c>
      <c r="F11" s="149" t="s">
        <v>31</v>
      </c>
      <c r="G11" s="149" t="s">
        <v>183</v>
      </c>
      <c r="H11" s="149" t="s">
        <v>183</v>
      </c>
      <c r="I11" s="149" t="s">
        <v>183</v>
      </c>
      <c r="J11" s="150" t="s">
        <v>183</v>
      </c>
      <c r="K11" s="524" t="str">
        <f t="shared" si="0"/>
        <v>N/A</v>
      </c>
      <c r="L11" s="151"/>
      <c r="M11" s="151"/>
      <c r="N11" s="20"/>
      <c r="O11" s="53"/>
      <c r="P11"/>
      <c r="Q11"/>
      <c r="R11"/>
      <c r="S11" s="20" t="s">
        <v>36</v>
      </c>
      <c r="T11" s="24" t="s">
        <v>278</v>
      </c>
      <c r="U11" s="319"/>
      <c r="V11" s="309" t="s">
        <v>277</v>
      </c>
      <c r="W11" s="312" t="s">
        <v>290</v>
      </c>
      <c r="X11" s="313" t="s">
        <v>324</v>
      </c>
      <c r="Y11"/>
      <c r="Z11"/>
      <c r="AA11"/>
      <c r="AB11"/>
      <c r="AC11"/>
    </row>
    <row r="12" spans="1:29" s="157" customFormat="1" ht="12.75">
      <c r="A12" s="152" t="s">
        <v>34</v>
      </c>
      <c r="B12" s="153"/>
      <c r="C12" s="153"/>
      <c r="D12" s="154"/>
      <c r="E12" s="155" t="s">
        <v>35</v>
      </c>
      <c r="F12" s="149">
        <v>45</v>
      </c>
      <c r="G12" s="149">
        <v>45</v>
      </c>
      <c r="H12" s="149">
        <v>48</v>
      </c>
      <c r="I12" s="149">
        <v>51</v>
      </c>
      <c r="J12" s="538" t="str">
        <f>IF(L12=-M12,CONCATENATE("±",TEXT(ABS(L12),"0.0##")),CONCATENATE(TEXT(L12,"+0.0##;-0.0##"),"/",TEXT(M12,"+0.0##;-0.0##")))</f>
        <v>±0.5</v>
      </c>
      <c r="K12" s="529">
        <f t="shared" si="0"/>
        <v>45</v>
      </c>
      <c r="L12" s="151">
        <v>0.5</v>
      </c>
      <c r="M12" s="151">
        <v>-0.5</v>
      </c>
      <c r="N12" s="155">
        <f>K12+((L12+M12)/3)</f>
        <v>45</v>
      </c>
      <c r="O12" s="401">
        <f>(L12^2+M12^2-(M12*L12))/18</f>
        <v>0.041666666666666664</v>
      </c>
      <c r="P12" s="155"/>
      <c r="Q12" s="155"/>
      <c r="R12" s="155"/>
      <c r="S12" s="155" t="s">
        <v>36</v>
      </c>
      <c r="T12" s="156"/>
      <c r="U12" s="319"/>
      <c r="V12" s="309" t="s">
        <v>267</v>
      </c>
      <c r="W12" s="312" t="s">
        <v>290</v>
      </c>
      <c r="X12" s="313" t="s">
        <v>324</v>
      </c>
      <c r="Y12"/>
      <c r="Z12"/>
      <c r="AA12"/>
      <c r="AB12"/>
      <c r="AC12"/>
    </row>
    <row r="13" spans="1:29" s="2" customFormat="1" ht="12.75">
      <c r="A13" s="143" t="s">
        <v>38</v>
      </c>
      <c r="B13" s="106"/>
      <c r="C13" s="106"/>
      <c r="D13" s="104"/>
      <c r="E13" s="20" t="s">
        <v>27</v>
      </c>
      <c r="F13" s="168">
        <f>-20*LOG(SIN(60*PI()/180))</f>
        <v>1.249387366083</v>
      </c>
      <c r="G13" s="168">
        <f>-20*LOG(SIN(60*PI()/180))</f>
        <v>1.249387366083</v>
      </c>
      <c r="H13" s="168">
        <v>0</v>
      </c>
      <c r="I13" s="168">
        <v>0</v>
      </c>
      <c r="J13" s="225" t="s">
        <v>177</v>
      </c>
      <c r="K13" s="525">
        <f t="shared" si="0"/>
        <v>1.249387366083</v>
      </c>
      <c r="L13" s="99">
        <f>-K13/10</f>
        <v>-0.12493873660829999</v>
      </c>
      <c r="M13" s="99">
        <f>K13/10</f>
        <v>0.12493873660829999</v>
      </c>
      <c r="N13" s="40">
        <f>K13+((L13+M13)/3)</f>
        <v>1.249387366083</v>
      </c>
      <c r="O13" s="401">
        <f>(L13^2+M13^2-(M13*L13))/18</f>
        <v>0.0026016146508796934</v>
      </c>
      <c r="P13" s="41"/>
      <c r="Q13" s="41"/>
      <c r="R13" s="41"/>
      <c r="S13" s="155" t="s">
        <v>36</v>
      </c>
      <c r="T13" s="24" t="s">
        <v>40</v>
      </c>
      <c r="U13" s="319"/>
      <c r="V13" s="309" t="s">
        <v>267</v>
      </c>
      <c r="W13" s="312" t="s">
        <v>290</v>
      </c>
      <c r="X13" s="313" t="s">
        <v>324</v>
      </c>
      <c r="Y13"/>
      <c r="Z13"/>
      <c r="AA13"/>
      <c r="AB13"/>
      <c r="AC13"/>
    </row>
    <row r="14" spans="1:29" s="2" customFormat="1" ht="13.5" thickBot="1">
      <c r="A14" s="138" t="s">
        <v>41</v>
      </c>
      <c r="B14" s="139"/>
      <c r="C14" s="139"/>
      <c r="D14" s="140"/>
      <c r="E14" s="15" t="s">
        <v>27</v>
      </c>
      <c r="F14" s="158">
        <v>0</v>
      </c>
      <c r="G14" s="600">
        <v>0.5</v>
      </c>
      <c r="H14" s="600">
        <v>0.5</v>
      </c>
      <c r="I14" s="600">
        <v>0.5</v>
      </c>
      <c r="J14" s="538" t="str">
        <f>IF(L14=-M14,CONCATENATE("±",TEXT(ABS(L14),"0.0##")),CONCATENATE(TEXT(L14,"+0.0##;-0.0##"),"/",TEXT(M14,"+0.0##;-0.0##")))</f>
        <v>±0.25</v>
      </c>
      <c r="K14" s="52">
        <v>0.25</v>
      </c>
      <c r="L14" s="26">
        <v>-0.25</v>
      </c>
      <c r="M14" s="26">
        <v>0.25</v>
      </c>
      <c r="N14" s="20">
        <f>K14+((L14+M14)/2)</f>
        <v>0.25</v>
      </c>
      <c r="O14" s="53">
        <f>((L14-M14)^2)/12</f>
        <v>0.020833333333333332</v>
      </c>
      <c r="P14" s="20"/>
      <c r="Q14" s="20"/>
      <c r="R14" s="20"/>
      <c r="S14" s="20" t="s">
        <v>39</v>
      </c>
      <c r="T14" s="24"/>
      <c r="U14" s="334"/>
      <c r="V14" s="314" t="s">
        <v>268</v>
      </c>
      <c r="W14" s="315" t="s">
        <v>291</v>
      </c>
      <c r="X14" s="316" t="s">
        <v>324</v>
      </c>
      <c r="Y14"/>
      <c r="Z14"/>
      <c r="AA14"/>
      <c r="AB14"/>
      <c r="AC14"/>
    </row>
    <row r="15" spans="1:29" s="341" customFormat="1" ht="13.5" thickBot="1">
      <c r="A15" s="103" t="s">
        <v>42</v>
      </c>
      <c r="B15" s="103"/>
      <c r="C15" s="103"/>
      <c r="D15" s="103"/>
      <c r="E15" s="13"/>
      <c r="F15" s="145"/>
      <c r="G15" s="145"/>
      <c r="H15" s="145"/>
      <c r="I15" s="145"/>
      <c r="J15" s="13"/>
      <c r="K15" s="28"/>
      <c r="L15" s="28"/>
      <c r="M15" s="28"/>
      <c r="N15" s="13"/>
      <c r="O15" s="353"/>
      <c r="P15" s="13"/>
      <c r="Q15" s="13"/>
      <c r="R15" s="13"/>
      <c r="S15" s="13"/>
      <c r="T15" s="369"/>
      <c r="U15" s="408"/>
      <c r="V15" s="409"/>
      <c r="W15" s="412"/>
      <c r="X15" s="411"/>
      <c r="Y15" s="119"/>
      <c r="Z15" s="119"/>
      <c r="AA15" s="119"/>
      <c r="AB15" s="119"/>
      <c r="AC15" s="119"/>
    </row>
    <row r="16" spans="1:29" s="2" customFormat="1" ht="12.75">
      <c r="A16" s="127"/>
      <c r="B16" s="128" t="s">
        <v>43</v>
      </c>
      <c r="C16" s="128"/>
      <c r="D16" s="115"/>
      <c r="E16" s="15" t="s">
        <v>44</v>
      </c>
      <c r="F16" s="158"/>
      <c r="G16" s="158">
        <v>41126.8</v>
      </c>
      <c r="H16" s="158">
        <v>41126.8</v>
      </c>
      <c r="I16" s="158">
        <v>41126.8</v>
      </c>
      <c r="J16" s="17"/>
      <c r="K16" s="523">
        <v>41126.8</v>
      </c>
      <c r="L16" s="27">
        <v>40037.8</v>
      </c>
      <c r="M16" s="27">
        <v>41392</v>
      </c>
      <c r="N16" s="18"/>
      <c r="O16" s="351"/>
      <c r="P16" s="18"/>
      <c r="Q16" s="18"/>
      <c r="R16" s="18"/>
      <c r="S16" s="18"/>
      <c r="T16" s="137" t="s">
        <v>304</v>
      </c>
      <c r="U16" s="332"/>
      <c r="V16" s="306" t="s">
        <v>276</v>
      </c>
      <c r="W16" s="317"/>
      <c r="X16" s="308"/>
      <c r="Y16"/>
      <c r="Z16"/>
      <c r="AA16"/>
      <c r="AB16"/>
      <c r="AC16"/>
    </row>
    <row r="17" spans="1:29" s="2" customFormat="1" ht="12.75">
      <c r="A17" s="116" t="s">
        <v>45</v>
      </c>
      <c r="B17" s="106"/>
      <c r="C17" s="106"/>
      <c r="D17" s="104"/>
      <c r="E17" s="20" t="s">
        <v>27</v>
      </c>
      <c r="F17" s="159">
        <v>176.9</v>
      </c>
      <c r="G17" s="159">
        <f>(20*LOG(G7*1000000)+20*LOG(4*PI()*G16*1000)-20*LOG(300000000))</f>
        <v>176.80663069340756</v>
      </c>
      <c r="H17" s="159">
        <f>(20*LOG(H7*1000000)+20*LOG(4*PI()*H16*1000)-20*LOG(300000000))</f>
        <v>176.80663069340756</v>
      </c>
      <c r="I17" s="159">
        <f>(20*LOG(I7*1000000)+20*LOG(4*PI()*I16*1000)-20*LOG(300000000))</f>
        <v>176.80663069340756</v>
      </c>
      <c r="J17" s="30"/>
      <c r="K17" s="718">
        <f>(20*LOG($K$7*1000000)+20*LOG(4*PI()*K16*1000)-20*LOG(300000000))</f>
        <v>176.80663069340756</v>
      </c>
      <c r="L17" s="44">
        <f>(20*LOG($K$7*1000000)+20*LOG(4*PI()*L16*1000)-20*LOG(300000000))-K17</f>
        <v>-0.23309426716764392</v>
      </c>
      <c r="M17" s="84">
        <f>(20*LOG($K$7*1000000)+20*LOG(4*PI()*M16*1000)-20*LOG(300000000))-K17</f>
        <v>0.0558298439311784</v>
      </c>
      <c r="N17" s="208">
        <f>K17+((L17+M17)/3)</f>
        <v>176.74754255232872</v>
      </c>
      <c r="O17" s="401">
        <f>(L17^2+M17^2-(M17*L17))/18</f>
        <v>0.003914640300945704</v>
      </c>
      <c r="P17" s="20">
        <f>10*LOG(1/(1/((10^(N17/10))*(N10*1000000))))</f>
        <v>255.19852295247134</v>
      </c>
      <c r="Q17" s="20">
        <f>10^(-P17/10)</f>
        <v>3.020978989002111E-26</v>
      </c>
      <c r="R17" s="20">
        <f>Q17*SQRT(O17)</f>
        <v>1.8901385342618623E-27</v>
      </c>
      <c r="S17" s="155" t="s">
        <v>36</v>
      </c>
      <c r="T17" s="24" t="s">
        <v>46</v>
      </c>
      <c r="U17" s="296" t="s">
        <v>256</v>
      </c>
      <c r="V17" s="311"/>
      <c r="W17" s="312" t="s">
        <v>290</v>
      </c>
      <c r="X17" s="313" t="s">
        <v>324</v>
      </c>
      <c r="Y17"/>
      <c r="Z17"/>
      <c r="AA17"/>
      <c r="AB17"/>
      <c r="AC17"/>
    </row>
    <row r="18" spans="1:29" s="2" customFormat="1" ht="13.5" thickBot="1">
      <c r="A18" s="138" t="s">
        <v>47</v>
      </c>
      <c r="B18" s="139"/>
      <c r="C18" s="139"/>
      <c r="D18" s="140"/>
      <c r="E18" s="20" t="s">
        <v>27</v>
      </c>
      <c r="F18" s="149">
        <v>0</v>
      </c>
      <c r="G18" s="149">
        <v>0.15</v>
      </c>
      <c r="H18" s="149">
        <v>0.15</v>
      </c>
      <c r="I18" s="149">
        <v>0.15</v>
      </c>
      <c r="J18" s="538" t="str">
        <f>IF(L18=-M18,CONCATENATE("±",TEXT(ABS(L18),"0.0##")),CONCATENATE(TEXT(L18,"+0.0##;-0.0##"),"/",TEXT(M18,"+0.0##;-0.0##")))</f>
        <v>-0.1/+0.53</v>
      </c>
      <c r="K18" s="52">
        <f>G18</f>
        <v>0.15</v>
      </c>
      <c r="L18" s="26">
        <v>-0.1</v>
      </c>
      <c r="M18" s="26">
        <v>0.53</v>
      </c>
      <c r="N18" s="20">
        <f>K18+((L18+M18)/2)</f>
        <v>0.365</v>
      </c>
      <c r="O18" s="53">
        <f>((L18-M18)^2)/36</f>
        <v>0.011025</v>
      </c>
      <c r="P18" s="20"/>
      <c r="Q18" s="20"/>
      <c r="R18" s="20"/>
      <c r="S18" s="20" t="s">
        <v>32</v>
      </c>
      <c r="T18" s="216" t="s">
        <v>48</v>
      </c>
      <c r="U18" s="334"/>
      <c r="V18" s="316" t="s">
        <v>301</v>
      </c>
      <c r="W18" s="315" t="s">
        <v>292</v>
      </c>
      <c r="X18" s="316" t="s">
        <v>324</v>
      </c>
      <c r="Y18"/>
      <c r="Z18"/>
      <c r="AA18"/>
      <c r="AB18"/>
      <c r="AC18"/>
    </row>
    <row r="19" spans="1:29" s="341" customFormat="1" ht="13.5" thickBot="1">
      <c r="A19" s="103" t="s">
        <v>49</v>
      </c>
      <c r="B19" s="103"/>
      <c r="C19" s="103"/>
      <c r="D19" s="103"/>
      <c r="E19" s="13"/>
      <c r="F19" s="145"/>
      <c r="G19" s="145"/>
      <c r="H19" s="145"/>
      <c r="I19" s="145"/>
      <c r="J19" s="13"/>
      <c r="K19" s="13"/>
      <c r="L19" s="13"/>
      <c r="M19" s="13"/>
      <c r="N19" s="13"/>
      <c r="O19" s="353"/>
      <c r="P19" s="13"/>
      <c r="Q19" s="13"/>
      <c r="R19" s="13"/>
      <c r="S19" s="13"/>
      <c r="U19" s="408"/>
      <c r="V19" s="409"/>
      <c r="W19" s="410"/>
      <c r="X19" s="411"/>
      <c r="Y19" s="119"/>
      <c r="Z19" s="119"/>
      <c r="AA19" s="119"/>
      <c r="AB19" s="119"/>
      <c r="AC19" s="119"/>
    </row>
    <row r="20" spans="1:29" s="2" customFormat="1" ht="12.75">
      <c r="A20" s="127" t="s">
        <v>52</v>
      </c>
      <c r="B20" s="128"/>
      <c r="C20" s="128"/>
      <c r="D20" s="115"/>
      <c r="E20" s="36" t="s">
        <v>35</v>
      </c>
      <c r="F20" s="163" t="s">
        <v>184</v>
      </c>
      <c r="G20" s="162" t="s">
        <v>185</v>
      </c>
      <c r="H20" s="162" t="s">
        <v>185</v>
      </c>
      <c r="I20" s="162" t="s">
        <v>185</v>
      </c>
      <c r="J20" s="30"/>
      <c r="K20" s="457" t="s">
        <v>185</v>
      </c>
      <c r="L20" s="38"/>
      <c r="M20" s="38"/>
      <c r="N20" s="38"/>
      <c r="O20" s="352"/>
      <c r="P20" s="38"/>
      <c r="Q20" s="38"/>
      <c r="R20" s="38"/>
      <c r="S20" s="38"/>
      <c r="T20" s="137"/>
      <c r="U20" s="332"/>
      <c r="V20" s="309" t="s">
        <v>269</v>
      </c>
      <c r="W20" s="461"/>
      <c r="X20" s="308"/>
      <c r="Y20"/>
      <c r="Z20"/>
      <c r="AA20"/>
      <c r="AB20"/>
      <c r="AC20"/>
    </row>
    <row r="21" spans="1:29" s="2" customFormat="1" ht="13.5" thickBot="1">
      <c r="A21" s="116" t="s">
        <v>54</v>
      </c>
      <c r="B21" s="106"/>
      <c r="C21" s="106"/>
      <c r="D21" s="104"/>
      <c r="E21" s="31" t="s">
        <v>35</v>
      </c>
      <c r="F21" s="34">
        <v>-132.1</v>
      </c>
      <c r="G21" s="34">
        <f>G12-G13-G14-G17-G18</f>
        <v>-133.70601805949056</v>
      </c>
      <c r="H21" s="34">
        <f>H12-H13-H14-H17-H18</f>
        <v>-129.45663069340756</v>
      </c>
      <c r="I21" s="34">
        <f>I12-I13-I14-I17-I18</f>
        <v>-126.45663069340756</v>
      </c>
      <c r="J21" s="17"/>
      <c r="K21" s="32">
        <f>K12-K13-K14-K17-K18</f>
        <v>-133.45601805949056</v>
      </c>
      <c r="L21" s="33"/>
      <c r="M21" s="33"/>
      <c r="N21" s="34">
        <f>N12-N13-N14-N17-N18</f>
        <v>-133.61192991841173</v>
      </c>
      <c r="O21" s="356">
        <f>O12+O13+O14+O17+O18</f>
        <v>0.0800412549518254</v>
      </c>
      <c r="P21" s="34"/>
      <c r="Q21" s="34"/>
      <c r="R21" s="34"/>
      <c r="S21" s="35" t="s">
        <v>32</v>
      </c>
      <c r="T21" s="24"/>
      <c r="U21" s="297" t="s">
        <v>249</v>
      </c>
      <c r="V21" s="311"/>
      <c r="W21" s="298" t="s">
        <v>293</v>
      </c>
      <c r="X21" s="313" t="s">
        <v>302</v>
      </c>
      <c r="Y21"/>
      <c r="Z21"/>
      <c r="AA21"/>
      <c r="AB21"/>
      <c r="AC21"/>
    </row>
    <row r="22" spans="1:29" s="2" customFormat="1" ht="12.75">
      <c r="A22" s="116"/>
      <c r="B22" s="106"/>
      <c r="C22" s="106" t="s">
        <v>22</v>
      </c>
      <c r="D22" s="104"/>
      <c r="E22" s="36" t="s">
        <v>23</v>
      </c>
      <c r="F22" s="155" t="s">
        <v>178</v>
      </c>
      <c r="G22" s="155" t="s">
        <v>178</v>
      </c>
      <c r="H22" s="155" t="s">
        <v>178</v>
      </c>
      <c r="I22" s="155" t="s">
        <v>178</v>
      </c>
      <c r="J22" s="22"/>
      <c r="K22" s="52" t="str">
        <f>G22</f>
        <v>RHCP</v>
      </c>
      <c r="L22" s="23"/>
      <c r="M22" s="23"/>
      <c r="N22" s="23"/>
      <c r="O22" s="352"/>
      <c r="P22" s="23"/>
      <c r="Q22" s="23"/>
      <c r="R22" s="23"/>
      <c r="S22" s="23"/>
      <c r="T22" s="458" t="s">
        <v>25</v>
      </c>
      <c r="U22" s="459"/>
      <c r="V22" s="306" t="s">
        <v>267</v>
      </c>
      <c r="W22" s="460"/>
      <c r="X22" s="462"/>
      <c r="Y22"/>
      <c r="Z22"/>
      <c r="AA22"/>
      <c r="AB22"/>
      <c r="AC22"/>
    </row>
    <row r="23" spans="1:29" s="2" customFormat="1" ht="12.75">
      <c r="A23" s="116"/>
      <c r="B23" s="106"/>
      <c r="C23" s="106" t="s">
        <v>26</v>
      </c>
      <c r="D23" s="104"/>
      <c r="E23" s="36" t="s">
        <v>27</v>
      </c>
      <c r="F23" s="155">
        <v>2</v>
      </c>
      <c r="G23" s="155">
        <v>2</v>
      </c>
      <c r="H23" s="155">
        <v>2</v>
      </c>
      <c r="I23" s="155">
        <v>2</v>
      </c>
      <c r="J23" s="22"/>
      <c r="K23" s="52">
        <f>G23</f>
        <v>2</v>
      </c>
      <c r="L23" s="23"/>
      <c r="M23" s="23"/>
      <c r="N23" s="23"/>
      <c r="O23" s="352"/>
      <c r="P23" s="23"/>
      <c r="Q23" s="23"/>
      <c r="R23" s="23"/>
      <c r="S23" s="23"/>
      <c r="T23" s="24" t="s">
        <v>29</v>
      </c>
      <c r="U23" s="319"/>
      <c r="V23" s="309" t="s">
        <v>267</v>
      </c>
      <c r="W23" s="310"/>
      <c r="X23" s="311"/>
      <c r="Y23"/>
      <c r="Z23"/>
      <c r="AA23"/>
      <c r="AB23"/>
      <c r="AC23"/>
    </row>
    <row r="24" spans="1:29" s="2" customFormat="1" ht="12.75">
      <c r="A24" s="116"/>
      <c r="B24" s="106" t="s">
        <v>50</v>
      </c>
      <c r="C24" s="106"/>
      <c r="D24" s="104"/>
      <c r="E24" s="36" t="s">
        <v>27</v>
      </c>
      <c r="F24" s="155">
        <v>0.2</v>
      </c>
      <c r="G24" s="155">
        <v>0.4</v>
      </c>
      <c r="H24" s="155">
        <v>0.4</v>
      </c>
      <c r="I24" s="155">
        <v>0.4</v>
      </c>
      <c r="J24" s="538" t="str">
        <f>IF(L24=-M24,CONCATENATE("±",TEXT(ABS(L24),"0.0##")),CONCATENATE(TEXT(L24,"+0.0##;-0.0##"),"/",TEXT(M24,"+0.0##;-0.0##")))</f>
        <v>±0.2</v>
      </c>
      <c r="K24" s="52">
        <v>0.2</v>
      </c>
      <c r="L24" s="26">
        <v>-0.2</v>
      </c>
      <c r="M24" s="26">
        <v>0.2</v>
      </c>
      <c r="N24" s="20">
        <f>K24+((L24+M24)/2)</f>
        <v>0.2</v>
      </c>
      <c r="O24" s="53">
        <f>((L24-M24)^2)/12</f>
        <v>0.013333333333333336</v>
      </c>
      <c r="P24" s="20"/>
      <c r="Q24" s="20"/>
      <c r="R24" s="20"/>
      <c r="S24" s="20" t="s">
        <v>39</v>
      </c>
      <c r="T24" s="24" t="s">
        <v>51</v>
      </c>
      <c r="U24" s="319"/>
      <c r="V24" s="311"/>
      <c r="W24" s="312" t="s">
        <v>291</v>
      </c>
      <c r="X24" s="313" t="s">
        <v>324</v>
      </c>
      <c r="Y24"/>
      <c r="Z24"/>
      <c r="AA24"/>
      <c r="AB24"/>
      <c r="AC24"/>
    </row>
    <row r="25" spans="1:29" s="2" customFormat="1" ht="12.75">
      <c r="A25" s="116"/>
      <c r="B25" s="106" t="s">
        <v>55</v>
      </c>
      <c r="C25" s="106"/>
      <c r="D25" s="104"/>
      <c r="E25" s="36" t="s">
        <v>56</v>
      </c>
      <c r="F25" s="155">
        <v>9.9</v>
      </c>
      <c r="G25" s="155">
        <v>10</v>
      </c>
      <c r="H25" s="155">
        <v>10</v>
      </c>
      <c r="I25" s="155">
        <v>10</v>
      </c>
      <c r="J25" s="538" t="str">
        <f>IF(L25=-M25,CONCATENATE("±",TEXT(ABS(L25),"0.0##")),CONCATENATE(TEXT(L25,"+0.0##;-0.0##"),"/",TEXT(M25,"+0.0##;-0.0##")))</f>
        <v>±0.1</v>
      </c>
      <c r="K25" s="52">
        <f>G25+L25</f>
        <v>10.1</v>
      </c>
      <c r="L25" s="26">
        <v>0.1</v>
      </c>
      <c r="M25" s="26">
        <v>-0.1</v>
      </c>
      <c r="N25" s="20">
        <f>K25+((L25+M25)/3)</f>
        <v>10.1</v>
      </c>
      <c r="O25" s="53">
        <f>(L25^2+M25^2-(M25*L25))/18</f>
        <v>0.001666666666666667</v>
      </c>
      <c r="P25" s="20"/>
      <c r="Q25" s="20"/>
      <c r="R25" s="20"/>
      <c r="S25" s="20" t="s">
        <v>36</v>
      </c>
      <c r="T25" s="24" t="s">
        <v>57</v>
      </c>
      <c r="U25" s="319"/>
      <c r="V25" s="313" t="s">
        <v>272</v>
      </c>
      <c r="W25" s="312" t="s">
        <v>290</v>
      </c>
      <c r="X25" s="313" t="s">
        <v>324</v>
      </c>
      <c r="Y25"/>
      <c r="Z25"/>
      <c r="AA25"/>
      <c r="AB25"/>
      <c r="AC25"/>
    </row>
    <row r="26" spans="1:29" s="2" customFormat="1" ht="12.75">
      <c r="A26" s="116"/>
      <c r="B26" s="106" t="s">
        <v>58</v>
      </c>
      <c r="C26" s="106"/>
      <c r="D26" s="104"/>
      <c r="E26" s="36" t="s">
        <v>27</v>
      </c>
      <c r="F26" s="155">
        <v>1.9</v>
      </c>
      <c r="G26" s="151">
        <v>0.22</v>
      </c>
      <c r="H26" s="151">
        <v>0.22</v>
      </c>
      <c r="I26" s="151">
        <v>0.22</v>
      </c>
      <c r="J26" s="538" t="str">
        <f>IF(L26=-M26,CONCATENATE("±",TEXT(ABS(L26),"0.0##")),CONCATENATE(TEXT(L26,"+0.0##;-0.0##"),"/",TEXT(M26,"+0.0##;-0.0##")))</f>
        <v>±0.05</v>
      </c>
      <c r="K26" s="601">
        <f>G26+L26</f>
        <v>0.16999999999999998</v>
      </c>
      <c r="L26" s="26">
        <v>-0.05</v>
      </c>
      <c r="M26" s="26">
        <v>0.05</v>
      </c>
      <c r="N26" s="40">
        <f>K26+((L26+M26)/3)</f>
        <v>0.16999999999999998</v>
      </c>
      <c r="O26" s="53">
        <f>(L26^2+M26^2-(M26*L26))/18</f>
        <v>0.00041666666666666675</v>
      </c>
      <c r="P26" s="41"/>
      <c r="Q26" s="41"/>
      <c r="R26" s="41"/>
      <c r="S26" s="20" t="s">
        <v>36</v>
      </c>
      <c r="T26" s="24" t="s">
        <v>59</v>
      </c>
      <c r="U26" s="319"/>
      <c r="V26" s="313" t="s">
        <v>279</v>
      </c>
      <c r="W26" s="312" t="s">
        <v>290</v>
      </c>
      <c r="X26" s="313" t="s">
        <v>324</v>
      </c>
      <c r="Y26"/>
      <c r="Z26"/>
      <c r="AA26"/>
      <c r="AB26"/>
      <c r="AC26"/>
    </row>
    <row r="27" spans="1:29" s="2" customFormat="1" ht="12.75">
      <c r="A27" s="116"/>
      <c r="B27" s="106"/>
      <c r="C27" s="106" t="s">
        <v>60</v>
      </c>
      <c r="D27" s="104"/>
      <c r="E27" s="20" t="s">
        <v>61</v>
      </c>
      <c r="F27" s="159">
        <v>-124.1</v>
      </c>
      <c r="G27" s="159">
        <f>G21+G25-G24-G26</f>
        <v>-124.32601805949056</v>
      </c>
      <c r="H27" s="159">
        <f>H21+H25-H24-H26</f>
        <v>-120.07663069340757</v>
      </c>
      <c r="I27" s="159">
        <f>I21+I25-I24-I26</f>
        <v>-117.07663069340757</v>
      </c>
      <c r="J27" s="25"/>
      <c r="K27" s="37"/>
      <c r="L27" s="38"/>
      <c r="M27" s="38"/>
      <c r="N27" s="38"/>
      <c r="O27" s="352"/>
      <c r="P27" s="38"/>
      <c r="Q27" s="38"/>
      <c r="R27" s="38"/>
      <c r="S27" s="38"/>
      <c r="T27" s="24" t="s">
        <v>62</v>
      </c>
      <c r="U27" s="319"/>
      <c r="V27" s="311"/>
      <c r="W27" s="318"/>
      <c r="X27" s="311"/>
      <c r="Y27"/>
      <c r="Z27"/>
      <c r="AA27"/>
      <c r="AB27"/>
      <c r="AC27"/>
    </row>
    <row r="28" spans="1:29" s="2" customFormat="1" ht="12.75">
      <c r="A28" s="116"/>
      <c r="B28" s="106"/>
      <c r="C28" s="106" t="s">
        <v>63</v>
      </c>
      <c r="D28" s="104"/>
      <c r="E28" s="36" t="s">
        <v>64</v>
      </c>
      <c r="F28" s="155">
        <v>157</v>
      </c>
      <c r="G28" s="151">
        <v>100</v>
      </c>
      <c r="H28" s="151">
        <v>100</v>
      </c>
      <c r="I28" s="151">
        <v>100</v>
      </c>
      <c r="J28" s="22"/>
      <c r="K28" s="52">
        <f>G28</f>
        <v>100</v>
      </c>
      <c r="L28" s="26">
        <v>-5</v>
      </c>
      <c r="M28" s="26">
        <v>5</v>
      </c>
      <c r="N28" s="23"/>
      <c r="O28" s="352"/>
      <c r="P28" s="23"/>
      <c r="Q28" s="23"/>
      <c r="R28" s="23"/>
      <c r="S28" s="23"/>
      <c r="T28" s="24" t="s">
        <v>66</v>
      </c>
      <c r="U28" s="319"/>
      <c r="V28" s="313" t="s">
        <v>339</v>
      </c>
      <c r="W28" s="310"/>
      <c r="X28" s="311"/>
      <c r="Y28"/>
      <c r="Z28"/>
      <c r="AA28"/>
      <c r="AB28"/>
      <c r="AC28"/>
    </row>
    <row r="29" spans="1:29" s="2" customFormat="1" ht="12.75">
      <c r="A29" s="116"/>
      <c r="B29" s="106"/>
      <c r="C29" s="106"/>
      <c r="D29" s="104" t="s">
        <v>67</v>
      </c>
      <c r="E29" s="36" t="s">
        <v>27</v>
      </c>
      <c r="F29" s="227">
        <f>10*LOG(1+(191.3/290))</f>
        <v>2.200178637784024</v>
      </c>
      <c r="G29" s="151">
        <v>4.05</v>
      </c>
      <c r="H29" s="151">
        <v>4.05</v>
      </c>
      <c r="I29" s="151">
        <v>4.05</v>
      </c>
      <c r="J29" s="538" t="str">
        <f>IF(L29=-M29,CONCATENATE("±",TEXT(ABS(L29),"0.0##")),CONCATENATE(TEXT(L29,"+0.0##;-0.0##"),"/",TEXT(M29,"+0.0##;-0.0##")))</f>
        <v>±0.88</v>
      </c>
      <c r="K29" s="525">
        <f>I29+L29</f>
        <v>3.17</v>
      </c>
      <c r="L29" s="26">
        <v>-0.88</v>
      </c>
      <c r="M29" s="26">
        <f>-L29</f>
        <v>0.88</v>
      </c>
      <c r="N29" s="23"/>
      <c r="O29" s="352"/>
      <c r="P29" s="23"/>
      <c r="Q29" s="23"/>
      <c r="R29" s="23"/>
      <c r="S29" s="23"/>
      <c r="T29" s="24" t="s">
        <v>69</v>
      </c>
      <c r="U29" s="319"/>
      <c r="V29" s="313" t="s">
        <v>279</v>
      </c>
      <c r="W29" s="310"/>
      <c r="X29" s="311"/>
      <c r="Y29"/>
      <c r="Z29"/>
      <c r="AA29"/>
      <c r="AB29"/>
      <c r="AC29"/>
    </row>
    <row r="30" spans="1:29" s="2" customFormat="1" ht="12.75">
      <c r="A30" s="116"/>
      <c r="B30" s="106"/>
      <c r="C30" s="106"/>
      <c r="D30" s="104" t="s">
        <v>70</v>
      </c>
      <c r="E30" s="36" t="s">
        <v>27</v>
      </c>
      <c r="F30" s="155" t="s">
        <v>65</v>
      </c>
      <c r="G30" s="155">
        <v>0.2</v>
      </c>
      <c r="H30" s="155">
        <v>0.2</v>
      </c>
      <c r="I30" s="155">
        <v>0.2</v>
      </c>
      <c r="J30" s="25" t="s">
        <v>68</v>
      </c>
      <c r="K30" s="525">
        <f>G30+L30</f>
        <v>0.18000000000000002</v>
      </c>
      <c r="L30" s="26">
        <v>-0.02</v>
      </c>
      <c r="M30" s="26">
        <v>0.02</v>
      </c>
      <c r="N30" s="23"/>
      <c r="O30" s="352"/>
      <c r="P30" s="23"/>
      <c r="Q30" s="23"/>
      <c r="R30" s="23"/>
      <c r="S30" s="23"/>
      <c r="T30" s="24" t="s">
        <v>69</v>
      </c>
      <c r="U30" s="319"/>
      <c r="V30" s="313" t="s">
        <v>273</v>
      </c>
      <c r="W30" s="310"/>
      <c r="X30" s="311"/>
      <c r="Y30"/>
      <c r="Z30"/>
      <c r="AA30"/>
      <c r="AB30"/>
      <c r="AC30"/>
    </row>
    <row r="31" spans="1:29" s="2" customFormat="1" ht="12.75">
      <c r="A31" s="116"/>
      <c r="B31" s="106"/>
      <c r="C31" s="106" t="s">
        <v>71</v>
      </c>
      <c r="D31" s="104"/>
      <c r="E31" s="36" t="s">
        <v>64</v>
      </c>
      <c r="F31" s="155" t="s">
        <v>65</v>
      </c>
      <c r="G31" s="44">
        <f>290*(10^((G29+G30)*0.1)-1)</f>
        <v>481.61026734165495</v>
      </c>
      <c r="H31" s="44">
        <f>290*(10^((H29+H30)*0.1)-1)</f>
        <v>481.61026734165495</v>
      </c>
      <c r="I31" s="44">
        <f>290*(10^((I29+I30)*0.1)-1)</f>
        <v>481.61026734165495</v>
      </c>
      <c r="J31" s="22"/>
      <c r="K31" s="43">
        <f>290*(10^((K29+K30)/10)-1)</f>
        <v>337.1883718808359</v>
      </c>
      <c r="L31" s="44">
        <f>(290*(10^((K29+L29+K30+L30)*0.1)-1))-K31</f>
        <v>-117.39052383281498</v>
      </c>
      <c r="M31" s="44">
        <f>(290*(10^((K29+M29+K30+M30)*0.1)-1))-K31</f>
        <v>144.42189546081892</v>
      </c>
      <c r="N31" s="23"/>
      <c r="O31" s="352"/>
      <c r="P31" s="23"/>
      <c r="Q31" s="23"/>
      <c r="R31" s="23"/>
      <c r="S31" s="23"/>
      <c r="T31" s="24" t="s">
        <v>72</v>
      </c>
      <c r="U31" s="297" t="s">
        <v>250</v>
      </c>
      <c r="V31" s="311"/>
      <c r="W31" s="310"/>
      <c r="X31" s="311"/>
      <c r="Y31"/>
      <c r="Z31"/>
      <c r="AA31"/>
      <c r="AB31"/>
      <c r="AC31"/>
    </row>
    <row r="32" spans="1:29" s="2" customFormat="1" ht="12.75">
      <c r="A32" s="116"/>
      <c r="B32" s="106" t="s">
        <v>73</v>
      </c>
      <c r="C32" s="106"/>
      <c r="D32" s="104"/>
      <c r="E32" s="235" t="s">
        <v>74</v>
      </c>
      <c r="F32" s="236">
        <f>10*LOG(395.4)</f>
        <v>25.970366649776537</v>
      </c>
      <c r="G32" s="236">
        <f>10*LOG(G28+G31)</f>
        <v>27.646320646502694</v>
      </c>
      <c r="H32" s="236">
        <f>10*LOG(H28+H31)</f>
        <v>27.646320646502694</v>
      </c>
      <c r="I32" s="236">
        <f>10*LOG(I28+I31)</f>
        <v>27.646320646502694</v>
      </c>
      <c r="J32" s="22"/>
      <c r="K32" s="43">
        <f>10*LOG(K28+K31)</f>
        <v>26.406686022823624</v>
      </c>
      <c r="L32" s="44">
        <f>(10*LOG(K28+L28+K31+L31))-K32</f>
        <v>-1.4263684741383678</v>
      </c>
      <c r="M32" s="44">
        <f>(10*LOG(K28+M28+K31+M31))-K32</f>
        <v>1.2768105781256516</v>
      </c>
      <c r="N32" s="40">
        <f>K32+((L32+M32)/2)</f>
        <v>26.331907074817266</v>
      </c>
      <c r="O32" s="53">
        <f>((L32-M32)^2)/36</f>
        <v>0.2029771385721945</v>
      </c>
      <c r="P32" s="41"/>
      <c r="Q32" s="41"/>
      <c r="R32" s="41"/>
      <c r="S32" s="20" t="s">
        <v>32</v>
      </c>
      <c r="T32" s="24" t="s">
        <v>75</v>
      </c>
      <c r="U32" s="297" t="s">
        <v>251</v>
      </c>
      <c r="V32" s="311"/>
      <c r="W32" s="312" t="s">
        <v>292</v>
      </c>
      <c r="X32" s="313" t="s">
        <v>324</v>
      </c>
      <c r="Y32"/>
      <c r="Z32"/>
      <c r="AA32"/>
      <c r="AB32"/>
      <c r="AC32"/>
    </row>
    <row r="33" spans="1:29" s="2" customFormat="1" ht="13.5" thickBot="1">
      <c r="A33" s="422" t="s">
        <v>340</v>
      </c>
      <c r="B33" s="341"/>
      <c r="C33" s="341"/>
      <c r="D33" s="423"/>
      <c r="E33" s="235" t="s">
        <v>77</v>
      </c>
      <c r="F33" s="424">
        <v>-18</v>
      </c>
      <c r="G33" s="424">
        <f>G25-G26-G32</f>
        <v>-17.866320646502693</v>
      </c>
      <c r="H33" s="424">
        <f>H25-H26-H32</f>
        <v>-17.866320646502693</v>
      </c>
      <c r="I33" s="424">
        <f>I25-I26-I32</f>
        <v>-17.866320646502693</v>
      </c>
      <c r="J33" s="22"/>
      <c r="K33" s="447">
        <f>K25-K26-K32</f>
        <v>-16.476686022823625</v>
      </c>
      <c r="L33" s="23"/>
      <c r="M33" s="23"/>
      <c r="N33" s="449">
        <f>N25-N26-N32</f>
        <v>-16.401907074817267</v>
      </c>
      <c r="O33" s="535">
        <f>O25+O26+O32</f>
        <v>0.2050604719055278</v>
      </c>
      <c r="P33" s="44"/>
      <c r="Q33" s="44"/>
      <c r="R33" s="44"/>
      <c r="S33" s="26" t="s">
        <v>32</v>
      </c>
      <c r="T33" s="24" t="s">
        <v>341</v>
      </c>
      <c r="U33" s="297" t="s">
        <v>252</v>
      </c>
      <c r="V33" s="311"/>
      <c r="W33" s="298" t="s">
        <v>294</v>
      </c>
      <c r="X33" s="313" t="s">
        <v>302</v>
      </c>
      <c r="Y33"/>
      <c r="Z33"/>
      <c r="AA33"/>
      <c r="AB33"/>
      <c r="AC33"/>
    </row>
    <row r="34" spans="1:29" s="2" customFormat="1" ht="14.25" thickBot="1" thickTop="1">
      <c r="A34" s="426" t="s">
        <v>342</v>
      </c>
      <c r="B34" s="427"/>
      <c r="C34" s="427"/>
      <c r="D34" s="428"/>
      <c r="E34" s="429" t="s">
        <v>77</v>
      </c>
      <c r="F34" s="430">
        <v>-18</v>
      </c>
      <c r="G34" s="430">
        <v>-18.7</v>
      </c>
      <c r="H34" s="430">
        <v>-18.7</v>
      </c>
      <c r="I34" s="431">
        <v>-18.7</v>
      </c>
      <c r="J34" s="102"/>
      <c r="K34" s="441">
        <f>I34+(K33-I33)</f>
        <v>-17.31036537632093</v>
      </c>
      <c r="L34" s="23"/>
      <c r="M34" s="23"/>
      <c r="N34" s="208">
        <f>N25-N26-N32</f>
        <v>-16.401907074817267</v>
      </c>
      <c r="O34" s="53">
        <f>O25+O26+O32</f>
        <v>0.2050604719055278</v>
      </c>
      <c r="P34" s="20"/>
      <c r="Q34" s="20"/>
      <c r="R34" s="20"/>
      <c r="S34" s="20" t="s">
        <v>32</v>
      </c>
      <c r="T34" s="24" t="s">
        <v>343</v>
      </c>
      <c r="U34" s="24" t="s">
        <v>343</v>
      </c>
      <c r="V34" s="425" t="s">
        <v>344</v>
      </c>
      <c r="W34" s="298" t="s">
        <v>294</v>
      </c>
      <c r="X34" s="24" t="s">
        <v>352</v>
      </c>
      <c r="Y34"/>
      <c r="Z34"/>
      <c r="AA34"/>
      <c r="AB34"/>
      <c r="AC34"/>
    </row>
    <row r="35" spans="1:29" s="2" customFormat="1" ht="13.5" thickTop="1">
      <c r="A35" s="432" t="s">
        <v>78</v>
      </c>
      <c r="B35" s="433"/>
      <c r="C35" s="433"/>
      <c r="D35" s="434"/>
      <c r="E35" s="120" t="s">
        <v>79</v>
      </c>
      <c r="F35" s="435">
        <v>-198.6</v>
      </c>
      <c r="G35" s="435">
        <v>-198.6</v>
      </c>
      <c r="H35" s="435">
        <v>-198.6</v>
      </c>
      <c r="I35" s="435">
        <v>-198.6</v>
      </c>
      <c r="J35" s="22"/>
      <c r="K35" s="52">
        <v>-198.6</v>
      </c>
      <c r="L35" s="23"/>
      <c r="M35" s="23"/>
      <c r="N35" s="20">
        <f>K35</f>
        <v>-198.6</v>
      </c>
      <c r="O35" s="53">
        <v>0</v>
      </c>
      <c r="P35" s="20"/>
      <c r="Q35" s="20"/>
      <c r="R35" s="20"/>
      <c r="S35" s="20" t="s">
        <v>80</v>
      </c>
      <c r="T35" s="24" t="s">
        <v>81</v>
      </c>
      <c r="U35" s="319"/>
      <c r="V35" s="311"/>
      <c r="W35" s="330" t="s">
        <v>303</v>
      </c>
      <c r="X35" s="313" t="s">
        <v>302</v>
      </c>
      <c r="Y35"/>
      <c r="Z35"/>
      <c r="AA35"/>
      <c r="AB35"/>
      <c r="AC35"/>
    </row>
    <row r="36" spans="1:29" s="2" customFormat="1" ht="12.75">
      <c r="A36" s="116" t="s">
        <v>82</v>
      </c>
      <c r="B36" s="106"/>
      <c r="C36" s="106"/>
      <c r="D36" s="104"/>
      <c r="E36" s="36" t="s">
        <v>83</v>
      </c>
      <c r="F36" s="44">
        <f>F21-F24+F34-F35</f>
        <v>48.30000000000001</v>
      </c>
      <c r="G36" s="44">
        <f>G21-G24+G34-G35</f>
        <v>45.79398194050944</v>
      </c>
      <c r="H36" s="44">
        <f>H21-H24+H34-H35</f>
        <v>50.04336930659244</v>
      </c>
      <c r="I36" s="44">
        <f>I21-I24+I34-I35</f>
        <v>53.04336930659244</v>
      </c>
      <c r="J36" s="22"/>
      <c r="K36" s="43">
        <f>K21-K24+K34-K35</f>
        <v>47.633616564188515</v>
      </c>
      <c r="L36" s="23"/>
      <c r="M36" s="23"/>
      <c r="N36" s="44">
        <f>N21+N24+N34-N35</f>
        <v>48.78616300677098</v>
      </c>
      <c r="O36" s="355">
        <f>O21+O24+O34+O35</f>
        <v>0.29843506019068655</v>
      </c>
      <c r="P36" s="47"/>
      <c r="Q36" s="20">
        <f>10^(-N36/10)</f>
        <v>1.3224635151657354E-05</v>
      </c>
      <c r="R36" s="20">
        <f>Q36*SQRT(O36)</f>
        <v>7.224513728925527E-06</v>
      </c>
      <c r="S36" s="26" t="s">
        <v>32</v>
      </c>
      <c r="T36" s="24"/>
      <c r="U36" s="297" t="s">
        <v>345</v>
      </c>
      <c r="V36" s="311"/>
      <c r="W36" s="298" t="s">
        <v>295</v>
      </c>
      <c r="X36" s="313" t="s">
        <v>302</v>
      </c>
      <c r="Y36"/>
      <c r="Z36"/>
      <c r="AA36"/>
      <c r="AB36"/>
      <c r="AC36"/>
    </row>
    <row r="37" spans="1:29" s="2" customFormat="1" ht="13.5" thickBot="1">
      <c r="A37" s="138" t="s">
        <v>84</v>
      </c>
      <c r="B37" s="139"/>
      <c r="C37" s="139"/>
      <c r="D37" s="140"/>
      <c r="E37" s="31" t="s">
        <v>83</v>
      </c>
      <c r="F37" s="165">
        <f>F36</f>
        <v>48.30000000000001</v>
      </c>
      <c r="G37" s="165">
        <f>10*LOG(1/(1/((10^(G10/10))*(G5*1000000))+1/(10^(G36/10))))</f>
        <v>45.7938170581243</v>
      </c>
      <c r="H37" s="165">
        <f>10*LOG(1/(1/((10^(H10/10))*(H5*1000000))+1/(10^(H36/10))))</f>
        <v>50.043223091340664</v>
      </c>
      <c r="I37" s="165">
        <f>10*LOG(1/(1/((10^(I10/10))*(I5*1000000))+1/(10^(I36/10))))</f>
        <v>53.043296371531675</v>
      </c>
      <c r="J37" s="142"/>
      <c r="K37" s="166">
        <f>10*LOG(1/(1/((10^(K10/10))*(K5*1000000))+1/(10^(K36/10))))</f>
        <v>47.633364719163936</v>
      </c>
      <c r="L37" s="18"/>
      <c r="M37" s="18"/>
      <c r="N37" s="165">
        <f>10*LOG(1/(1/((10^(N10/10))*(N5*1000000))+1/(10^(N36/10))))</f>
        <v>48.78583462110449</v>
      </c>
      <c r="O37" s="402">
        <f>(R37/Q37)^2</f>
        <v>0.2984067939904526</v>
      </c>
      <c r="P37" s="49"/>
      <c r="Q37" s="87">
        <f>Q10+Q36</f>
        <v>1.3225635151657355E-05</v>
      </c>
      <c r="R37" s="87">
        <f>R10+R36</f>
        <v>7.224717853070759E-06</v>
      </c>
      <c r="S37" s="26" t="s">
        <v>32</v>
      </c>
      <c r="T37" s="216" t="s">
        <v>85</v>
      </c>
      <c r="U37" s="302" t="s">
        <v>253</v>
      </c>
      <c r="V37" s="328"/>
      <c r="W37" s="321" t="s">
        <v>299</v>
      </c>
      <c r="X37" s="316" t="s">
        <v>288</v>
      </c>
      <c r="Y37"/>
      <c r="Z37"/>
      <c r="AA37"/>
      <c r="AB37"/>
      <c r="AC37"/>
    </row>
    <row r="38" spans="1:29" s="341" customFormat="1" ht="13.5" thickBot="1">
      <c r="A38" s="103" t="s">
        <v>86</v>
      </c>
      <c r="B38" s="103"/>
      <c r="C38" s="103"/>
      <c r="D38" s="103"/>
      <c r="E38" s="13"/>
      <c r="F38" s="145"/>
      <c r="G38" s="145"/>
      <c r="H38" s="145"/>
      <c r="I38" s="145"/>
      <c r="J38" s="13"/>
      <c r="K38" s="13"/>
      <c r="L38" s="13"/>
      <c r="M38" s="13"/>
      <c r="N38" s="13"/>
      <c r="O38" s="353"/>
      <c r="P38" s="13"/>
      <c r="Q38" s="13"/>
      <c r="R38" s="13"/>
      <c r="S38" s="13"/>
      <c r="T38" s="348"/>
      <c r="U38" s="408"/>
      <c r="V38" s="409"/>
      <c r="W38" s="410"/>
      <c r="X38" s="411"/>
      <c r="Y38" s="119"/>
      <c r="Z38" s="119"/>
      <c r="AA38" s="119"/>
      <c r="AB38" s="119"/>
      <c r="AC38" s="119"/>
    </row>
    <row r="39" spans="1:29" s="2" customFormat="1" ht="12.75">
      <c r="A39" s="127" t="s">
        <v>87</v>
      </c>
      <c r="B39" s="128"/>
      <c r="C39" s="128"/>
      <c r="D39" s="115"/>
      <c r="E39" s="15" t="s">
        <v>19</v>
      </c>
      <c r="F39" s="148">
        <v>1694.5</v>
      </c>
      <c r="G39" s="148">
        <v>1694.5</v>
      </c>
      <c r="H39" s="148">
        <v>1694.5</v>
      </c>
      <c r="I39" s="148">
        <v>1694.5</v>
      </c>
      <c r="J39" s="17"/>
      <c r="K39" s="523">
        <f>G39</f>
        <v>1694.5</v>
      </c>
      <c r="L39" s="18"/>
      <c r="M39" s="18"/>
      <c r="N39" s="18"/>
      <c r="O39" s="351"/>
      <c r="P39" s="18"/>
      <c r="Q39" s="18"/>
      <c r="R39" s="18"/>
      <c r="S39" s="18"/>
      <c r="T39" s="137"/>
      <c r="U39" s="332"/>
      <c r="V39" s="306" t="s">
        <v>266</v>
      </c>
      <c r="W39" s="307"/>
      <c r="X39" s="308"/>
      <c r="Y39"/>
      <c r="Z39"/>
      <c r="AA39"/>
      <c r="AB39"/>
      <c r="AC39"/>
    </row>
    <row r="40" spans="1:29" s="2" customFormat="1" ht="12.75">
      <c r="A40" s="116"/>
      <c r="B40" s="106"/>
      <c r="C40" s="106" t="s">
        <v>88</v>
      </c>
      <c r="D40" s="104"/>
      <c r="E40" s="20" t="s">
        <v>89</v>
      </c>
      <c r="F40" s="228">
        <v>0.12022618052918956</v>
      </c>
      <c r="G40" s="167">
        <v>4.47</v>
      </c>
      <c r="H40" s="167">
        <v>4.47</v>
      </c>
      <c r="I40" s="167">
        <v>4.47</v>
      </c>
      <c r="J40" s="22"/>
      <c r="K40" s="524">
        <f>(10^(K41/10))/1000</f>
        <v>7.084472570301187</v>
      </c>
      <c r="L40" s="23"/>
      <c r="M40" s="23"/>
      <c r="N40" s="23"/>
      <c r="O40" s="352"/>
      <c r="P40" s="23"/>
      <c r="Q40" s="23"/>
      <c r="R40" s="23"/>
      <c r="S40" s="23"/>
      <c r="T40" s="24" t="s">
        <v>90</v>
      </c>
      <c r="U40" s="319"/>
      <c r="V40" s="313" t="s">
        <v>270</v>
      </c>
      <c r="W40" s="310"/>
      <c r="X40" s="311"/>
      <c r="Y40"/>
      <c r="Z40"/>
      <c r="AA40"/>
      <c r="AB40"/>
      <c r="AC40"/>
    </row>
    <row r="41" spans="1:29" s="2" customFormat="1" ht="12.75">
      <c r="A41" s="116"/>
      <c r="B41" s="106" t="s">
        <v>88</v>
      </c>
      <c r="C41" s="106"/>
      <c r="D41" s="104"/>
      <c r="E41" s="20" t="s">
        <v>61</v>
      </c>
      <c r="F41" s="168">
        <f>10*LOG(F40)+30</f>
        <v>20.79999050206611</v>
      </c>
      <c r="G41" s="599">
        <f>10*LOG(G40)+30</f>
        <v>36.503075231319364</v>
      </c>
      <c r="H41" s="599">
        <f>10*LOG(H40)+30</f>
        <v>36.503075231319364</v>
      </c>
      <c r="I41" s="599">
        <f>10*LOG(I40)+30</f>
        <v>36.503075231319364</v>
      </c>
      <c r="J41" s="538" t="str">
        <f>IF(L41=-M41,CONCATENATE("±",TEXT(ABS(L41),"0.0##")),CONCATENATE(TEXT(L41,"+0.0##;-0.0##"),"/",TEXT(M41,"+0.0##;-0.0##")))</f>
        <v>±2.0</v>
      </c>
      <c r="K41" s="525">
        <f>I41+L41</f>
        <v>38.503075231319364</v>
      </c>
      <c r="L41" s="99">
        <v>2</v>
      </c>
      <c r="M41" s="99">
        <f>-L41</f>
        <v>-2</v>
      </c>
      <c r="N41" s="40">
        <f>K41+((L41+M41)/3)</f>
        <v>38.503075231319364</v>
      </c>
      <c r="O41" s="53">
        <f>(L41^2+M41^2-(M41*L41))/18</f>
        <v>0.6666666666666666</v>
      </c>
      <c r="P41" s="41"/>
      <c r="Q41" s="41"/>
      <c r="R41" s="41"/>
      <c r="S41" s="20" t="s">
        <v>36</v>
      </c>
      <c r="T41" s="24" t="s">
        <v>91</v>
      </c>
      <c r="U41" s="319"/>
      <c r="V41" s="313" t="s">
        <v>270</v>
      </c>
      <c r="W41" s="312" t="s">
        <v>290</v>
      </c>
      <c r="X41" s="313" t="s">
        <v>324</v>
      </c>
      <c r="Y41"/>
      <c r="Z41"/>
      <c r="AA41"/>
      <c r="AB41"/>
      <c r="AC41"/>
    </row>
    <row r="42" spans="1:29" s="2" customFormat="1" ht="12.75">
      <c r="A42" s="116"/>
      <c r="B42" s="106" t="s">
        <v>113</v>
      </c>
      <c r="C42" s="106"/>
      <c r="D42" s="104"/>
      <c r="E42" s="20" t="s">
        <v>27</v>
      </c>
      <c r="F42" s="149" t="s">
        <v>31</v>
      </c>
      <c r="G42" s="539">
        <v>0.05</v>
      </c>
      <c r="H42" s="539">
        <v>0.05</v>
      </c>
      <c r="I42" s="539">
        <v>0.05</v>
      </c>
      <c r="J42" s="675" t="s">
        <v>68</v>
      </c>
      <c r="K42" s="525">
        <f>G42*0.9</f>
        <v>0.045000000000000005</v>
      </c>
      <c r="L42" s="26">
        <f>-I42*0.1</f>
        <v>-0.005000000000000001</v>
      </c>
      <c r="M42" s="26">
        <f>I42*0.1</f>
        <v>0.005000000000000001</v>
      </c>
      <c r="N42" s="40">
        <f>K42+((L42+M42)/2)</f>
        <v>0.045000000000000005</v>
      </c>
      <c r="O42" s="53">
        <f>((L42-M42)^2)/36</f>
        <v>2.777777777777779E-06</v>
      </c>
      <c r="P42" s="41"/>
      <c r="Q42" s="41"/>
      <c r="R42" s="41"/>
      <c r="S42" s="20" t="s">
        <v>32</v>
      </c>
      <c r="T42" s="24" t="s">
        <v>114</v>
      </c>
      <c r="U42" s="319"/>
      <c r="V42" s="313" t="s">
        <v>279</v>
      </c>
      <c r="W42" s="312" t="s">
        <v>292</v>
      </c>
      <c r="X42" s="313" t="s">
        <v>324</v>
      </c>
      <c r="Y42"/>
      <c r="Z42"/>
      <c r="AA42"/>
      <c r="AB42"/>
      <c r="AC42"/>
    </row>
    <row r="43" spans="1:29" s="2" customFormat="1" ht="12.75">
      <c r="A43" s="116"/>
      <c r="B43" s="106" t="s">
        <v>92</v>
      </c>
      <c r="C43" s="106"/>
      <c r="D43" s="104"/>
      <c r="E43" s="20" t="s">
        <v>27</v>
      </c>
      <c r="F43" s="169" t="s">
        <v>65</v>
      </c>
      <c r="G43" s="151">
        <v>2</v>
      </c>
      <c r="H43" s="151">
        <v>2</v>
      </c>
      <c r="I43" s="151">
        <v>2</v>
      </c>
      <c r="J43" s="538" t="str">
        <f>IF(L43=-M43,CONCATENATE("±",TEXT(ABS(L43),"0.0##")),CONCATENATE(TEXT(L43,"+0.0##;-0.0##"),"/",TEXT(M43,"+0.0##;-0.0##")))</f>
        <v>±0.375</v>
      </c>
      <c r="K43" s="52">
        <f>G43+L43</f>
        <v>1.625</v>
      </c>
      <c r="L43" s="26">
        <v>-0.375</v>
      </c>
      <c r="M43" s="26">
        <v>0.375</v>
      </c>
      <c r="N43" s="40">
        <f>K43+((L43+M43)/2)</f>
        <v>1.625</v>
      </c>
      <c r="O43" s="53">
        <f>((L43-M43)^2)/12</f>
        <v>0.046875</v>
      </c>
      <c r="P43" s="41"/>
      <c r="Q43" s="41"/>
      <c r="R43" s="41"/>
      <c r="S43" s="20" t="s">
        <v>39</v>
      </c>
      <c r="T43" s="24" t="s">
        <v>93</v>
      </c>
      <c r="U43" s="319"/>
      <c r="V43" s="313" t="s">
        <v>271</v>
      </c>
      <c r="W43" s="312" t="s">
        <v>291</v>
      </c>
      <c r="X43" s="313" t="s">
        <v>324</v>
      </c>
      <c r="Y43"/>
      <c r="Z43"/>
      <c r="AA43"/>
      <c r="AB43"/>
      <c r="AC43"/>
    </row>
    <row r="44" spans="1:29" s="2" customFormat="1" ht="12.75">
      <c r="A44" s="116"/>
      <c r="B44" s="106" t="s">
        <v>94</v>
      </c>
      <c r="C44" s="106"/>
      <c r="D44" s="104"/>
      <c r="E44" s="20" t="s">
        <v>27</v>
      </c>
      <c r="F44" s="149">
        <v>3.6</v>
      </c>
      <c r="G44" s="151">
        <v>1.44</v>
      </c>
      <c r="H44" s="151">
        <v>1.44</v>
      </c>
      <c r="I44" s="151">
        <v>1.44</v>
      </c>
      <c r="J44" s="538" t="str">
        <f>IF(L44=-M44,CONCATENATE("±",TEXT(ABS(L44),"0.0##")),CONCATENATE(TEXT(L44,"+0.0##;-0.0##"),"/",TEXT(M44,"+0.0##;-0.0##")))</f>
        <v>±0.25</v>
      </c>
      <c r="K44" s="52">
        <f>G44+L44</f>
        <v>1.19</v>
      </c>
      <c r="L44" s="26">
        <v>-0.25</v>
      </c>
      <c r="M44" s="26">
        <v>0.25</v>
      </c>
      <c r="N44" s="40">
        <f>K44+((L44+M44)/2)</f>
        <v>1.19</v>
      </c>
      <c r="O44" s="53">
        <f>((L44-M44)^2)/12</f>
        <v>0.020833333333333332</v>
      </c>
      <c r="P44" s="41"/>
      <c r="Q44" s="41"/>
      <c r="R44" s="41"/>
      <c r="S44" s="20" t="s">
        <v>39</v>
      </c>
      <c r="T44" s="24" t="s">
        <v>95</v>
      </c>
      <c r="U44" s="319"/>
      <c r="V44" s="313" t="s">
        <v>279</v>
      </c>
      <c r="W44" s="312" t="s">
        <v>291</v>
      </c>
      <c r="X44" s="313" t="s">
        <v>324</v>
      </c>
      <c r="Y44"/>
      <c r="Z44"/>
      <c r="AA44"/>
      <c r="AB44"/>
      <c r="AC44"/>
    </row>
    <row r="45" spans="1:29" s="2" customFormat="1" ht="12.75">
      <c r="A45" s="116"/>
      <c r="B45" s="106"/>
      <c r="C45" s="106" t="s">
        <v>96</v>
      </c>
      <c r="D45" s="104"/>
      <c r="E45" s="20" t="s">
        <v>61</v>
      </c>
      <c r="F45" s="159" t="s">
        <v>65</v>
      </c>
      <c r="G45" s="84">
        <f>G41-G43-G44</f>
        <v>33.06307523131937</v>
      </c>
      <c r="H45" s="84">
        <f>H41-H43-H44</f>
        <v>33.06307523131937</v>
      </c>
      <c r="I45" s="84">
        <f>I41-I43-I44</f>
        <v>33.06307523131937</v>
      </c>
      <c r="J45" s="675"/>
      <c r="K45" s="99">
        <f>K41-K42-K43-K44</f>
        <v>35.643075231319365</v>
      </c>
      <c r="L45" s="99">
        <f>3*SQRT(O45)</f>
        <v>2.570875337312177</v>
      </c>
      <c r="M45" s="99">
        <f>-3*SQRT(O45)</f>
        <v>-2.570875337312177</v>
      </c>
      <c r="N45" s="99">
        <f>N41-N42-N43-N44</f>
        <v>35.643075231319365</v>
      </c>
      <c r="O45" s="591">
        <f>O41+O42+O43+O44</f>
        <v>0.7343777777777778</v>
      </c>
      <c r="P45" s="99"/>
      <c r="Q45" s="99"/>
      <c r="R45" s="99"/>
      <c r="S45" s="26" t="s">
        <v>32</v>
      </c>
      <c r="T45" s="24" t="s">
        <v>97</v>
      </c>
      <c r="U45" s="297" t="s">
        <v>384</v>
      </c>
      <c r="V45" s="311"/>
      <c r="W45" s="298" t="s">
        <v>385</v>
      </c>
      <c r="X45" s="425" t="s">
        <v>302</v>
      </c>
      <c r="Y45"/>
      <c r="Z45"/>
      <c r="AA45"/>
      <c r="AB45"/>
      <c r="AC45"/>
    </row>
    <row r="46" spans="1:29" s="2" customFormat="1" ht="12.75">
      <c r="A46" s="116"/>
      <c r="B46" s="106" t="s">
        <v>58</v>
      </c>
      <c r="C46" s="106"/>
      <c r="D46" s="104"/>
      <c r="E46" s="20" t="s">
        <v>27</v>
      </c>
      <c r="F46" s="149" t="s">
        <v>65</v>
      </c>
      <c r="G46" s="539">
        <v>0.34</v>
      </c>
      <c r="H46" s="539">
        <v>0.34</v>
      </c>
      <c r="I46" s="539">
        <v>0.34</v>
      </c>
      <c r="J46" s="538" t="str">
        <f>IF(L46=-M46,CONCATENATE("±",TEXT(ABS(L46),"0.0##")),CONCATENATE(TEXT(L46,"+0.0##;-0.0##"),"/",TEXT(M46,"+0.0##;-0.0##")))</f>
        <v>±0.07</v>
      </c>
      <c r="K46" s="539">
        <f>G46+L46</f>
        <v>0.27</v>
      </c>
      <c r="L46" s="26">
        <v>-0.07</v>
      </c>
      <c r="M46" s="26">
        <v>0.07</v>
      </c>
      <c r="N46" s="40">
        <f>K46+((L46+M46)/2)</f>
        <v>0.27</v>
      </c>
      <c r="O46" s="53">
        <f>((L46-M46)^2)/12</f>
        <v>0.0016333333333333336</v>
      </c>
      <c r="P46" s="41"/>
      <c r="Q46" s="41"/>
      <c r="R46" s="41"/>
      <c r="S46" s="20" t="s">
        <v>39</v>
      </c>
      <c r="T46" s="24" t="s">
        <v>98</v>
      </c>
      <c r="U46" s="319"/>
      <c r="V46" s="313" t="s">
        <v>279</v>
      </c>
      <c r="W46" s="312" t="s">
        <v>291</v>
      </c>
      <c r="X46" s="313" t="s">
        <v>324</v>
      </c>
      <c r="Y46"/>
      <c r="Z46"/>
      <c r="AA46"/>
      <c r="AB46"/>
      <c r="AC46"/>
    </row>
    <row r="47" spans="1:29" s="2" customFormat="1" ht="12.75">
      <c r="A47" s="116"/>
      <c r="B47" s="106" t="s">
        <v>55</v>
      </c>
      <c r="C47" s="106"/>
      <c r="D47" s="104"/>
      <c r="E47" s="20" t="s">
        <v>56</v>
      </c>
      <c r="F47" s="149">
        <v>16.5</v>
      </c>
      <c r="G47" s="539">
        <v>14.5</v>
      </c>
      <c r="H47" s="539">
        <v>14.5</v>
      </c>
      <c r="I47" s="539">
        <v>14.5</v>
      </c>
      <c r="J47" s="538" t="str">
        <f>IF(L47=-M47,CONCATENATE("±",TEXT(ABS(L47),"0.0##")),CONCATENATE(TEXT(L47,"+0.0##;-0.0##"),"/",TEXT(M47,"+0.0##;-0.0##")))</f>
        <v>±0.15</v>
      </c>
      <c r="K47" s="52">
        <f>G47+L47</f>
        <v>14.65</v>
      </c>
      <c r="L47" s="26">
        <v>0.15</v>
      </c>
      <c r="M47" s="26">
        <v>-0.15</v>
      </c>
      <c r="N47" s="40">
        <f>K47+((L47+M47)/3)</f>
        <v>14.65</v>
      </c>
      <c r="O47" s="53">
        <f>(L47^2+M47^2-(M47*L47))/18</f>
        <v>0.0037500000000000003</v>
      </c>
      <c r="P47" s="41"/>
      <c r="Q47" s="41"/>
      <c r="R47" s="41"/>
      <c r="S47" s="20" t="s">
        <v>36</v>
      </c>
      <c r="T47" s="24" t="s">
        <v>57</v>
      </c>
      <c r="U47" s="319"/>
      <c r="V47" s="313" t="s">
        <v>272</v>
      </c>
      <c r="W47" s="312" t="s">
        <v>290</v>
      </c>
      <c r="X47" s="313" t="s">
        <v>324</v>
      </c>
      <c r="Y47"/>
      <c r="Z47"/>
      <c r="AA47"/>
      <c r="AB47"/>
      <c r="AC47"/>
    </row>
    <row r="48" spans="1:29" s="2" customFormat="1" ht="12.75">
      <c r="A48" s="116"/>
      <c r="B48" s="106"/>
      <c r="C48" s="106" t="s">
        <v>22</v>
      </c>
      <c r="D48" s="104"/>
      <c r="E48" s="36" t="s">
        <v>23</v>
      </c>
      <c r="F48" s="164" t="s">
        <v>24</v>
      </c>
      <c r="G48" s="164" t="s">
        <v>24</v>
      </c>
      <c r="H48" s="164" t="s">
        <v>24</v>
      </c>
      <c r="I48" s="164" t="s">
        <v>24</v>
      </c>
      <c r="J48" s="22"/>
      <c r="K48" s="52" t="str">
        <f>G48</f>
        <v>linear</v>
      </c>
      <c r="L48" s="23"/>
      <c r="M48" s="23"/>
      <c r="N48" s="23"/>
      <c r="O48" s="352"/>
      <c r="P48" s="23"/>
      <c r="Q48" s="23"/>
      <c r="R48" s="23"/>
      <c r="S48" s="23"/>
      <c r="T48" s="24" t="s">
        <v>25</v>
      </c>
      <c r="U48" s="319"/>
      <c r="V48" s="309" t="s">
        <v>267</v>
      </c>
      <c r="W48" s="310"/>
      <c r="X48" s="311"/>
      <c r="Y48"/>
      <c r="Z48"/>
      <c r="AA48"/>
      <c r="AB48"/>
      <c r="AC48"/>
    </row>
    <row r="49" spans="1:29" s="2" customFormat="1" ht="12.75">
      <c r="A49" s="116"/>
      <c r="B49" s="106"/>
      <c r="C49" s="106" t="s">
        <v>26</v>
      </c>
      <c r="D49" s="104"/>
      <c r="E49" s="235" t="s">
        <v>27</v>
      </c>
      <c r="F49" s="436" t="s">
        <v>28</v>
      </c>
      <c r="G49" s="436" t="s">
        <v>28</v>
      </c>
      <c r="H49" s="436" t="s">
        <v>28</v>
      </c>
      <c r="I49" s="436" t="s">
        <v>28</v>
      </c>
      <c r="J49" s="22"/>
      <c r="K49" s="52" t="str">
        <f>G49</f>
        <v> --</v>
      </c>
      <c r="L49" s="23"/>
      <c r="M49" s="23"/>
      <c r="N49" s="23"/>
      <c r="O49" s="352"/>
      <c r="P49" s="23"/>
      <c r="Q49" s="23"/>
      <c r="R49" s="23"/>
      <c r="S49" s="23"/>
      <c r="T49" s="24" t="s">
        <v>29</v>
      </c>
      <c r="U49" s="319"/>
      <c r="V49" s="309" t="s">
        <v>267</v>
      </c>
      <c r="W49" s="310"/>
      <c r="X49" s="311"/>
      <c r="Y49"/>
      <c r="Z49"/>
      <c r="AA49"/>
      <c r="AB49"/>
      <c r="AC49"/>
    </row>
    <row r="50" spans="1:29" s="2" customFormat="1" ht="13.5" thickBot="1">
      <c r="A50" s="422" t="s">
        <v>346</v>
      </c>
      <c r="B50" s="341"/>
      <c r="C50" s="341"/>
      <c r="D50" s="423"/>
      <c r="E50" s="437" t="s">
        <v>35</v>
      </c>
      <c r="F50" s="178">
        <f>F41-F44+F47</f>
        <v>33.69999050206611</v>
      </c>
      <c r="G50" s="178">
        <f>G41-G42-G43-G44-G46+G47</f>
        <v>47.173075231319366</v>
      </c>
      <c r="H50" s="178">
        <f>H41-H42-H43-H44-H46+H47</f>
        <v>47.173075231319366</v>
      </c>
      <c r="I50" s="178">
        <f>I41-I42-I43-I44-I46+I47</f>
        <v>47.173075231319366</v>
      </c>
      <c r="J50" s="22"/>
      <c r="K50" s="447">
        <f>K41-K42-K43-K44-K46+K47</f>
        <v>50.02307523131936</v>
      </c>
      <c r="L50" s="23"/>
      <c r="M50" s="23"/>
      <c r="N50" s="450">
        <f>N41-N42-N43-N44-N46+N47</f>
        <v>50.02307523131936</v>
      </c>
      <c r="O50" s="536">
        <f>O41+O42+O43+O44+O46+O47</f>
        <v>0.7397611111111112</v>
      </c>
      <c r="P50" s="84"/>
      <c r="Q50" s="84"/>
      <c r="R50" s="84"/>
      <c r="S50" s="20" t="s">
        <v>32</v>
      </c>
      <c r="T50" s="24" t="s">
        <v>347</v>
      </c>
      <c r="U50" s="297" t="s">
        <v>254</v>
      </c>
      <c r="V50" s="448"/>
      <c r="W50" s="298" t="s">
        <v>296</v>
      </c>
      <c r="X50" s="313" t="s">
        <v>302</v>
      </c>
      <c r="Y50"/>
      <c r="Z50"/>
      <c r="AA50"/>
      <c r="AB50"/>
      <c r="AC50"/>
    </row>
    <row r="51" spans="1:29" s="2" customFormat="1" ht="14.25" thickBot="1" thickTop="1">
      <c r="A51" s="426" t="s">
        <v>348</v>
      </c>
      <c r="B51" s="427"/>
      <c r="C51" s="427"/>
      <c r="D51" s="428"/>
      <c r="E51" s="438" t="s">
        <v>35</v>
      </c>
      <c r="F51" s="439">
        <f>F41-F44+F47</f>
        <v>33.69999050206611</v>
      </c>
      <c r="G51" s="439">
        <v>46</v>
      </c>
      <c r="H51" s="439">
        <v>46</v>
      </c>
      <c r="I51" s="440">
        <v>46</v>
      </c>
      <c r="J51" s="102"/>
      <c r="K51" s="441">
        <f>G51+(K50-I50)</f>
        <v>48.849999999999994</v>
      </c>
      <c r="L51" s="23"/>
      <c r="M51" s="23"/>
      <c r="N51" s="208">
        <f>N41-N42-N43-N44-N46+N47</f>
        <v>50.02307523131936</v>
      </c>
      <c r="O51" s="53">
        <f>O41+O42+O43+O44+O46+O47</f>
        <v>0.7397611111111112</v>
      </c>
      <c r="P51" s="41"/>
      <c r="Q51" s="41"/>
      <c r="R51" s="41"/>
      <c r="S51" s="20" t="s">
        <v>32</v>
      </c>
      <c r="T51" s="24" t="s">
        <v>349</v>
      </c>
      <c r="U51" s="24" t="s">
        <v>349</v>
      </c>
      <c r="V51" s="425" t="s">
        <v>350</v>
      </c>
      <c r="W51" s="298" t="s">
        <v>296</v>
      </c>
      <c r="X51" s="24" t="s">
        <v>353</v>
      </c>
      <c r="Y51"/>
      <c r="Z51"/>
      <c r="AA51"/>
      <c r="AB51"/>
      <c r="AC51"/>
    </row>
    <row r="52" spans="1:29" s="2" customFormat="1" ht="13.5" thickTop="1">
      <c r="A52" s="432" t="s">
        <v>313</v>
      </c>
      <c r="B52" s="433"/>
      <c r="C52" s="433"/>
      <c r="D52" s="434"/>
      <c r="E52" s="126" t="s">
        <v>27</v>
      </c>
      <c r="F52" s="442" t="s">
        <v>65</v>
      </c>
      <c r="G52" s="443">
        <v>1.5</v>
      </c>
      <c r="H52" s="443">
        <v>1.5</v>
      </c>
      <c r="I52" s="443">
        <v>1.5</v>
      </c>
      <c r="J52" s="538" t="str">
        <f>IF(L52=-M52,CONCATENATE("±",TEXT(ABS(L52),"0.0##")),CONCATENATE(TEXT(L52,"+0.0##;-0.0##"),"/",TEXT(M52,"+0.0##;-0.0##")))</f>
        <v>+1.0/-0.5</v>
      </c>
      <c r="K52" s="346">
        <v>1</v>
      </c>
      <c r="L52" s="335">
        <v>1</v>
      </c>
      <c r="M52" s="26">
        <v>-0.5</v>
      </c>
      <c r="N52" s="20">
        <f>K52+((L52+M52)/2)</f>
        <v>1.25</v>
      </c>
      <c r="O52" s="53">
        <f>((L52-M52)^2)/36</f>
        <v>0.0625</v>
      </c>
      <c r="P52" s="20"/>
      <c r="Q52" s="20"/>
      <c r="R52" s="20"/>
      <c r="S52" s="20" t="s">
        <v>32</v>
      </c>
      <c r="T52" s="24" t="s">
        <v>351</v>
      </c>
      <c r="U52" s="24" t="s">
        <v>351</v>
      </c>
      <c r="V52" s="24" t="s">
        <v>351</v>
      </c>
      <c r="W52" s="312" t="s">
        <v>292</v>
      </c>
      <c r="X52" s="313" t="s">
        <v>324</v>
      </c>
      <c r="Y52"/>
      <c r="Z52"/>
      <c r="AA52"/>
      <c r="AB52"/>
      <c r="AC52"/>
    </row>
    <row r="53" spans="1:29" s="2" customFormat="1" ht="12.75">
      <c r="A53" s="143" t="s">
        <v>38</v>
      </c>
      <c r="B53" s="106"/>
      <c r="C53" s="106"/>
      <c r="D53" s="104"/>
      <c r="E53" s="20" t="s">
        <v>27</v>
      </c>
      <c r="F53" s="168">
        <f>-20*LOG(SIN(60*PI()/180))</f>
        <v>1.249387366083</v>
      </c>
      <c r="G53" s="168">
        <f>-20*LOG(SIN(60*PI()/180))</f>
        <v>1.249387366083</v>
      </c>
      <c r="H53" s="168">
        <v>0</v>
      </c>
      <c r="I53" s="168">
        <v>0</v>
      </c>
      <c r="J53" s="225" t="s">
        <v>177</v>
      </c>
      <c r="K53" s="525">
        <f>G53</f>
        <v>1.249387366083</v>
      </c>
      <c r="L53" s="99">
        <f>K53/10</f>
        <v>0.12493873660829999</v>
      </c>
      <c r="M53" s="99">
        <f>-K53/10</f>
        <v>-0.12493873660829999</v>
      </c>
      <c r="N53" s="40">
        <f>K53+((L53+M53)/2)</f>
        <v>1.249387366083</v>
      </c>
      <c r="O53" s="53">
        <f>((L53-M53)^2)/12</f>
        <v>0.005203229301759387</v>
      </c>
      <c r="P53" s="41"/>
      <c r="Q53" s="41"/>
      <c r="R53" s="41"/>
      <c r="S53" s="20" t="s">
        <v>39</v>
      </c>
      <c r="T53" s="24" t="s">
        <v>40</v>
      </c>
      <c r="U53" s="319"/>
      <c r="V53" s="309" t="s">
        <v>267</v>
      </c>
      <c r="W53" s="312" t="s">
        <v>291</v>
      </c>
      <c r="X53" s="313" t="s">
        <v>324</v>
      </c>
      <c r="Y53"/>
      <c r="Z53"/>
      <c r="AA53"/>
      <c r="AB53"/>
      <c r="AC53"/>
    </row>
    <row r="54" spans="1:29" s="2" customFormat="1" ht="12.75">
      <c r="A54" s="116" t="s">
        <v>362</v>
      </c>
      <c r="B54" s="106"/>
      <c r="C54" s="106"/>
      <c r="D54" s="104"/>
      <c r="E54" s="20"/>
      <c r="F54" s="149">
        <v>233</v>
      </c>
      <c r="G54" s="539">
        <v>529.4</v>
      </c>
      <c r="H54" s="539">
        <v>265.5</v>
      </c>
      <c r="I54" s="539">
        <v>133.2</v>
      </c>
      <c r="J54" s="22"/>
      <c r="K54" s="52">
        <f>G54</f>
        <v>529.4</v>
      </c>
      <c r="L54" s="23"/>
      <c r="M54" s="23"/>
      <c r="N54" s="23"/>
      <c r="O54" s="352"/>
      <c r="P54" s="23"/>
      <c r="Q54" s="23"/>
      <c r="R54" s="23"/>
      <c r="S54" s="23"/>
      <c r="T54" s="24" t="s">
        <v>100</v>
      </c>
      <c r="U54" s="319"/>
      <c r="V54" s="309" t="s">
        <v>274</v>
      </c>
      <c r="W54" s="310"/>
      <c r="X54" s="311"/>
      <c r="Y54"/>
      <c r="Z54"/>
      <c r="AA54"/>
      <c r="AB54"/>
      <c r="AC54"/>
    </row>
    <row r="55" spans="1:29" s="2" customFormat="1" ht="13.5" thickBot="1">
      <c r="A55" s="138" t="s">
        <v>101</v>
      </c>
      <c r="B55" s="139"/>
      <c r="C55" s="139"/>
      <c r="D55" s="140"/>
      <c r="E55" s="15" t="s">
        <v>35</v>
      </c>
      <c r="F55" s="170">
        <f>F51-F53-10*LOG(F54)</f>
        <v>8.777043925722921</v>
      </c>
      <c r="G55" s="246">
        <f>G51-G53-10*LOG(G54)</f>
        <v>17.512773264263707</v>
      </c>
      <c r="H55" s="246">
        <f>H51-H53-10*LOG(H54)</f>
        <v>21.75935474582512</v>
      </c>
      <c r="I55" s="246">
        <f>I51-I53-10*LOG(I54)</f>
        <v>24.754957751657177</v>
      </c>
      <c r="J55" s="3"/>
      <c r="K55" s="247">
        <f>K51-K52-K53-10*LOG(K54)</f>
        <v>19.3627732642637</v>
      </c>
      <c r="L55" s="18"/>
      <c r="M55" s="18"/>
      <c r="N55" s="32">
        <f>N51-N52-N53-10*LOG(K54)</f>
        <v>20.285848495583068</v>
      </c>
      <c r="O55" s="355">
        <f>O51+O52+O53</f>
        <v>0.8074643404128706</v>
      </c>
      <c r="P55" s="44"/>
      <c r="Q55" s="44"/>
      <c r="R55" s="44"/>
      <c r="S55" s="20" t="s">
        <v>32</v>
      </c>
      <c r="T55" s="216" t="s">
        <v>102</v>
      </c>
      <c r="U55" s="322" t="s">
        <v>255</v>
      </c>
      <c r="V55" s="328"/>
      <c r="W55" s="299" t="s">
        <v>297</v>
      </c>
      <c r="X55" s="316" t="s">
        <v>302</v>
      </c>
      <c r="Y55"/>
      <c r="Z55"/>
      <c r="AA55"/>
      <c r="AB55"/>
      <c r="AC55"/>
    </row>
    <row r="56" spans="1:29" s="341" customFormat="1" ht="13.5" thickBot="1">
      <c r="A56" s="103" t="s">
        <v>103</v>
      </c>
      <c r="B56" s="103"/>
      <c r="C56" s="103"/>
      <c r="D56" s="103"/>
      <c r="E56" s="13"/>
      <c r="F56" s="229"/>
      <c r="G56" s="145"/>
      <c r="H56" s="145"/>
      <c r="I56" s="145"/>
      <c r="J56" s="13"/>
      <c r="K56" s="13"/>
      <c r="L56" s="13"/>
      <c r="M56" s="13"/>
      <c r="N56" s="13"/>
      <c r="O56" s="353"/>
      <c r="P56" s="13"/>
      <c r="Q56" s="13"/>
      <c r="R56" s="13"/>
      <c r="S56" s="13"/>
      <c r="U56" s="408"/>
      <c r="V56" s="409"/>
      <c r="W56" s="410"/>
      <c r="X56" s="411"/>
      <c r="Y56" s="119"/>
      <c r="Z56" s="119"/>
      <c r="AA56" s="119"/>
      <c r="AB56" s="119"/>
      <c r="AC56" s="119"/>
    </row>
    <row r="57" spans="1:29" s="2" customFormat="1" ht="12.75">
      <c r="A57" s="127"/>
      <c r="B57" s="128" t="s">
        <v>43</v>
      </c>
      <c r="C57" s="128"/>
      <c r="D57" s="115"/>
      <c r="E57" s="15" t="s">
        <v>44</v>
      </c>
      <c r="F57" s="158">
        <v>41126.8</v>
      </c>
      <c r="G57" s="158">
        <v>41126.8</v>
      </c>
      <c r="H57" s="158">
        <v>41126.8</v>
      </c>
      <c r="I57" s="158">
        <v>41126.8</v>
      </c>
      <c r="J57" s="17"/>
      <c r="K57" s="523">
        <v>41126.8</v>
      </c>
      <c r="L57" s="27">
        <v>40037.8</v>
      </c>
      <c r="M57" s="27">
        <v>41392</v>
      </c>
      <c r="N57" s="18"/>
      <c r="O57" s="351"/>
      <c r="P57" s="18"/>
      <c r="Q57" s="18"/>
      <c r="R57" s="18"/>
      <c r="S57" s="18"/>
      <c r="T57" s="137" t="s">
        <v>304</v>
      </c>
      <c r="U57" s="332"/>
      <c r="V57" s="306" t="s">
        <v>276</v>
      </c>
      <c r="W57" s="307"/>
      <c r="X57" s="308"/>
      <c r="Y57"/>
      <c r="Z57"/>
      <c r="AA57"/>
      <c r="AB57"/>
      <c r="AC57"/>
    </row>
    <row r="58" spans="1:29" s="2" customFormat="1" ht="12.75">
      <c r="A58" s="116" t="s">
        <v>45</v>
      </c>
      <c r="B58" s="106"/>
      <c r="C58" s="106"/>
      <c r="D58" s="104"/>
      <c r="E58" s="20" t="s">
        <v>27</v>
      </c>
      <c r="F58" s="159">
        <v>189.4</v>
      </c>
      <c r="G58" s="159">
        <f>(20*LOG(G39*1000000)+20*LOG(4*PI()*G57*1000)-20*LOG(300000000))</f>
        <v>189.3051020330348</v>
      </c>
      <c r="H58" s="159">
        <f>(20*LOG(H39*1000000)+20*LOG(4*PI()*H57*1000)-20*LOG(300000000))</f>
        <v>189.3051020330348</v>
      </c>
      <c r="I58" s="159">
        <f>(20*LOG(I39*1000000)+20*LOG(4*PI()*I57*1000)-20*LOG(300000000))</f>
        <v>189.3051020330348</v>
      </c>
      <c r="J58" s="30"/>
      <c r="K58" s="160">
        <f>(20*LOG($K$39*1000000)+20*LOG(4*PI()*K57*1000)-20*LOG(300000000))</f>
        <v>189.3051020330348</v>
      </c>
      <c r="L58" s="44">
        <f>(20*LOG($K$39*1000000)+20*LOG(4*PI()*L57*1000)-20*LOG(300000000))-K58</f>
        <v>-0.23309426716764392</v>
      </c>
      <c r="M58" s="44">
        <f>(20*LOG($K$39*1000000)+20*LOG(4*PI()*M57*1000)-20*LOG(300000000))-K58</f>
        <v>0.0558298439311784</v>
      </c>
      <c r="N58" s="40">
        <f>K58+((L58+M58)/3)</f>
        <v>189.24601389195598</v>
      </c>
      <c r="O58" s="53">
        <f>(L58^2+M58^2-(M58*L58))/18</f>
        <v>0.003914640300945704</v>
      </c>
      <c r="P58" s="41"/>
      <c r="Q58" s="41"/>
      <c r="R58" s="41"/>
      <c r="S58" s="20" t="s">
        <v>36</v>
      </c>
      <c r="T58" s="24" t="s">
        <v>46</v>
      </c>
      <c r="U58" s="296" t="s">
        <v>257</v>
      </c>
      <c r="V58" s="311"/>
      <c r="W58" s="312" t="s">
        <v>290</v>
      </c>
      <c r="X58" s="313" t="s">
        <v>324</v>
      </c>
      <c r="Y58"/>
      <c r="Z58"/>
      <c r="AA58"/>
      <c r="AB58"/>
      <c r="AC58"/>
    </row>
    <row r="59" spans="1:29" s="2" customFormat="1" ht="13.5" thickBot="1">
      <c r="A59" s="138" t="s">
        <v>47</v>
      </c>
      <c r="B59" s="139"/>
      <c r="C59" s="139"/>
      <c r="D59" s="140"/>
      <c r="E59" s="20" t="s">
        <v>27</v>
      </c>
      <c r="F59" s="149">
        <v>0</v>
      </c>
      <c r="G59" s="149">
        <v>0.35</v>
      </c>
      <c r="H59" s="149">
        <v>0.35</v>
      </c>
      <c r="I59" s="149">
        <v>0.35</v>
      </c>
      <c r="J59" s="22" t="s">
        <v>104</v>
      </c>
      <c r="K59" s="52">
        <f>G59</f>
        <v>0.35</v>
      </c>
      <c r="L59" s="26">
        <f>0.13-0.35</f>
        <v>-0.21999999999999997</v>
      </c>
      <c r="M59" s="26">
        <f>1.67-0.35</f>
        <v>1.3199999999999998</v>
      </c>
      <c r="N59" s="20">
        <f>K59+((L59+M59)/2)</f>
        <v>0.8999999999999999</v>
      </c>
      <c r="O59" s="53">
        <f>((L59-M59)^2)/36</f>
        <v>0.06587777777777776</v>
      </c>
      <c r="P59" s="20"/>
      <c r="Q59" s="20"/>
      <c r="R59" s="20"/>
      <c r="S59" s="20" t="s">
        <v>32</v>
      </c>
      <c r="T59" s="216" t="s">
        <v>48</v>
      </c>
      <c r="U59" s="334"/>
      <c r="V59" s="316" t="s">
        <v>301</v>
      </c>
      <c r="W59" s="315" t="s">
        <v>292</v>
      </c>
      <c r="X59" s="316" t="s">
        <v>324</v>
      </c>
      <c r="Y59"/>
      <c r="Z59"/>
      <c r="AA59"/>
      <c r="AB59"/>
      <c r="AC59"/>
    </row>
    <row r="60" spans="1:29" s="341" customFormat="1" ht="13.5" thickBot="1">
      <c r="A60" s="103" t="s">
        <v>105</v>
      </c>
      <c r="B60" s="103"/>
      <c r="C60" s="103"/>
      <c r="D60" s="103"/>
      <c r="E60" s="13"/>
      <c r="F60" s="145"/>
      <c r="G60" s="145"/>
      <c r="H60" s="145"/>
      <c r="I60" s="145"/>
      <c r="J60" s="13"/>
      <c r="K60" s="13"/>
      <c r="L60" s="28"/>
      <c r="M60" s="28"/>
      <c r="N60" s="13"/>
      <c r="O60" s="353"/>
      <c r="P60" s="13"/>
      <c r="Q60" s="13"/>
      <c r="R60" s="13"/>
      <c r="S60" s="13"/>
      <c r="T60" s="348"/>
      <c r="U60" s="408"/>
      <c r="V60" s="409"/>
      <c r="W60" s="410"/>
      <c r="X60" s="411"/>
      <c r="Y60" s="119"/>
      <c r="Z60" s="119"/>
      <c r="AA60" s="119"/>
      <c r="AB60" s="119"/>
      <c r="AC60" s="119"/>
    </row>
    <row r="61" spans="1:29" s="2" customFormat="1" ht="12.75">
      <c r="A61" s="127" t="s">
        <v>106</v>
      </c>
      <c r="B61" s="128"/>
      <c r="C61" s="128"/>
      <c r="D61" s="115"/>
      <c r="E61" s="15" t="s">
        <v>35</v>
      </c>
      <c r="F61" s="170">
        <f>F55-F58-F59</f>
        <v>-180.62295607427708</v>
      </c>
      <c r="G61" s="170">
        <f>G55-G58-G59</f>
        <v>-172.1423287687711</v>
      </c>
      <c r="H61" s="170">
        <f>H55-H58-H59</f>
        <v>-167.89574728720967</v>
      </c>
      <c r="I61" s="170">
        <f>I55-I58-I59</f>
        <v>-164.90014428137764</v>
      </c>
      <c r="J61" s="17"/>
      <c r="K61" s="32">
        <f>K55-K58-K59</f>
        <v>-170.2923287687711</v>
      </c>
      <c r="L61" s="18"/>
      <c r="M61" s="18"/>
      <c r="N61" s="34">
        <f>N55-N58-N59</f>
        <v>-169.86016539637293</v>
      </c>
      <c r="O61" s="356">
        <f>O55+O58+O59</f>
        <v>0.877256758491594</v>
      </c>
      <c r="P61" s="34"/>
      <c r="Q61" s="34"/>
      <c r="R61" s="34"/>
      <c r="S61" s="18"/>
      <c r="T61" s="137"/>
      <c r="U61" s="323" t="s">
        <v>258</v>
      </c>
      <c r="V61" s="308"/>
      <c r="W61" s="323" t="s">
        <v>305</v>
      </c>
      <c r="X61" s="324" t="s">
        <v>302</v>
      </c>
      <c r="Y61"/>
      <c r="Z61"/>
      <c r="AA61"/>
      <c r="AB61"/>
      <c r="AC61"/>
    </row>
    <row r="62" spans="1:29" s="2" customFormat="1" ht="12.75">
      <c r="A62" s="116" t="s">
        <v>107</v>
      </c>
      <c r="B62" s="106"/>
      <c r="C62" s="106"/>
      <c r="D62" s="104"/>
      <c r="E62" s="20" t="s">
        <v>108</v>
      </c>
      <c r="F62" s="149">
        <v>-154</v>
      </c>
      <c r="G62" s="149">
        <v>-154</v>
      </c>
      <c r="H62" s="149">
        <v>-154</v>
      </c>
      <c r="I62" s="149">
        <v>-154</v>
      </c>
      <c r="J62" s="25"/>
      <c r="K62" s="37"/>
      <c r="L62" s="38"/>
      <c r="M62" s="38"/>
      <c r="N62" s="38"/>
      <c r="O62" s="352"/>
      <c r="P62" s="38"/>
      <c r="Q62" s="38"/>
      <c r="R62" s="38"/>
      <c r="S62" s="38"/>
      <c r="T62" s="24" t="s">
        <v>281</v>
      </c>
      <c r="U62" s="319"/>
      <c r="V62" s="309" t="s">
        <v>280</v>
      </c>
      <c r="W62" s="318"/>
      <c r="X62" s="311"/>
      <c r="Y62"/>
      <c r="Z62"/>
      <c r="AA62"/>
      <c r="AB62"/>
      <c r="AC62"/>
    </row>
    <row r="63" spans="1:29" s="2" customFormat="1" ht="12.75">
      <c r="A63" s="116" t="s">
        <v>109</v>
      </c>
      <c r="B63" s="106"/>
      <c r="C63" s="106"/>
      <c r="D63" s="104"/>
      <c r="E63" s="20" t="s">
        <v>108</v>
      </c>
      <c r="F63" s="171">
        <f>(F55-30)-10*LOG(F5*1000000)+10*LOG(4000)-F59-(10*LOG(4*PI()*(F57*1000)^2))</f>
        <v>-168.47695318473657</v>
      </c>
      <c r="G63" s="171">
        <f>(G55-30)-10*LOG(G5*1000000)+10*LOG(4000)-G59-(10*LOG(4*PI()*(G57*1000)^2))</f>
        <v>-160.0912238461958</v>
      </c>
      <c r="H63" s="171">
        <f>(H55-30)-10*LOG(H5*1000000)+10*LOG(4000)-H59-(10*LOG(4*PI()*(H57*1000)^2))</f>
        <v>-160.615854911831</v>
      </c>
      <c r="I63" s="171">
        <f>(I55-30)-10*LOG(I5*1000000)+10*LOG(4000)-I59-(10*LOG(4*PI()*(I57*1000)^2))</f>
        <v>-163.64085181927857</v>
      </c>
      <c r="J63" s="25"/>
      <c r="K63" s="37"/>
      <c r="L63" s="38"/>
      <c r="M63" s="38"/>
      <c r="N63" s="38"/>
      <c r="O63" s="352"/>
      <c r="P63" s="38"/>
      <c r="Q63" s="38"/>
      <c r="R63" s="38"/>
      <c r="S63" s="38"/>
      <c r="T63" s="24" t="s">
        <v>282</v>
      </c>
      <c r="U63" s="319"/>
      <c r="V63" s="311"/>
      <c r="W63" s="318"/>
      <c r="X63" s="311"/>
      <c r="Y63"/>
      <c r="Z63"/>
      <c r="AA63"/>
      <c r="AB63"/>
      <c r="AC63"/>
    </row>
    <row r="64" spans="1:29" s="2" customFormat="1" ht="12.75">
      <c r="A64" s="116"/>
      <c r="B64" s="106" t="s">
        <v>110</v>
      </c>
      <c r="C64" s="106"/>
      <c r="D64" s="104"/>
      <c r="E64" s="20" t="s">
        <v>77</v>
      </c>
      <c r="F64" s="149">
        <v>26</v>
      </c>
      <c r="G64" s="149">
        <v>12</v>
      </c>
      <c r="H64" s="149">
        <v>12</v>
      </c>
      <c r="I64" s="149">
        <v>12</v>
      </c>
      <c r="J64" s="538" t="str">
        <f>IF(L64=-M64,CONCATENATE("±",TEXT(ABS(L64),"0.0##")),CONCATENATE(TEXT(L64,"+0.0##;-0.0##"),"/",TEXT(M64,"+0.0##;-0.0##")))</f>
        <v>±0.5</v>
      </c>
      <c r="K64" s="52">
        <f>G64</f>
        <v>12</v>
      </c>
      <c r="L64" s="26">
        <v>0.5</v>
      </c>
      <c r="M64" s="26">
        <v>-0.5</v>
      </c>
      <c r="N64" s="20">
        <f>K64+((L64+M64)/2)</f>
        <v>12</v>
      </c>
      <c r="O64" s="53">
        <f>((L64-M64)^2)/36</f>
        <v>0.027777777777777776</v>
      </c>
      <c r="P64" s="20"/>
      <c r="Q64" s="20"/>
      <c r="R64" s="20"/>
      <c r="S64" s="20" t="s">
        <v>32</v>
      </c>
      <c r="T64" s="24" t="s">
        <v>283</v>
      </c>
      <c r="U64" s="319"/>
      <c r="V64" s="309" t="s">
        <v>268</v>
      </c>
      <c r="W64" s="312" t="s">
        <v>292</v>
      </c>
      <c r="X64" s="313" t="s">
        <v>324</v>
      </c>
      <c r="Y64"/>
      <c r="Z64"/>
      <c r="AA64"/>
      <c r="AB64"/>
      <c r="AC64"/>
    </row>
    <row r="65" spans="1:29" s="2" customFormat="1" ht="12.75">
      <c r="A65" s="116"/>
      <c r="B65" s="106" t="s">
        <v>111</v>
      </c>
      <c r="C65" s="106"/>
      <c r="D65" s="104"/>
      <c r="E65" s="20" t="s">
        <v>27</v>
      </c>
      <c r="F65" s="149">
        <v>0.5</v>
      </c>
      <c r="G65" s="149">
        <v>0</v>
      </c>
      <c r="H65" s="149">
        <v>0</v>
      </c>
      <c r="I65" s="149">
        <v>0</v>
      </c>
      <c r="J65" s="22"/>
      <c r="K65" s="52">
        <v>0</v>
      </c>
      <c r="L65" s="26">
        <v>0</v>
      </c>
      <c r="M65" s="26">
        <v>0</v>
      </c>
      <c r="N65" s="20">
        <f>K65+((L65+M65)/2)</f>
        <v>0</v>
      </c>
      <c r="O65" s="53">
        <f>((L65-M65)^2)/12</f>
        <v>0</v>
      </c>
      <c r="P65" s="20"/>
      <c r="Q65" s="20"/>
      <c r="R65" s="20"/>
      <c r="S65" s="20" t="s">
        <v>39</v>
      </c>
      <c r="T65" s="24" t="s">
        <v>283</v>
      </c>
      <c r="U65" s="319"/>
      <c r="V65" s="309" t="s">
        <v>268</v>
      </c>
      <c r="W65" s="312" t="s">
        <v>291</v>
      </c>
      <c r="X65" s="313" t="s">
        <v>324</v>
      </c>
      <c r="Y65"/>
      <c r="Z65"/>
      <c r="AA65"/>
      <c r="AB65"/>
      <c r="AC65"/>
    </row>
    <row r="66" spans="1:29" s="2" customFormat="1" ht="12.75">
      <c r="A66" s="116"/>
      <c r="B66" s="106"/>
      <c r="C66" s="106" t="s">
        <v>22</v>
      </c>
      <c r="D66" s="104"/>
      <c r="E66" s="36" t="s">
        <v>23</v>
      </c>
      <c r="F66" s="164" t="s">
        <v>24</v>
      </c>
      <c r="G66" s="164" t="s">
        <v>24</v>
      </c>
      <c r="H66" s="164" t="s">
        <v>24</v>
      </c>
      <c r="I66" s="164" t="s">
        <v>24</v>
      </c>
      <c r="J66" s="22"/>
      <c r="K66" s="52" t="str">
        <f>G66</f>
        <v>linear</v>
      </c>
      <c r="L66" s="23"/>
      <c r="M66" s="23"/>
      <c r="N66" s="23"/>
      <c r="O66" s="352"/>
      <c r="P66" s="23"/>
      <c r="Q66" s="23"/>
      <c r="R66" s="23"/>
      <c r="S66" s="23"/>
      <c r="T66" s="24" t="s">
        <v>25</v>
      </c>
      <c r="U66" s="319"/>
      <c r="V66" s="309" t="s">
        <v>267</v>
      </c>
      <c r="W66" s="310"/>
      <c r="X66" s="311"/>
      <c r="Y66"/>
      <c r="Z66"/>
      <c r="AA66"/>
      <c r="AB66"/>
      <c r="AC66"/>
    </row>
    <row r="67" spans="1:29" s="2" customFormat="1" ht="12.75">
      <c r="A67" s="116"/>
      <c r="B67" s="106"/>
      <c r="C67" s="106" t="s">
        <v>26</v>
      </c>
      <c r="D67" s="104"/>
      <c r="E67" s="36" t="s">
        <v>27</v>
      </c>
      <c r="F67" s="155" t="s">
        <v>28</v>
      </c>
      <c r="G67" s="155" t="s">
        <v>28</v>
      </c>
      <c r="H67" s="155" t="s">
        <v>28</v>
      </c>
      <c r="I67" s="155" t="s">
        <v>28</v>
      </c>
      <c r="J67" s="22"/>
      <c r="K67" s="52" t="str">
        <f>I67</f>
        <v> --</v>
      </c>
      <c r="L67" s="23"/>
      <c r="M67" s="23"/>
      <c r="N67" s="23"/>
      <c r="O67" s="352"/>
      <c r="P67" s="23"/>
      <c r="Q67" s="23"/>
      <c r="R67" s="23"/>
      <c r="S67" s="23"/>
      <c r="T67" s="24" t="s">
        <v>29</v>
      </c>
      <c r="U67" s="319"/>
      <c r="V67" s="309" t="s">
        <v>267</v>
      </c>
      <c r="W67" s="310"/>
      <c r="X67" s="311"/>
      <c r="Y67"/>
      <c r="Z67"/>
      <c r="AA67"/>
      <c r="AB67"/>
      <c r="AC67"/>
    </row>
    <row r="68" spans="1:29" s="2" customFormat="1" ht="12" customHeight="1">
      <c r="A68" s="116"/>
      <c r="B68" s="106" t="s">
        <v>50</v>
      </c>
      <c r="C68" s="106"/>
      <c r="D68" s="104"/>
      <c r="E68" s="20" t="s">
        <v>27</v>
      </c>
      <c r="F68" s="149">
        <v>0.2</v>
      </c>
      <c r="G68" s="149">
        <v>0.2</v>
      </c>
      <c r="H68" s="149">
        <v>0.2</v>
      </c>
      <c r="I68" s="149">
        <v>0.2</v>
      </c>
      <c r="J68" s="538" t="str">
        <f>IF(L68=-M68,CONCATENATE("±",TEXT(ABS(L68),"0.0##")),CONCATENATE(TEXT(L68,"+0.0##;-0.0##"),"/",TEXT(M68,"+0.0##;-0.0##")))</f>
        <v>±0.2</v>
      </c>
      <c r="K68" s="52">
        <v>0.2</v>
      </c>
      <c r="L68" s="26">
        <v>-0.2</v>
      </c>
      <c r="M68" s="26">
        <v>0.2</v>
      </c>
      <c r="N68" s="20">
        <f>K68+((L68+M68)/2)</f>
        <v>0.2</v>
      </c>
      <c r="O68" s="53">
        <f>((L68-M68)^2)/12</f>
        <v>0.013333333333333336</v>
      </c>
      <c r="P68" s="20"/>
      <c r="Q68" s="20"/>
      <c r="R68" s="20"/>
      <c r="S68" s="20" t="s">
        <v>39</v>
      </c>
      <c r="T68" s="24" t="s">
        <v>51</v>
      </c>
      <c r="U68" s="319"/>
      <c r="V68" s="311"/>
      <c r="W68" s="312" t="s">
        <v>291</v>
      </c>
      <c r="X68" s="313" t="s">
        <v>324</v>
      </c>
      <c r="Y68"/>
      <c r="Z68"/>
      <c r="AA68"/>
      <c r="AB68"/>
      <c r="AC68"/>
    </row>
    <row r="69" spans="1:29" s="2" customFormat="1" ht="12.75">
      <c r="A69" s="116"/>
      <c r="B69" s="106" t="s">
        <v>78</v>
      </c>
      <c r="C69" s="106"/>
      <c r="D69" s="104"/>
      <c r="E69" s="20" t="s">
        <v>79</v>
      </c>
      <c r="F69" s="147">
        <v>-198.6</v>
      </c>
      <c r="G69" s="147">
        <v>-198.6</v>
      </c>
      <c r="H69" s="147">
        <v>-198.6</v>
      </c>
      <c r="I69" s="147">
        <v>-198.6</v>
      </c>
      <c r="J69" s="22"/>
      <c r="K69" s="52">
        <v>-198.6</v>
      </c>
      <c r="L69" s="23"/>
      <c r="M69" s="23"/>
      <c r="N69" s="20">
        <f>K69</f>
        <v>-198.6</v>
      </c>
      <c r="O69" s="53">
        <v>0</v>
      </c>
      <c r="P69" s="20"/>
      <c r="Q69" s="20"/>
      <c r="R69" s="20"/>
      <c r="S69" s="20" t="s">
        <v>80</v>
      </c>
      <c r="T69" s="24" t="s">
        <v>81</v>
      </c>
      <c r="U69" s="319"/>
      <c r="V69" s="311"/>
      <c r="W69" s="330" t="s">
        <v>303</v>
      </c>
      <c r="X69" s="313" t="s">
        <v>302</v>
      </c>
      <c r="Y69"/>
      <c r="Z69"/>
      <c r="AA69"/>
      <c r="AB69"/>
      <c r="AC69"/>
    </row>
    <row r="70" spans="1:29" s="2" customFormat="1" ht="12.75">
      <c r="A70" s="116" t="s">
        <v>112</v>
      </c>
      <c r="B70" s="106"/>
      <c r="C70" s="106"/>
      <c r="D70" s="104"/>
      <c r="E70" s="36" t="s">
        <v>83</v>
      </c>
      <c r="F70" s="44">
        <f>F61+F64-F65-F68-F69</f>
        <v>43.27704392572292</v>
      </c>
      <c r="G70" s="44">
        <f>G61+G64-G65-G68-G69</f>
        <v>38.2576712312289</v>
      </c>
      <c r="H70" s="44">
        <f>H61+H64-H65-H68-H69</f>
        <v>42.50425271279033</v>
      </c>
      <c r="I70" s="44">
        <f>I61+I64-I65-I68-I69</f>
        <v>45.49985571862237</v>
      </c>
      <c r="J70" s="22"/>
      <c r="K70" s="43">
        <f>K61+K64-K65-K68-K69</f>
        <v>40.10767123122889</v>
      </c>
      <c r="L70" s="23"/>
      <c r="M70" s="23"/>
      <c r="N70" s="44">
        <f>N61+N64-N65-N68-N69</f>
        <v>40.53983460362707</v>
      </c>
      <c r="O70" s="355">
        <f>O61+O64+O65+O68+O69</f>
        <v>0.9183678696027051</v>
      </c>
      <c r="P70" s="44"/>
      <c r="Q70" s="44"/>
      <c r="R70" s="44"/>
      <c r="S70" s="23"/>
      <c r="T70" s="24"/>
      <c r="U70" s="297" t="s">
        <v>259</v>
      </c>
      <c r="V70" s="311"/>
      <c r="W70" s="320"/>
      <c r="X70" s="313" t="s">
        <v>302</v>
      </c>
      <c r="Y70"/>
      <c r="Z70"/>
      <c r="AA70"/>
      <c r="AB70"/>
      <c r="AC70"/>
    </row>
    <row r="71" spans="1:29" s="2" customFormat="1" ht="12.75">
      <c r="A71" s="116" t="s">
        <v>246</v>
      </c>
      <c r="B71" s="106"/>
      <c r="C71" s="106"/>
      <c r="D71" s="104"/>
      <c r="E71" s="20" t="s">
        <v>83</v>
      </c>
      <c r="F71" s="149">
        <v>0</v>
      </c>
      <c r="G71" s="168">
        <f>20+10*LOG(1500)</f>
        <v>51.76091259055681</v>
      </c>
      <c r="H71" s="168">
        <f>20+10*LOG(1500)</f>
        <v>51.76091259055681</v>
      </c>
      <c r="I71" s="168">
        <f>20+10*LOG(3000)</f>
        <v>54.771212547196626</v>
      </c>
      <c r="J71" s="22"/>
      <c r="K71" s="525">
        <f>G71+1</f>
        <v>52.76091259055681</v>
      </c>
      <c r="L71" s="335">
        <v>1</v>
      </c>
      <c r="M71" s="335">
        <v>-1</v>
      </c>
      <c r="N71" s="208">
        <f>K71+((L71+M71)/3)</f>
        <v>52.76091259055681</v>
      </c>
      <c r="O71" s="53">
        <f>(L71^2+M71^2-(M71*L71))/18</f>
        <v>0.16666666666666666</v>
      </c>
      <c r="P71" s="20"/>
      <c r="Q71" s="20"/>
      <c r="R71" s="20"/>
      <c r="S71" s="20" t="s">
        <v>36</v>
      </c>
      <c r="T71" s="24" t="s">
        <v>247</v>
      </c>
      <c r="U71" s="343" t="s">
        <v>309</v>
      </c>
      <c r="V71" s="309" t="s">
        <v>312</v>
      </c>
      <c r="W71" s="312" t="s">
        <v>290</v>
      </c>
      <c r="X71" s="313" t="s">
        <v>324</v>
      </c>
      <c r="Y71"/>
      <c r="Z71"/>
      <c r="AA71"/>
      <c r="AB71"/>
      <c r="AC71"/>
    </row>
    <row r="72" spans="1:29" s="2" customFormat="1" ht="13.5" thickBot="1">
      <c r="A72" s="138" t="s">
        <v>117</v>
      </c>
      <c r="B72" s="139"/>
      <c r="C72" s="139"/>
      <c r="D72" s="140"/>
      <c r="E72" s="20" t="s">
        <v>83</v>
      </c>
      <c r="F72" s="159">
        <f>F70-F71</f>
        <v>43.27704392572292</v>
      </c>
      <c r="G72" s="159">
        <f>10*LOG(1/(1/(10^(G70/10))+1/(10^(G71/10))))</f>
        <v>38.068025366628746</v>
      </c>
      <c r="H72" s="159">
        <f>10*LOG(1/(1/(10^(H70/10))+1/(10^(H71/10))))</f>
        <v>42.01724014913683</v>
      </c>
      <c r="I72" s="159">
        <f>10*LOG(1/(1/(10^(I70/10))+1/(10^(I71/10))))</f>
        <v>45.0143998487429</v>
      </c>
      <c r="J72" s="22"/>
      <c r="K72" s="43">
        <f>10*LOG(1/(1/(10^(K70/10))+1/(10^(K71/10))))</f>
        <v>39.87809300382458</v>
      </c>
      <c r="L72" s="23"/>
      <c r="M72" s="23"/>
      <c r="N72" s="159">
        <f>10*LOG(1/(1/(10^(N70/10))+1/(10^(N71/10))))</f>
        <v>40.28692254128324</v>
      </c>
      <c r="O72" s="355">
        <f>O70+O71</f>
        <v>1.0850345362693719</v>
      </c>
      <c r="P72" s="44"/>
      <c r="Q72" s="20">
        <f>10^(-N72/10)</f>
        <v>9.360687478535472E-05</v>
      </c>
      <c r="R72" s="20">
        <f>Q72*SQRT(O72)</f>
        <v>9.750559275244628E-05</v>
      </c>
      <c r="S72" s="20" t="s">
        <v>32</v>
      </c>
      <c r="T72" s="216"/>
      <c r="U72" s="344" t="s">
        <v>310</v>
      </c>
      <c r="V72" s="328"/>
      <c r="W72" s="299" t="s">
        <v>311</v>
      </c>
      <c r="X72" s="316" t="s">
        <v>302</v>
      </c>
      <c r="Y72"/>
      <c r="Z72"/>
      <c r="AA72"/>
      <c r="AB72"/>
      <c r="AC72"/>
    </row>
    <row r="73" spans="1:29" s="341" customFormat="1" ht="13.5" thickBot="1">
      <c r="A73" s="103" t="s">
        <v>118</v>
      </c>
      <c r="B73" s="103"/>
      <c r="C73" s="103"/>
      <c r="D73" s="103"/>
      <c r="E73" s="13"/>
      <c r="F73" s="145"/>
      <c r="G73" s="145"/>
      <c r="H73" s="145"/>
      <c r="I73" s="145"/>
      <c r="J73" s="13"/>
      <c r="K73" s="13"/>
      <c r="L73" s="13"/>
      <c r="M73" s="13"/>
      <c r="N73" s="13"/>
      <c r="O73" s="353"/>
      <c r="P73" s="13"/>
      <c r="Q73" s="13"/>
      <c r="R73" s="13"/>
      <c r="S73" s="13"/>
      <c r="U73" s="408"/>
      <c r="V73" s="409"/>
      <c r="W73" s="410"/>
      <c r="X73" s="411"/>
      <c r="Y73" s="119"/>
      <c r="Z73" s="119"/>
      <c r="AA73" s="119"/>
      <c r="AB73" s="119"/>
      <c r="AC73" s="119"/>
    </row>
    <row r="74" spans="1:29" s="2" customFormat="1" ht="12.75">
      <c r="A74" s="127" t="s">
        <v>119</v>
      </c>
      <c r="B74" s="128"/>
      <c r="C74" s="128"/>
      <c r="D74" s="115"/>
      <c r="E74" s="129" t="s">
        <v>83</v>
      </c>
      <c r="F74" s="172">
        <f>10*LOG(1/(1/(10^(F37/10))+1/(10^(F72/10))))</f>
        <v>42.089237648233</v>
      </c>
      <c r="G74" s="173">
        <f>10*LOG(1/(1/(10^(G37/10))+1/(10^(G72/10))))</f>
        <v>37.390553450487566</v>
      </c>
      <c r="H74" s="173">
        <f>10*LOG(1/(1/(10^(H37/10))+1/(10^(H72/10))))</f>
        <v>41.381865287832156</v>
      </c>
      <c r="I74" s="173">
        <f>10*LOG(1/(1/(10^(I37/10))+1/(10^(I72/10))))</f>
        <v>44.379421416426894</v>
      </c>
      <c r="J74" s="132"/>
      <c r="K74" s="133">
        <f>10*LOG(1/(1/(10^(K37/10))+1/(10^(K72/10))))</f>
        <v>39.20486670226025</v>
      </c>
      <c r="L74" s="134"/>
      <c r="M74" s="134"/>
      <c r="N74" s="133">
        <f>10*LOG(1/(1/(10^(N37/10))+1/(10^(N72/10))))</f>
        <v>39.71296568114656</v>
      </c>
      <c r="O74" s="358">
        <f>(R74/Q74)^2</f>
        <v>0.9610321559738804</v>
      </c>
      <c r="P74" s="135"/>
      <c r="Q74" s="136">
        <f>Q37+Q72</f>
        <v>0.00010683250993701207</v>
      </c>
      <c r="R74" s="136">
        <f>R37+R72</f>
        <v>0.00010473031060551704</v>
      </c>
      <c r="S74" s="129" t="s">
        <v>32</v>
      </c>
      <c r="T74" s="137" t="s">
        <v>120</v>
      </c>
      <c r="U74" s="326" t="s">
        <v>261</v>
      </c>
      <c r="V74" s="308"/>
      <c r="W74" s="327" t="s">
        <v>299</v>
      </c>
      <c r="X74" s="324" t="s">
        <v>288</v>
      </c>
      <c r="Y74"/>
      <c r="Z74"/>
      <c r="AA74"/>
      <c r="AB74"/>
      <c r="AC74"/>
    </row>
    <row r="75" spans="1:29" s="2" customFormat="1" ht="12.75">
      <c r="A75" s="116" t="s">
        <v>18</v>
      </c>
      <c r="B75" s="106"/>
      <c r="C75" s="106"/>
      <c r="D75" s="104"/>
      <c r="E75" s="120" t="s">
        <v>121</v>
      </c>
      <c r="F75" s="174">
        <f>10*LOG(F5)+60</f>
        <v>20</v>
      </c>
      <c r="G75" s="174">
        <f>10*LOG(G5)+60</f>
        <v>20</v>
      </c>
      <c r="H75" s="174">
        <f>10*LOG(H5)+60</f>
        <v>24.771212547196626</v>
      </c>
      <c r="I75" s="174">
        <f>10*LOG(I5)+60</f>
        <v>30.791812460476248</v>
      </c>
      <c r="J75" s="122"/>
      <c r="K75" s="175">
        <f>10*LOG(K5)+60</f>
        <v>20</v>
      </c>
      <c r="L75" s="124"/>
      <c r="M75" s="124"/>
      <c r="N75" s="125">
        <f>K75</f>
        <v>20</v>
      </c>
      <c r="O75" s="403">
        <v>0</v>
      </c>
      <c r="P75" s="126"/>
      <c r="Q75" s="126"/>
      <c r="R75" s="126"/>
      <c r="S75" s="126" t="s">
        <v>80</v>
      </c>
      <c r="T75" s="24"/>
      <c r="U75" s="297" t="s">
        <v>262</v>
      </c>
      <c r="V75" s="309" t="s">
        <v>265</v>
      </c>
      <c r="W75" s="330" t="s">
        <v>303</v>
      </c>
      <c r="X75" s="313" t="s">
        <v>302</v>
      </c>
      <c r="Y75"/>
      <c r="Z75"/>
      <c r="AA75"/>
      <c r="AB75"/>
      <c r="AC75"/>
    </row>
    <row r="76" spans="1:29" s="2" customFormat="1" ht="13.5" thickBot="1">
      <c r="A76" s="138" t="s">
        <v>122</v>
      </c>
      <c r="B76" s="139"/>
      <c r="C76" s="139"/>
      <c r="D76" s="140"/>
      <c r="E76" s="36" t="s">
        <v>27</v>
      </c>
      <c r="F76" s="44">
        <f>F74-F75</f>
        <v>22.089237648233002</v>
      </c>
      <c r="G76" s="44">
        <f>G74-G75</f>
        <v>17.390553450487566</v>
      </c>
      <c r="H76" s="44">
        <f>H74-H75</f>
        <v>16.61065274063553</v>
      </c>
      <c r="I76" s="44">
        <f>I74-I75</f>
        <v>13.587608955950646</v>
      </c>
      <c r="J76" s="22"/>
      <c r="K76" s="43">
        <f>K74-K75</f>
        <v>19.204866702260247</v>
      </c>
      <c r="L76" s="23"/>
      <c r="M76" s="23"/>
      <c r="N76" s="44">
        <f>N74-N75</f>
        <v>19.712965681146557</v>
      </c>
      <c r="O76" s="355">
        <f>O74+O75</f>
        <v>0.9610321559738804</v>
      </c>
      <c r="P76" s="44"/>
      <c r="Q76" s="44"/>
      <c r="R76" s="44"/>
      <c r="S76" s="20" t="s">
        <v>32</v>
      </c>
      <c r="T76" s="216"/>
      <c r="U76" s="325" t="s">
        <v>263</v>
      </c>
      <c r="V76" s="328"/>
      <c r="W76" s="299" t="s">
        <v>300</v>
      </c>
      <c r="X76" s="316" t="s">
        <v>302</v>
      </c>
      <c r="Y76"/>
      <c r="Z76"/>
      <c r="AA76"/>
      <c r="AB76"/>
      <c r="AC76"/>
    </row>
    <row r="77" spans="1:29" s="341" customFormat="1" ht="13.5" thickBot="1">
      <c r="A77" s="103" t="s">
        <v>123</v>
      </c>
      <c r="B77" s="103"/>
      <c r="C77" s="103"/>
      <c r="D77" s="103"/>
      <c r="E77" s="13"/>
      <c r="F77" s="145"/>
      <c r="G77" s="145"/>
      <c r="H77" s="145"/>
      <c r="I77" s="145"/>
      <c r="J77" s="13"/>
      <c r="K77" s="13"/>
      <c r="L77" s="13"/>
      <c r="M77" s="13"/>
      <c r="N77" s="13"/>
      <c r="O77" s="353"/>
      <c r="P77" s="13"/>
      <c r="Q77" s="13"/>
      <c r="R77" s="13"/>
      <c r="S77" s="13"/>
      <c r="U77" s="408"/>
      <c r="V77" s="409"/>
      <c r="W77" s="410"/>
      <c r="X77" s="411"/>
      <c r="Y77" s="119"/>
      <c r="Z77" s="119"/>
      <c r="AA77" s="119"/>
      <c r="AB77" s="119"/>
      <c r="AC77" s="119"/>
    </row>
    <row r="78" spans="1:29" s="2" customFormat="1" ht="12.75">
      <c r="A78" s="127"/>
      <c r="B78" s="128" t="s">
        <v>124</v>
      </c>
      <c r="C78" s="128"/>
      <c r="D78" s="115"/>
      <c r="E78" s="20"/>
      <c r="F78" s="176">
        <v>1E-06</v>
      </c>
      <c r="G78" s="176">
        <v>1E-06</v>
      </c>
      <c r="H78" s="176">
        <v>1E-06</v>
      </c>
      <c r="I78" s="176">
        <v>1E-06</v>
      </c>
      <c r="J78" s="22"/>
      <c r="K78" s="526">
        <f>G78</f>
        <v>1E-06</v>
      </c>
      <c r="L78" s="23"/>
      <c r="M78" s="23"/>
      <c r="N78" s="23"/>
      <c r="O78" s="352"/>
      <c r="P78" s="23"/>
      <c r="Q78" s="23"/>
      <c r="R78" s="23"/>
      <c r="S78" s="23"/>
      <c r="T78" s="137"/>
      <c r="U78" s="332"/>
      <c r="V78" s="306" t="s">
        <v>265</v>
      </c>
      <c r="W78" s="307"/>
      <c r="X78" s="308"/>
      <c r="Y78"/>
      <c r="Z78"/>
      <c r="AA78"/>
      <c r="AB78"/>
      <c r="AC78"/>
    </row>
    <row r="79" spans="1:29" s="2" customFormat="1" ht="12.75">
      <c r="A79" s="116" t="s">
        <v>125</v>
      </c>
      <c r="B79" s="106"/>
      <c r="C79" s="106"/>
      <c r="D79" s="104"/>
      <c r="E79" s="20" t="s">
        <v>27</v>
      </c>
      <c r="F79" s="167">
        <v>10.5</v>
      </c>
      <c r="G79" s="167">
        <v>10.5</v>
      </c>
      <c r="H79" s="167">
        <v>7.3</v>
      </c>
      <c r="I79" s="167">
        <v>7.3</v>
      </c>
      <c r="J79" s="22"/>
      <c r="K79" s="524">
        <f>G79</f>
        <v>10.5</v>
      </c>
      <c r="L79" s="26">
        <v>0</v>
      </c>
      <c r="M79" s="26">
        <v>0</v>
      </c>
      <c r="N79" s="20">
        <f>K79</f>
        <v>10.5</v>
      </c>
      <c r="O79" s="352"/>
      <c r="P79" s="23"/>
      <c r="Q79" s="23"/>
      <c r="R79" s="23"/>
      <c r="S79" s="23"/>
      <c r="T79" s="24" t="s">
        <v>126</v>
      </c>
      <c r="U79" s="319"/>
      <c r="V79" s="311"/>
      <c r="W79" s="310"/>
      <c r="X79" s="311"/>
      <c r="Y79"/>
      <c r="Z79"/>
      <c r="AA79"/>
      <c r="AB79"/>
      <c r="AC79"/>
    </row>
    <row r="80" spans="1:29" s="2" customFormat="1" ht="12.75">
      <c r="A80" s="116" t="s">
        <v>127</v>
      </c>
      <c r="B80" s="106"/>
      <c r="C80" s="106"/>
      <c r="D80" s="104"/>
      <c r="E80" s="20" t="s">
        <v>27</v>
      </c>
      <c r="F80" s="149">
        <v>0.8</v>
      </c>
      <c r="G80" s="149">
        <f>SUM(G81:G86)</f>
        <v>3.4930000000000003</v>
      </c>
      <c r="H80" s="149">
        <f>SUM(H81:H86)</f>
        <v>3.4930000000000003</v>
      </c>
      <c r="I80" s="149">
        <f>SUM(I81:I86)</f>
        <v>3.4930000000000003</v>
      </c>
      <c r="J80" s="25" t="s">
        <v>134</v>
      </c>
      <c r="K80" s="52">
        <f>G80*0.9</f>
        <v>3.1437000000000004</v>
      </c>
      <c r="L80" s="26">
        <f>-I80*0.1</f>
        <v>-0.34930000000000005</v>
      </c>
      <c r="M80" s="26">
        <f>I80*0.1</f>
        <v>0.34930000000000005</v>
      </c>
      <c r="N80" s="20">
        <f>K80+((L80+M80)/2)</f>
        <v>3.1437000000000004</v>
      </c>
      <c r="O80" s="53">
        <f>((L80-M80)^2)/12</f>
        <v>0.04067016333333335</v>
      </c>
      <c r="P80" s="53"/>
      <c r="Q80" s="53"/>
      <c r="R80" s="53"/>
      <c r="S80" s="20" t="s">
        <v>39</v>
      </c>
      <c r="T80" s="24"/>
      <c r="U80" s="319"/>
      <c r="V80" s="309" t="s">
        <v>265</v>
      </c>
      <c r="W80" s="312" t="s">
        <v>291</v>
      </c>
      <c r="X80" s="313" t="s">
        <v>324</v>
      </c>
      <c r="Y80"/>
      <c r="Z80"/>
      <c r="AA80"/>
      <c r="AB80"/>
      <c r="AC80"/>
    </row>
    <row r="81" spans="1:29" s="2" customFormat="1" ht="12.75">
      <c r="A81" s="116"/>
      <c r="B81" s="106" t="s">
        <v>128</v>
      </c>
      <c r="C81" s="106"/>
      <c r="D81" s="104"/>
      <c r="E81" s="20" t="s">
        <v>27</v>
      </c>
      <c r="F81" s="149"/>
      <c r="G81" s="149">
        <v>0.8</v>
      </c>
      <c r="H81" s="149">
        <v>0.8</v>
      </c>
      <c r="I81" s="149">
        <v>0.8</v>
      </c>
      <c r="J81" s="25"/>
      <c r="K81" s="37"/>
      <c r="L81" s="38"/>
      <c r="M81" s="38"/>
      <c r="N81" s="38"/>
      <c r="O81" s="352"/>
      <c r="P81" s="38"/>
      <c r="Q81" s="38"/>
      <c r="R81" s="38"/>
      <c r="S81" s="38"/>
      <c r="T81" s="24"/>
      <c r="U81" s="319"/>
      <c r="V81" s="311"/>
      <c r="W81" s="318"/>
      <c r="X81" s="311"/>
      <c r="Y81"/>
      <c r="Z81"/>
      <c r="AA81"/>
      <c r="AB81"/>
      <c r="AC81"/>
    </row>
    <row r="82" spans="1:29" s="2" customFormat="1" ht="12.75">
      <c r="A82" s="116"/>
      <c r="B82" s="106" t="s">
        <v>307</v>
      </c>
      <c r="C82" s="106"/>
      <c r="D82" s="104"/>
      <c r="E82" s="20" t="s">
        <v>27</v>
      </c>
      <c r="F82" s="149"/>
      <c r="G82" s="167">
        <v>1</v>
      </c>
      <c r="H82" s="167">
        <v>1</v>
      </c>
      <c r="I82" s="167">
        <v>1</v>
      </c>
      <c r="J82" s="25"/>
      <c r="K82" s="37"/>
      <c r="L82" s="38"/>
      <c r="M82" s="38"/>
      <c r="N82" s="38"/>
      <c r="O82" s="352"/>
      <c r="P82" s="38"/>
      <c r="Q82" s="38"/>
      <c r="R82" s="38"/>
      <c r="S82" s="38"/>
      <c r="T82" s="24"/>
      <c r="U82" s="319"/>
      <c r="V82" s="311"/>
      <c r="W82" s="318"/>
      <c r="X82" s="311"/>
      <c r="Y82"/>
      <c r="Z82"/>
      <c r="AA82"/>
      <c r="AB82"/>
      <c r="AC82"/>
    </row>
    <row r="83" spans="1:29" s="2" customFormat="1" ht="12.75">
      <c r="A83" s="116"/>
      <c r="B83" s="106" t="s">
        <v>243</v>
      </c>
      <c r="D83" s="104"/>
      <c r="E83" s="20" t="s">
        <v>27</v>
      </c>
      <c r="F83" s="149"/>
      <c r="G83" s="149">
        <v>0.05</v>
      </c>
      <c r="H83" s="149">
        <v>0.05</v>
      </c>
      <c r="I83" s="149">
        <v>0.05</v>
      </c>
      <c r="J83" s="25"/>
      <c r="K83" s="37"/>
      <c r="L83" s="38"/>
      <c r="M83" s="38"/>
      <c r="N83" s="38"/>
      <c r="O83" s="352"/>
      <c r="P83" s="38"/>
      <c r="Q83" s="38"/>
      <c r="R83" s="38"/>
      <c r="S83" s="38"/>
      <c r="T83" s="24"/>
      <c r="U83" s="319"/>
      <c r="V83" s="311"/>
      <c r="W83" s="318"/>
      <c r="X83" s="311"/>
      <c r="Y83"/>
      <c r="Z83"/>
      <c r="AA83"/>
      <c r="AB83"/>
      <c r="AC83"/>
    </row>
    <row r="84" spans="1:29" s="2" customFormat="1" ht="12.75">
      <c r="A84" s="116"/>
      <c r="B84" s="106" t="s">
        <v>129</v>
      </c>
      <c r="C84" s="106"/>
      <c r="D84" s="104"/>
      <c r="E84" s="20" t="s">
        <v>27</v>
      </c>
      <c r="F84" s="149"/>
      <c r="G84" s="149">
        <f>SUM(G85:G85)</f>
        <v>0.58</v>
      </c>
      <c r="H84" s="149">
        <f>SUM(H85:H85)</f>
        <v>0.58</v>
      </c>
      <c r="I84" s="149">
        <f>SUM(I85:I85)</f>
        <v>0.58</v>
      </c>
      <c r="J84" s="25"/>
      <c r="K84" s="37"/>
      <c r="L84" s="38"/>
      <c r="M84" s="38"/>
      <c r="N84" s="38"/>
      <c r="O84" s="352"/>
      <c r="P84" s="38"/>
      <c r="Q84" s="38"/>
      <c r="R84" s="38"/>
      <c r="S84" s="38"/>
      <c r="T84" s="24"/>
      <c r="U84" s="319"/>
      <c r="V84" s="311"/>
      <c r="W84" s="318"/>
      <c r="X84" s="311"/>
      <c r="Y84"/>
      <c r="Z84"/>
      <c r="AA84"/>
      <c r="AB84"/>
      <c r="AC84"/>
    </row>
    <row r="85" spans="1:29" s="2" customFormat="1" ht="12.75">
      <c r="A85" s="116"/>
      <c r="B85" s="106"/>
      <c r="C85" s="106" t="s">
        <v>130</v>
      </c>
      <c r="D85" s="104"/>
      <c r="E85" s="20" t="s">
        <v>27</v>
      </c>
      <c r="F85" s="149"/>
      <c r="G85" s="149">
        <v>0.58</v>
      </c>
      <c r="H85" s="149">
        <v>0.58</v>
      </c>
      <c r="I85" s="149">
        <v>0.58</v>
      </c>
      <c r="J85" s="25"/>
      <c r="K85" s="37"/>
      <c r="L85" s="38"/>
      <c r="M85" s="38"/>
      <c r="N85" s="38"/>
      <c r="O85" s="352"/>
      <c r="P85" s="38"/>
      <c r="Q85" s="38"/>
      <c r="R85" s="38"/>
      <c r="S85" s="38"/>
      <c r="T85" s="24"/>
      <c r="U85" s="319"/>
      <c r="V85" s="311"/>
      <c r="W85" s="318"/>
      <c r="X85" s="311"/>
      <c r="Y85"/>
      <c r="Z85"/>
      <c r="AA85"/>
      <c r="AB85"/>
      <c r="AC85"/>
    </row>
    <row r="86" spans="1:29" s="2" customFormat="1" ht="12.75">
      <c r="A86" s="116"/>
      <c r="B86" s="106"/>
      <c r="C86" s="106" t="s">
        <v>132</v>
      </c>
      <c r="D86" s="104"/>
      <c r="E86" s="20" t="s">
        <v>27</v>
      </c>
      <c r="F86" s="149"/>
      <c r="G86" s="149">
        <v>0.483</v>
      </c>
      <c r="H86" s="149">
        <v>0.483</v>
      </c>
      <c r="I86" s="149">
        <v>0.483</v>
      </c>
      <c r="J86" s="25"/>
      <c r="K86" s="37"/>
      <c r="L86" s="38"/>
      <c r="M86" s="38"/>
      <c r="N86" s="38"/>
      <c r="O86" s="352"/>
      <c r="P86" s="38"/>
      <c r="Q86" s="38"/>
      <c r="R86" s="38"/>
      <c r="S86" s="38"/>
      <c r="T86" s="24"/>
      <c r="U86" s="319"/>
      <c r="V86" s="311"/>
      <c r="W86" s="318"/>
      <c r="X86" s="311"/>
      <c r="Y86"/>
      <c r="Z86"/>
      <c r="AA86"/>
      <c r="AB86"/>
      <c r="AC86"/>
    </row>
    <row r="87" spans="1:29" s="2" customFormat="1" ht="12.75">
      <c r="A87" s="116" t="s">
        <v>133</v>
      </c>
      <c r="B87" s="106"/>
      <c r="C87" s="106"/>
      <c r="D87" s="104"/>
      <c r="E87" s="20" t="s">
        <v>27</v>
      </c>
      <c r="F87" s="149">
        <v>1.2</v>
      </c>
      <c r="G87" s="168">
        <f>SUM(G88:G91)</f>
        <v>1.127</v>
      </c>
      <c r="H87" s="168">
        <f>SUM(H88:H91)</f>
        <v>1.627</v>
      </c>
      <c r="I87" s="168">
        <f>SUM(I88:I91)</f>
        <v>1.627</v>
      </c>
      <c r="J87" s="25" t="s">
        <v>134</v>
      </c>
      <c r="K87" s="525">
        <f>G87*0.9</f>
        <v>1.0143</v>
      </c>
      <c r="L87" s="99">
        <f>-G87*0.1</f>
        <v>-0.11270000000000001</v>
      </c>
      <c r="M87" s="99">
        <f>G87*0.1</f>
        <v>0.11270000000000001</v>
      </c>
      <c r="N87" s="20">
        <f>K87+((L87+M87)/3)</f>
        <v>1.0143</v>
      </c>
      <c r="O87" s="53">
        <f>(L87^2+M87^2-(M87*L87))/18</f>
        <v>0.002116881666666667</v>
      </c>
      <c r="P87" s="20"/>
      <c r="Q87" s="20"/>
      <c r="R87" s="20"/>
      <c r="S87" s="20" t="s">
        <v>36</v>
      </c>
      <c r="T87" s="24"/>
      <c r="U87" s="319"/>
      <c r="V87" s="309" t="s">
        <v>135</v>
      </c>
      <c r="W87" s="312" t="s">
        <v>290</v>
      </c>
      <c r="X87" s="313" t="s">
        <v>324</v>
      </c>
      <c r="Y87"/>
      <c r="Z87"/>
      <c r="AA87"/>
      <c r="AB87"/>
      <c r="AC87"/>
    </row>
    <row r="88" spans="1:29" s="2" customFormat="1" ht="12.75">
      <c r="A88" s="116"/>
      <c r="B88" s="106"/>
      <c r="C88" s="106" t="s">
        <v>130</v>
      </c>
      <c r="D88" s="104"/>
      <c r="E88" s="20" t="s">
        <v>27</v>
      </c>
      <c r="F88" s="149"/>
      <c r="G88" s="149">
        <v>0.5</v>
      </c>
      <c r="H88" s="149">
        <v>0.5</v>
      </c>
      <c r="I88" s="149">
        <v>0.5</v>
      </c>
      <c r="J88" s="25"/>
      <c r="K88" s="37"/>
      <c r="L88" s="38"/>
      <c r="M88" s="38"/>
      <c r="N88" s="38"/>
      <c r="O88" s="352"/>
      <c r="P88" s="38"/>
      <c r="Q88" s="38"/>
      <c r="R88" s="38"/>
      <c r="S88" s="38"/>
      <c r="T88" s="24"/>
      <c r="U88" s="319"/>
      <c r="V88" s="313" t="s">
        <v>289</v>
      </c>
      <c r="W88" s="318"/>
      <c r="X88" s="311"/>
      <c r="Y88"/>
      <c r="Z88"/>
      <c r="AA88"/>
      <c r="AB88"/>
      <c r="AC88"/>
    </row>
    <row r="89" spans="1:29" s="2" customFormat="1" ht="12.75">
      <c r="A89" s="116"/>
      <c r="B89" s="106"/>
      <c r="C89" s="106" t="s">
        <v>308</v>
      </c>
      <c r="D89" s="104"/>
      <c r="E89" s="20" t="s">
        <v>27</v>
      </c>
      <c r="F89" s="149"/>
      <c r="G89" s="279">
        <v>0.5</v>
      </c>
      <c r="H89" s="282">
        <v>1</v>
      </c>
      <c r="I89" s="282">
        <v>1</v>
      </c>
      <c r="J89" s="25"/>
      <c r="K89" s="37"/>
      <c r="L89" s="38"/>
      <c r="M89" s="38"/>
      <c r="N89" s="38"/>
      <c r="O89" s="352"/>
      <c r="P89" s="38"/>
      <c r="Q89" s="38"/>
      <c r="R89" s="38"/>
      <c r="S89" s="38"/>
      <c r="T89" s="24"/>
      <c r="U89" s="319"/>
      <c r="V89" s="313" t="s">
        <v>289</v>
      </c>
      <c r="W89" s="318"/>
      <c r="X89" s="311"/>
      <c r="Y89"/>
      <c r="Z89"/>
      <c r="AA89"/>
      <c r="AB89"/>
      <c r="AC89"/>
    </row>
    <row r="90" spans="1:29" s="2" customFormat="1" ht="12.75">
      <c r="A90" s="116"/>
      <c r="B90" s="106"/>
      <c r="C90" s="106" t="s">
        <v>137</v>
      </c>
      <c r="D90" s="104"/>
      <c r="E90" s="20" t="s">
        <v>27</v>
      </c>
      <c r="F90" s="149"/>
      <c r="G90" s="149">
        <v>0.077</v>
      </c>
      <c r="H90" s="149">
        <v>0.077</v>
      </c>
      <c r="I90" s="149">
        <v>0.077</v>
      </c>
      <c r="J90" s="25"/>
      <c r="K90" s="37"/>
      <c r="L90" s="38"/>
      <c r="M90" s="38"/>
      <c r="N90" s="38"/>
      <c r="O90" s="352"/>
      <c r="P90" s="38"/>
      <c r="Q90" s="38"/>
      <c r="R90" s="38"/>
      <c r="S90" s="38"/>
      <c r="T90" s="24"/>
      <c r="U90" s="319"/>
      <c r="V90" s="313" t="s">
        <v>289</v>
      </c>
      <c r="W90" s="318"/>
      <c r="X90" s="311"/>
      <c r="Y90"/>
      <c r="Z90"/>
      <c r="AA90"/>
      <c r="AB90"/>
      <c r="AC90"/>
    </row>
    <row r="91" spans="1:29" s="2" customFormat="1" ht="12.75">
      <c r="A91" s="116"/>
      <c r="B91" s="106"/>
      <c r="C91" s="106" t="s">
        <v>138</v>
      </c>
      <c r="D91" s="104"/>
      <c r="E91" s="20" t="s">
        <v>27</v>
      </c>
      <c r="F91" s="149"/>
      <c r="G91" s="149">
        <v>0.05</v>
      </c>
      <c r="H91" s="149">
        <v>0.05</v>
      </c>
      <c r="I91" s="149">
        <v>0.05</v>
      </c>
      <c r="J91" s="25"/>
      <c r="K91" s="37"/>
      <c r="L91" s="38"/>
      <c r="M91" s="38"/>
      <c r="N91" s="38"/>
      <c r="O91" s="352"/>
      <c r="P91" s="38"/>
      <c r="Q91" s="38"/>
      <c r="R91" s="38"/>
      <c r="S91" s="38"/>
      <c r="T91" s="24"/>
      <c r="U91" s="319"/>
      <c r="V91" s="313" t="s">
        <v>275</v>
      </c>
      <c r="W91" s="318"/>
      <c r="X91" s="311"/>
      <c r="Y91"/>
      <c r="Z91"/>
      <c r="AA91"/>
      <c r="AB91"/>
      <c r="AC91"/>
    </row>
    <row r="92" spans="1:29" s="2" customFormat="1" ht="13.5" thickBot="1">
      <c r="A92" s="116" t="s">
        <v>139</v>
      </c>
      <c r="B92" s="106"/>
      <c r="C92" s="106"/>
      <c r="D92" s="104"/>
      <c r="E92" s="20" t="s">
        <v>27</v>
      </c>
      <c r="F92" s="205">
        <f>F79+F80+F87</f>
        <v>12.5</v>
      </c>
      <c r="G92" s="544">
        <f>G79+G80+G87</f>
        <v>15.120000000000001</v>
      </c>
      <c r="H92" s="544">
        <f>H79+H80+H87</f>
        <v>12.42</v>
      </c>
      <c r="I92" s="544">
        <f>I79+I80+I87</f>
        <v>12.42</v>
      </c>
      <c r="J92" s="545"/>
      <c r="K92" s="43">
        <f>K79+K80+K87</f>
        <v>14.658000000000001</v>
      </c>
      <c r="L92" s="23"/>
      <c r="M92" s="23"/>
      <c r="N92" s="43">
        <f>N79+N80+N87</f>
        <v>14.658000000000001</v>
      </c>
      <c r="O92" s="352"/>
      <c r="P92" s="23"/>
      <c r="Q92" s="23"/>
      <c r="R92" s="23"/>
      <c r="S92" s="23"/>
      <c r="T92" s="24"/>
      <c r="U92" s="297" t="s">
        <v>542</v>
      </c>
      <c r="V92" s="311"/>
      <c r="W92" s="508"/>
      <c r="X92" s="375"/>
      <c r="Y92"/>
      <c r="Z92"/>
      <c r="AA92"/>
      <c r="AB92"/>
      <c r="AC92"/>
    </row>
    <row r="93" spans="1:24" s="12" customFormat="1" ht="26.25" thickBot="1">
      <c r="A93" s="799" t="s">
        <v>186</v>
      </c>
      <c r="B93" s="800"/>
      <c r="C93" s="800"/>
      <c r="D93" s="801"/>
      <c r="E93" s="509" t="s">
        <v>27</v>
      </c>
      <c r="F93" s="510"/>
      <c r="G93" s="510"/>
      <c r="H93" s="510"/>
      <c r="I93" s="510"/>
      <c r="J93" s="511"/>
      <c r="K93" s="512">
        <f>K76-K92</f>
        <v>4.546866702260246</v>
      </c>
      <c r="L93" s="513"/>
      <c r="M93" s="513"/>
      <c r="N93" s="514">
        <f>N76-N92</f>
        <v>5.054965681146555</v>
      </c>
      <c r="O93" s="543">
        <f>O76+O80+O87</f>
        <v>1.0038192009738802</v>
      </c>
      <c r="P93" s="515"/>
      <c r="Q93" s="515"/>
      <c r="R93" s="515"/>
      <c r="S93" s="516" t="s">
        <v>32</v>
      </c>
      <c r="T93" s="517"/>
      <c r="U93" s="518" t="s">
        <v>264</v>
      </c>
      <c r="V93" s="519"/>
      <c r="W93" s="518" t="s">
        <v>543</v>
      </c>
      <c r="X93" s="507" t="s">
        <v>302</v>
      </c>
    </row>
    <row r="94" spans="1:24" ht="13.5" thickBot="1">
      <c r="A94" s="98"/>
      <c r="B94" s="108"/>
      <c r="C94" s="108"/>
      <c r="D94" s="108" t="s">
        <v>187</v>
      </c>
      <c r="E94" s="270" t="s">
        <v>27</v>
      </c>
      <c r="F94" s="232"/>
      <c r="G94" s="232"/>
      <c r="H94" s="232"/>
      <c r="I94" s="232"/>
      <c r="J94" s="243"/>
      <c r="K94" s="272">
        <f>K93+26-K64</f>
        <v>18.546866702260246</v>
      </c>
      <c r="N94" s="64" t="s">
        <v>142</v>
      </c>
      <c r="O94" s="65">
        <f>SQRT(O93)</f>
        <v>1.0019077806733911</v>
      </c>
      <c r="P94" s="86"/>
      <c r="Q94" s="86"/>
      <c r="R94" s="86"/>
      <c r="S94" s="66" t="s">
        <v>27</v>
      </c>
      <c r="T94" s="369"/>
      <c r="U94" s="505"/>
      <c r="V94" s="336"/>
      <c r="W94" s="506"/>
      <c r="X94" s="336"/>
    </row>
    <row r="95" spans="1:23" s="681" customFormat="1" ht="13.5" thickBot="1">
      <c r="A95" s="648" t="s">
        <v>802</v>
      </c>
      <c r="B95" s="649"/>
      <c r="C95" s="649"/>
      <c r="D95" s="649"/>
      <c r="E95" s="754" t="s">
        <v>27</v>
      </c>
      <c r="F95" s="634"/>
      <c r="G95" s="595">
        <v>1</v>
      </c>
      <c r="H95" s="288"/>
      <c r="I95" s="750"/>
      <c r="J95" s="582"/>
      <c r="K95" s="595">
        <v>1</v>
      </c>
      <c r="L95" s="607"/>
      <c r="M95" s="607"/>
      <c r="N95" s="679" t="s">
        <v>143</v>
      </c>
      <c r="O95" s="67">
        <f>2*O94</f>
        <v>2.0038155613467823</v>
      </c>
      <c r="P95" s="68"/>
      <c r="Q95" s="68"/>
      <c r="R95" s="68"/>
      <c r="S95" s="680" t="s">
        <v>27</v>
      </c>
      <c r="U95" s="680"/>
      <c r="W95" s="286"/>
    </row>
    <row r="96" spans="1:23" s="681" customFormat="1" ht="13.5" thickBot="1">
      <c r="A96" s="648" t="s">
        <v>813</v>
      </c>
      <c r="B96" s="650"/>
      <c r="C96" s="650"/>
      <c r="D96" s="650"/>
      <c r="E96" s="754" t="s">
        <v>27</v>
      </c>
      <c r="F96" s="634"/>
      <c r="G96" s="288"/>
      <c r="H96" s="288"/>
      <c r="I96" s="288"/>
      <c r="J96" s="582"/>
      <c r="K96" s="596">
        <f>K93-K95</f>
        <v>3.546866702260246</v>
      </c>
      <c r="L96" s="607"/>
      <c r="M96" s="607"/>
      <c r="N96" s="679"/>
      <c r="O96" s="68"/>
      <c r="P96" s="68"/>
      <c r="Q96" s="68"/>
      <c r="R96" s="68"/>
      <c r="S96" s="680"/>
      <c r="U96" s="680"/>
      <c r="W96" s="286"/>
    </row>
    <row r="97" spans="1:23" s="681" customFormat="1" ht="13.5" thickBot="1">
      <c r="A97" s="569"/>
      <c r="B97" s="287"/>
      <c r="C97" s="287"/>
      <c r="D97" s="287"/>
      <c r="E97" s="633"/>
      <c r="F97" s="634"/>
      <c r="G97" s="288"/>
      <c r="H97" s="288"/>
      <c r="I97" s="288"/>
      <c r="J97" s="288"/>
      <c r="K97" s="635"/>
      <c r="L97" s="607"/>
      <c r="M97" s="607"/>
      <c r="N97" s="679"/>
      <c r="O97" s="68"/>
      <c r="P97" s="68"/>
      <c r="Q97" s="68"/>
      <c r="R97" s="68"/>
      <c r="S97" s="680"/>
      <c r="U97" s="680"/>
      <c r="W97" s="286"/>
    </row>
    <row r="98" spans="1:23" s="681" customFormat="1" ht="13.5" thickBot="1">
      <c r="A98" s="658" t="s">
        <v>884</v>
      </c>
      <c r="B98" s="654"/>
      <c r="C98" s="654"/>
      <c r="D98" s="654"/>
      <c r="E98" s="655" t="s">
        <v>27</v>
      </c>
      <c r="F98" s="752"/>
      <c r="G98" s="753">
        <f>G80+G87+G95</f>
        <v>5.62</v>
      </c>
      <c r="H98" s="288"/>
      <c r="I98" s="751"/>
      <c r="J98" s="288"/>
      <c r="K98" s="635"/>
      <c r="L98" s="607"/>
      <c r="M98" s="607"/>
      <c r="N98" s="679"/>
      <c r="O98" s="68"/>
      <c r="P98" s="68"/>
      <c r="Q98" s="68"/>
      <c r="R98" s="68"/>
      <c r="S98" s="680"/>
      <c r="U98" s="680"/>
      <c r="W98" s="286"/>
    </row>
    <row r="99" spans="5:24" s="681" customFormat="1" ht="12.75">
      <c r="E99" s="607"/>
      <c r="F99" s="606"/>
      <c r="G99" s="606"/>
      <c r="H99" s="634"/>
      <c r="I99" s="634"/>
      <c r="J99" s="607"/>
      <c r="K99" s="607"/>
      <c r="L99" s="607"/>
      <c r="M99" s="607"/>
      <c r="N99" s="607"/>
      <c r="O99" s="607"/>
      <c r="P99" s="607"/>
      <c r="Q99" s="607"/>
      <c r="R99" s="607"/>
      <c r="S99" s="607"/>
      <c r="U99" s="680"/>
      <c r="W99" s="288"/>
      <c r="X99" s="684"/>
    </row>
    <row r="100" spans="1:24" ht="12.75">
      <c r="A100" s="119"/>
      <c r="B100" s="119"/>
      <c r="C100" s="119"/>
      <c r="D100" s="119"/>
      <c r="F100" s="63"/>
      <c r="G100" s="63"/>
      <c r="H100"/>
      <c r="J100" s="180" t="s">
        <v>144</v>
      </c>
      <c r="N100" s="64"/>
      <c r="O100" s="68"/>
      <c r="P100" s="68"/>
      <c r="Q100" s="68"/>
      <c r="R100" s="68"/>
      <c r="S100" s="66"/>
      <c r="W100" s="286"/>
      <c r="X100"/>
    </row>
    <row r="101" spans="1:24" ht="12.75">
      <c r="A101" s="181"/>
      <c r="B101" s="181"/>
      <c r="C101" s="181"/>
      <c r="D101" s="181"/>
      <c r="F101" s="63"/>
      <c r="G101"/>
      <c r="H101"/>
      <c r="I101" s="180" t="s">
        <v>145</v>
      </c>
      <c r="J101" s="180" t="s">
        <v>146</v>
      </c>
      <c r="K101" s="180" t="s">
        <v>147</v>
      </c>
      <c r="N101" s="64"/>
      <c r="O101" s="68"/>
      <c r="P101" s="68"/>
      <c r="Q101" s="68"/>
      <c r="R101" s="68"/>
      <c r="S101" s="66"/>
      <c r="W101" s="286"/>
      <c r="X101"/>
    </row>
    <row r="102" spans="1:24" ht="13.5" thickBot="1">
      <c r="A102" s="181"/>
      <c r="B102" s="181"/>
      <c r="C102" s="181"/>
      <c r="D102" s="181"/>
      <c r="E102" s="180"/>
      <c r="F102" s="63"/>
      <c r="G102"/>
      <c r="H102"/>
      <c r="I102" s="180" t="s">
        <v>148</v>
      </c>
      <c r="J102" s="180" t="s">
        <v>148</v>
      </c>
      <c r="K102" s="180" t="s">
        <v>148</v>
      </c>
      <c r="N102" s="64"/>
      <c r="O102" s="68"/>
      <c r="P102" s="68"/>
      <c r="Q102" s="68"/>
      <c r="R102" s="68"/>
      <c r="S102" s="66"/>
      <c r="W102" s="286"/>
      <c r="X102"/>
    </row>
    <row r="103" spans="1:24" ht="12.75">
      <c r="A103" s="182" t="s">
        <v>149</v>
      </c>
      <c r="B103" s="183"/>
      <c r="C103" s="183"/>
      <c r="D103" s="183"/>
      <c r="E103" s="184" t="s">
        <v>27</v>
      </c>
      <c r="F103" s="63"/>
      <c r="G103"/>
      <c r="H103"/>
      <c r="I103" s="602">
        <f>K96+O95</f>
        <v>5.550682263607028</v>
      </c>
      <c r="J103" s="444">
        <v>2</v>
      </c>
      <c r="K103" s="186">
        <f>I103-J103</f>
        <v>3.550682263607028</v>
      </c>
      <c r="N103" s="64"/>
      <c r="O103" s="68"/>
      <c r="P103" s="68"/>
      <c r="Q103" s="68"/>
      <c r="R103" s="68"/>
      <c r="S103" s="66"/>
      <c r="T103" s="119"/>
      <c r="U103" s="451"/>
      <c r="V103" s="306" t="s">
        <v>268</v>
      </c>
      <c r="W103" s="454"/>
      <c r="X103" s="417"/>
    </row>
    <row r="104" spans="1:24" ht="12.75">
      <c r="A104" s="187" t="s">
        <v>150</v>
      </c>
      <c r="B104" s="188"/>
      <c r="C104" s="188"/>
      <c r="D104" s="188"/>
      <c r="E104" s="189" t="s">
        <v>27</v>
      </c>
      <c r="F104" s="63"/>
      <c r="G104"/>
      <c r="H104"/>
      <c r="I104" s="603">
        <f>K96</f>
        <v>3.546866702260246</v>
      </c>
      <c r="J104" s="445">
        <v>1</v>
      </c>
      <c r="K104" s="191">
        <f>I104-J104</f>
        <v>2.546866702260246</v>
      </c>
      <c r="M104"/>
      <c r="N104"/>
      <c r="O104"/>
      <c r="P104"/>
      <c r="Q104"/>
      <c r="R104"/>
      <c r="S104"/>
      <c r="T104" s="341"/>
      <c r="U104" s="452"/>
      <c r="V104" s="309" t="s">
        <v>268</v>
      </c>
      <c r="W104" s="455"/>
      <c r="X104" s="419"/>
    </row>
    <row r="105" spans="1:24" ht="13.5" thickBot="1">
      <c r="A105" s="192" t="s">
        <v>151</v>
      </c>
      <c r="B105" s="193"/>
      <c r="C105" s="193"/>
      <c r="D105" s="193"/>
      <c r="E105" s="194" t="s">
        <v>27</v>
      </c>
      <c r="F105" s="63"/>
      <c r="G105"/>
      <c r="H105"/>
      <c r="I105" s="604">
        <f>K96-O95</f>
        <v>1.5430511409134637</v>
      </c>
      <c r="J105" s="446">
        <v>0</v>
      </c>
      <c r="K105" s="196">
        <f>I105-J105</f>
        <v>1.5430511409134637</v>
      </c>
      <c r="M105"/>
      <c r="N105"/>
      <c r="O105"/>
      <c r="P105"/>
      <c r="Q105"/>
      <c r="R105"/>
      <c r="S105"/>
      <c r="T105" s="119"/>
      <c r="U105" s="453"/>
      <c r="V105" s="314" t="s">
        <v>268</v>
      </c>
      <c r="W105" s="420"/>
      <c r="X105" s="421"/>
    </row>
    <row r="106" spans="1:24" s="681" customFormat="1" ht="13.5" thickBot="1">
      <c r="A106" s="685" t="s">
        <v>358</v>
      </c>
      <c r="E106" s="607"/>
      <c r="F106" s="606"/>
      <c r="G106" s="606"/>
      <c r="H106" s="606"/>
      <c r="I106" s="606"/>
      <c r="J106" s="607"/>
      <c r="K106" s="607"/>
      <c r="L106" s="607"/>
      <c r="M106" s="607"/>
      <c r="N106" s="607"/>
      <c r="O106" s="607"/>
      <c r="P106" s="607"/>
      <c r="Q106" s="607"/>
      <c r="R106" s="607"/>
      <c r="S106" s="607"/>
      <c r="U106" s="680"/>
      <c r="W106" s="288"/>
      <c r="X106" s="684"/>
    </row>
    <row r="107" spans="1:24" s="681" customFormat="1" ht="12.75">
      <c r="A107" s="686" t="str">
        <f>A33</f>
        <v>G/T calculation</v>
      </c>
      <c r="B107" s="687"/>
      <c r="C107" s="687"/>
      <c r="D107" s="687"/>
      <c r="E107" s="562" t="str">
        <f>E33</f>
        <v>dB/K</v>
      </c>
      <c r="F107" s="562"/>
      <c r="G107" s="688">
        <f aca="true" t="shared" si="1" ref="G107:I108">G33</f>
        <v>-17.866320646502693</v>
      </c>
      <c r="H107" s="688">
        <f t="shared" si="1"/>
        <v>-17.866320646502693</v>
      </c>
      <c r="I107" s="689">
        <f t="shared" si="1"/>
        <v>-17.866320646502693</v>
      </c>
      <c r="J107" s="607"/>
      <c r="K107" s="607"/>
      <c r="L107" s="607"/>
      <c r="M107" s="607"/>
      <c r="N107" s="607"/>
      <c r="O107" s="607"/>
      <c r="P107" s="607"/>
      <c r="Q107" s="607"/>
      <c r="R107" s="607"/>
      <c r="S107" s="607"/>
      <c r="U107" s="680"/>
      <c r="W107" s="288"/>
      <c r="X107" s="684"/>
    </row>
    <row r="108" spans="1:24" s="681" customFormat="1" ht="12.75">
      <c r="A108" s="690" t="str">
        <f>A34</f>
        <v>HSC G/T Spec</v>
      </c>
      <c r="B108" s="691"/>
      <c r="C108" s="691"/>
      <c r="D108" s="691"/>
      <c r="E108" s="652" t="str">
        <f>E34</f>
        <v>dB/K</v>
      </c>
      <c r="F108" s="652"/>
      <c r="G108" s="652">
        <f t="shared" si="1"/>
        <v>-18.7</v>
      </c>
      <c r="H108" s="652">
        <f t="shared" si="1"/>
        <v>-18.7</v>
      </c>
      <c r="I108" s="586">
        <f t="shared" si="1"/>
        <v>-18.7</v>
      </c>
      <c r="J108" s="607"/>
      <c r="K108" s="607"/>
      <c r="L108" s="607"/>
      <c r="M108" s="607"/>
      <c r="N108" s="607"/>
      <c r="O108" s="607"/>
      <c r="P108" s="607"/>
      <c r="Q108" s="607"/>
      <c r="R108" s="607"/>
      <c r="S108" s="607"/>
      <c r="U108" s="680"/>
      <c r="W108" s="288"/>
      <c r="X108" s="684"/>
    </row>
    <row r="109" spans="1:24" s="681" customFormat="1" ht="13.5" thickBot="1">
      <c r="A109" s="692" t="s">
        <v>356</v>
      </c>
      <c r="B109" s="693"/>
      <c r="C109" s="693"/>
      <c r="D109" s="693"/>
      <c r="E109" s="694" t="str">
        <f>E108</f>
        <v>dB/K</v>
      </c>
      <c r="F109" s="694"/>
      <c r="G109" s="695">
        <f>G107-G108</f>
        <v>0.8336793534973062</v>
      </c>
      <c r="H109" s="695">
        <f>H107-H108</f>
        <v>0.8336793534973062</v>
      </c>
      <c r="I109" s="696">
        <f>I107-I108</f>
        <v>0.8336793534973062</v>
      </c>
      <c r="J109" s="607"/>
      <c r="K109" s="607"/>
      <c r="L109" s="607"/>
      <c r="M109" s="607"/>
      <c r="N109" s="607"/>
      <c r="O109" s="607"/>
      <c r="P109" s="607"/>
      <c r="Q109" s="607"/>
      <c r="R109" s="607"/>
      <c r="S109" s="607"/>
      <c r="U109" s="680"/>
      <c r="W109" s="288"/>
      <c r="X109" s="684"/>
    </row>
    <row r="110" spans="5:24" s="681" customFormat="1" ht="12.75">
      <c r="E110" s="607"/>
      <c r="F110" s="606"/>
      <c r="G110" s="606"/>
      <c r="H110" s="606"/>
      <c r="I110" s="606"/>
      <c r="J110" s="607"/>
      <c r="K110" s="607"/>
      <c r="L110" s="607"/>
      <c r="M110" s="607"/>
      <c r="N110" s="607"/>
      <c r="O110" s="607"/>
      <c r="P110" s="607"/>
      <c r="Q110" s="607"/>
      <c r="R110" s="607"/>
      <c r="S110" s="607"/>
      <c r="U110" s="680"/>
      <c r="W110" s="288"/>
      <c r="X110" s="684"/>
    </row>
    <row r="111" spans="1:24" s="681" customFormat="1" ht="13.5" thickBot="1">
      <c r="A111" s="685" t="s">
        <v>359</v>
      </c>
      <c r="E111" s="607"/>
      <c r="F111" s="606"/>
      <c r="G111" s="606"/>
      <c r="H111" s="606"/>
      <c r="I111" s="606"/>
      <c r="J111" s="607"/>
      <c r="K111" s="607"/>
      <c r="L111" s="607"/>
      <c r="M111" s="607"/>
      <c r="N111" s="607"/>
      <c r="O111" s="607"/>
      <c r="P111" s="607"/>
      <c r="Q111" s="607"/>
      <c r="R111" s="607"/>
      <c r="S111" s="607"/>
      <c r="U111" s="680"/>
      <c r="W111" s="288"/>
      <c r="X111" s="684"/>
    </row>
    <row r="112" spans="1:24" s="681" customFormat="1" ht="12.75">
      <c r="A112" s="686" t="str">
        <f>A50</f>
        <v>EIRP calculation</v>
      </c>
      <c r="B112" s="687"/>
      <c r="C112" s="687"/>
      <c r="D112" s="687"/>
      <c r="E112" s="562" t="str">
        <f>E50</f>
        <v>dBmi</v>
      </c>
      <c r="F112" s="697"/>
      <c r="G112" s="688">
        <f aca="true" t="shared" si="2" ref="G112:I113">G50</f>
        <v>47.173075231319366</v>
      </c>
      <c r="H112" s="688">
        <f t="shared" si="2"/>
        <v>47.173075231319366</v>
      </c>
      <c r="I112" s="689">
        <f t="shared" si="2"/>
        <v>47.173075231319366</v>
      </c>
      <c r="J112" s="607"/>
      <c r="K112" s="607"/>
      <c r="L112" s="607"/>
      <c r="M112" s="607"/>
      <c r="N112" s="607"/>
      <c r="O112" s="607"/>
      <c r="P112" s="607"/>
      <c r="Q112" s="607"/>
      <c r="R112" s="607"/>
      <c r="S112" s="607"/>
      <c r="U112" s="680"/>
      <c r="W112" s="288"/>
      <c r="X112" s="684"/>
    </row>
    <row r="113" spans="1:24" s="681" customFormat="1" ht="12.75">
      <c r="A113" s="690" t="str">
        <f>A51</f>
        <v>HSC EIRP Spec, center channel</v>
      </c>
      <c r="B113" s="691"/>
      <c r="C113" s="691"/>
      <c r="D113" s="691"/>
      <c r="E113" s="652" t="str">
        <f>E51</f>
        <v>dBmi</v>
      </c>
      <c r="F113" s="651"/>
      <c r="G113" s="698">
        <f t="shared" si="2"/>
        <v>46</v>
      </c>
      <c r="H113" s="698">
        <f t="shared" si="2"/>
        <v>46</v>
      </c>
      <c r="I113" s="699">
        <f t="shared" si="2"/>
        <v>46</v>
      </c>
      <c r="J113" s="607"/>
      <c r="K113" s="607"/>
      <c r="L113" s="607"/>
      <c r="M113" s="607"/>
      <c r="N113" s="607"/>
      <c r="O113" s="607"/>
      <c r="P113" s="607"/>
      <c r="Q113" s="607"/>
      <c r="R113" s="607"/>
      <c r="S113" s="607"/>
      <c r="U113" s="680"/>
      <c r="W113" s="288"/>
      <c r="X113" s="684"/>
    </row>
    <row r="114" spans="1:24" s="681" customFormat="1" ht="13.5" thickBot="1">
      <c r="A114" s="692" t="s">
        <v>357</v>
      </c>
      <c r="B114" s="700"/>
      <c r="C114" s="700"/>
      <c r="D114" s="700"/>
      <c r="E114" s="694" t="str">
        <f>E113</f>
        <v>dBmi</v>
      </c>
      <c r="F114" s="694"/>
      <c r="G114" s="695">
        <f>G112-G113</f>
        <v>1.1730752313193662</v>
      </c>
      <c r="H114" s="695">
        <f>H112-H113</f>
        <v>1.1730752313193662</v>
      </c>
      <c r="I114" s="696">
        <f>I112-I113</f>
        <v>1.1730752313193662</v>
      </c>
      <c r="J114" s="607"/>
      <c r="K114" s="607"/>
      <c r="L114" s="607"/>
      <c r="M114" s="607"/>
      <c r="N114" s="607"/>
      <c r="O114" s="607"/>
      <c r="P114" s="607"/>
      <c r="Q114" s="607"/>
      <c r="R114" s="607"/>
      <c r="S114" s="607"/>
      <c r="U114" s="680"/>
      <c r="W114" s="288"/>
      <c r="X114" s="684"/>
    </row>
    <row r="115" spans="5:24" s="681" customFormat="1" ht="13.5" thickBot="1">
      <c r="E115" s="607"/>
      <c r="F115" s="606"/>
      <c r="G115" s="606"/>
      <c r="H115" s="606"/>
      <c r="I115" s="606"/>
      <c r="J115" s="607"/>
      <c r="K115" s="607"/>
      <c r="L115" s="607"/>
      <c r="M115" s="607"/>
      <c r="N115" s="607"/>
      <c r="O115" s="607"/>
      <c r="P115" s="607"/>
      <c r="Q115" s="607"/>
      <c r="R115" s="607"/>
      <c r="S115" s="607"/>
      <c r="U115" s="680"/>
      <c r="W115" s="288"/>
      <c r="X115" s="684"/>
    </row>
    <row r="116" spans="2:24" s="681" customFormat="1" ht="12.75">
      <c r="B116" s="765" t="s">
        <v>433</v>
      </c>
      <c r="C116" s="766"/>
      <c r="D116" s="766"/>
      <c r="E116" s="766"/>
      <c r="F116" s="766"/>
      <c r="G116" s="766"/>
      <c r="H116" s="766"/>
      <c r="I116" s="766"/>
      <c r="J116" s="766"/>
      <c r="K116" s="767"/>
      <c r="L116" s="607"/>
      <c r="M116" s="607"/>
      <c r="N116" s="607"/>
      <c r="O116" s="607"/>
      <c r="P116" s="607"/>
      <c r="Q116" s="607"/>
      <c r="R116" s="607"/>
      <c r="S116" s="607"/>
      <c r="U116" s="680"/>
      <c r="W116" s="288"/>
      <c r="X116" s="684"/>
    </row>
    <row r="117" spans="2:24" s="681" customFormat="1" ht="12.75">
      <c r="B117" s="581"/>
      <c r="C117" s="288"/>
      <c r="D117" s="288"/>
      <c r="E117" s="768" t="s">
        <v>435</v>
      </c>
      <c r="F117" s="768"/>
      <c r="G117" s="768" t="s">
        <v>801</v>
      </c>
      <c r="H117" s="768"/>
      <c r="I117" s="768" t="s">
        <v>146</v>
      </c>
      <c r="J117" s="768"/>
      <c r="K117" s="582"/>
      <c r="L117" s="607"/>
      <c r="M117" s="607"/>
      <c r="N117" s="607"/>
      <c r="O117" s="607"/>
      <c r="P117" s="607"/>
      <c r="Q117" s="607"/>
      <c r="R117" s="607"/>
      <c r="S117" s="607"/>
      <c r="U117" s="680"/>
      <c r="W117" s="288"/>
      <c r="X117" s="684"/>
    </row>
    <row r="118" spans="2:24" s="681" customFormat="1" ht="12.75">
      <c r="B118" s="572"/>
      <c r="C118" s="573"/>
      <c r="D118" s="574" t="s">
        <v>4</v>
      </c>
      <c r="E118" s="677" t="s">
        <v>431</v>
      </c>
      <c r="F118" s="677" t="s">
        <v>432</v>
      </c>
      <c r="G118" s="677" t="s">
        <v>431</v>
      </c>
      <c r="H118" s="677" t="s">
        <v>432</v>
      </c>
      <c r="I118" s="677" t="s">
        <v>431</v>
      </c>
      <c r="J118" s="677" t="s">
        <v>432</v>
      </c>
      <c r="K118" s="583" t="s">
        <v>5</v>
      </c>
      <c r="L118" s="607"/>
      <c r="M118" s="607"/>
      <c r="N118" s="607"/>
      <c r="O118" s="607"/>
      <c r="P118" s="607"/>
      <c r="Q118" s="607"/>
      <c r="R118" s="607"/>
      <c r="S118" s="607"/>
      <c r="U118" s="680"/>
      <c r="W118" s="288"/>
      <c r="X118" s="684"/>
    </row>
    <row r="119" spans="2:24" s="681" customFormat="1" ht="12.75">
      <c r="B119" s="576" t="s">
        <v>855</v>
      </c>
      <c r="C119" s="569"/>
      <c r="D119" s="590"/>
      <c r="E119" s="701" t="s">
        <v>857</v>
      </c>
      <c r="F119" s="702" t="s">
        <v>857</v>
      </c>
      <c r="G119" s="702" t="s">
        <v>857</v>
      </c>
      <c r="H119" s="703" t="s">
        <v>857</v>
      </c>
      <c r="I119" s="704">
        <f>K29+L29</f>
        <v>2.29</v>
      </c>
      <c r="J119" s="642">
        <f>K29+M29</f>
        <v>4.05</v>
      </c>
      <c r="K119" s="583" t="s">
        <v>27</v>
      </c>
      <c r="L119" s="607"/>
      <c r="M119" s="607"/>
      <c r="N119" s="607"/>
      <c r="O119" s="607"/>
      <c r="P119" s="607"/>
      <c r="Q119" s="607"/>
      <c r="R119" s="607"/>
      <c r="S119" s="607"/>
      <c r="U119" s="680"/>
      <c r="W119" s="288"/>
      <c r="X119" s="684"/>
    </row>
    <row r="120" spans="2:24" s="681" customFormat="1" ht="12.75">
      <c r="B120" s="576" t="s">
        <v>858</v>
      </c>
      <c r="C120" s="569"/>
      <c r="D120" s="590"/>
      <c r="E120" s="705" t="s">
        <v>857</v>
      </c>
      <c r="F120" s="706" t="s">
        <v>857</v>
      </c>
      <c r="G120" s="706" t="s">
        <v>857</v>
      </c>
      <c r="H120" s="707" t="s">
        <v>857</v>
      </c>
      <c r="I120" s="708">
        <f>I29</f>
        <v>4.05</v>
      </c>
      <c r="J120" s="707" t="s">
        <v>857</v>
      </c>
      <c r="K120" s="584" t="s">
        <v>27</v>
      </c>
      <c r="L120" s="607"/>
      <c r="M120" s="607"/>
      <c r="N120" s="607"/>
      <c r="O120" s="607"/>
      <c r="P120" s="607"/>
      <c r="Q120" s="607"/>
      <c r="R120" s="607"/>
      <c r="S120" s="607"/>
      <c r="U120" s="680"/>
      <c r="W120" s="288"/>
      <c r="X120" s="684"/>
    </row>
    <row r="121" spans="2:24" s="681" customFormat="1" ht="12.75">
      <c r="B121" s="709" t="s">
        <v>856</v>
      </c>
      <c r="C121" s="710"/>
      <c r="D121" s="711"/>
      <c r="E121" s="712">
        <f>I121+G121</f>
        <v>2.29</v>
      </c>
      <c r="F121" s="713">
        <f>J121-H121</f>
        <v>4.05</v>
      </c>
      <c r="G121" s="713">
        <v>0</v>
      </c>
      <c r="H121" s="714">
        <v>0</v>
      </c>
      <c r="I121" s="713">
        <f>K29+L29</f>
        <v>2.29</v>
      </c>
      <c r="J121" s="714">
        <f>K29+M29</f>
        <v>4.05</v>
      </c>
      <c r="K121" s="631" t="s">
        <v>27</v>
      </c>
      <c r="L121" s="607"/>
      <c r="M121" s="607"/>
      <c r="N121" s="607"/>
      <c r="O121" s="607"/>
      <c r="P121" s="607"/>
      <c r="Q121" s="607"/>
      <c r="R121" s="607"/>
      <c r="S121" s="607"/>
      <c r="U121" s="680"/>
      <c r="W121" s="288"/>
      <c r="X121" s="684"/>
    </row>
    <row r="122" spans="2:24" s="681" customFormat="1" ht="12.75">
      <c r="B122" s="587" t="s">
        <v>852</v>
      </c>
      <c r="C122" s="588"/>
      <c r="D122" s="589"/>
      <c r="E122" s="701" t="s">
        <v>857</v>
      </c>
      <c r="F122" s="702" t="s">
        <v>857</v>
      </c>
      <c r="G122" s="702" t="s">
        <v>857</v>
      </c>
      <c r="H122" s="703" t="s">
        <v>857</v>
      </c>
      <c r="I122" s="704">
        <f>K45+M45</f>
        <v>33.07219989400719</v>
      </c>
      <c r="J122" s="642">
        <f>K45+L45</f>
        <v>38.21395056863154</v>
      </c>
      <c r="K122" s="583" t="s">
        <v>61</v>
      </c>
      <c r="L122" s="607"/>
      <c r="M122" s="607"/>
      <c r="N122" s="607"/>
      <c r="O122" s="607"/>
      <c r="P122" s="607"/>
      <c r="Q122" s="607"/>
      <c r="R122" s="607"/>
      <c r="S122" s="607"/>
      <c r="U122" s="680"/>
      <c r="W122" s="288"/>
      <c r="X122" s="684"/>
    </row>
    <row r="123" spans="2:24" s="681" customFormat="1" ht="12.75">
      <c r="B123" s="576" t="s">
        <v>853</v>
      </c>
      <c r="C123" s="569"/>
      <c r="D123" s="590"/>
      <c r="E123" s="705" t="s">
        <v>857</v>
      </c>
      <c r="F123" s="706" t="s">
        <v>857</v>
      </c>
      <c r="G123" s="706" t="s">
        <v>857</v>
      </c>
      <c r="H123" s="707" t="s">
        <v>857</v>
      </c>
      <c r="I123" s="715">
        <f>(I45)</f>
        <v>33.06307523131937</v>
      </c>
      <c r="J123" s="707" t="s">
        <v>857</v>
      </c>
      <c r="K123" s="584" t="s">
        <v>61</v>
      </c>
      <c r="L123" s="607"/>
      <c r="M123" s="607"/>
      <c r="N123" s="607"/>
      <c r="O123" s="607"/>
      <c r="P123" s="607"/>
      <c r="Q123" s="607"/>
      <c r="R123" s="607"/>
      <c r="S123" s="607"/>
      <c r="U123" s="680"/>
      <c r="W123" s="288"/>
      <c r="X123" s="684"/>
    </row>
    <row r="124" spans="2:24" s="681" customFormat="1" ht="12.75">
      <c r="B124" s="709" t="s">
        <v>854</v>
      </c>
      <c r="C124" s="710"/>
      <c r="D124" s="716"/>
      <c r="E124" s="712">
        <f>I124+G124</f>
        <v>33.39219989400719</v>
      </c>
      <c r="F124" s="713">
        <f>J124-H124</f>
        <v>37.89395056863154</v>
      </c>
      <c r="G124" s="713">
        <v>0.32</v>
      </c>
      <c r="H124" s="714">
        <v>0.32</v>
      </c>
      <c r="I124" s="713">
        <f>K45+M45</f>
        <v>33.07219989400719</v>
      </c>
      <c r="J124" s="714">
        <f>K45+L45</f>
        <v>38.21395056863154</v>
      </c>
      <c r="K124" s="631" t="s">
        <v>61</v>
      </c>
      <c r="L124" s="607"/>
      <c r="M124" s="607"/>
      <c r="N124" s="607"/>
      <c r="O124" s="607"/>
      <c r="P124" s="607"/>
      <c r="Q124" s="607"/>
      <c r="R124" s="607"/>
      <c r="S124" s="607"/>
      <c r="U124" s="680"/>
      <c r="W124" s="288"/>
      <c r="X124" s="684"/>
    </row>
    <row r="125" spans="2:24" s="681" customFormat="1" ht="13.5" thickBot="1">
      <c r="B125" s="643" t="s">
        <v>885</v>
      </c>
      <c r="C125" s="644"/>
      <c r="D125" s="644"/>
      <c r="E125" s="645">
        <f>I125+G125</f>
        <v>0</v>
      </c>
      <c r="F125" s="695">
        <f>J125-H125</f>
        <v>5.51</v>
      </c>
      <c r="G125" s="645">
        <v>0</v>
      </c>
      <c r="H125" s="695">
        <v>0.11</v>
      </c>
      <c r="I125" s="645">
        <v>0</v>
      </c>
      <c r="J125" s="695">
        <f>G98</f>
        <v>5.62</v>
      </c>
      <c r="K125" s="578" t="s">
        <v>27</v>
      </c>
      <c r="L125" s="607"/>
      <c r="M125" s="607"/>
      <c r="N125" s="607"/>
      <c r="O125" s="607"/>
      <c r="P125" s="607"/>
      <c r="Q125" s="607"/>
      <c r="R125" s="607"/>
      <c r="S125" s="607"/>
      <c r="U125" s="680"/>
      <c r="W125" s="288"/>
      <c r="X125" s="684"/>
    </row>
    <row r="126" spans="9:10" ht="12.75">
      <c r="I126" s="606"/>
      <c r="J126" s="607"/>
    </row>
  </sheetData>
  <mergeCells count="5">
    <mergeCell ref="A93:D93"/>
    <mergeCell ref="E117:F117"/>
    <mergeCell ref="G117:H117"/>
    <mergeCell ref="I117:J117"/>
    <mergeCell ref="B116:K116"/>
  </mergeCells>
  <printOptions gridLines="1" headings="1" horizontalCentered="1" verticalCentered="1"/>
  <pageMargins left="0.75" right="0.25" top="0.5" bottom="0.75" header="0.25" footer="0.25"/>
  <pageSetup fitToHeight="1" fitToWidth="1" horizontalDpi="600" verticalDpi="600" orientation="portrait" scale="40" r:id="rId1"/>
  <headerFooter alignWithMargins="0">
    <oddHeader>&amp;L&amp;F
PROGRAM: GOES N-Q&amp;CBOEING PROPRIETARY
&amp;A&amp;RSDA-3.2.08-01
Rev A Preliminary 1 DCN008
10 Dec. 2001</oddHeader>
    <oddFooter>&amp;L© 2001 The Boeing Company
      UNPUBLISHED WORK
      ALL RIGHTS RESERVED&amp;CReference 2
Section 8 Page &amp;P&amp;RBOEING PROPRIETARY
“Use or disclosure of this data is
subject to the restrictions on the
title page of this document.”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eds</dc:creator>
  <cp:keywords/>
  <dc:description/>
  <cp:lastModifiedBy> </cp:lastModifiedBy>
  <cp:lastPrinted>2002-02-24T01:36:44Z</cp:lastPrinted>
  <dcterms:created xsi:type="dcterms:W3CDTF">1998-06-29T17:26:45Z</dcterms:created>
  <dcterms:modified xsi:type="dcterms:W3CDTF">2003-04-07T15:12:40Z</dcterms:modified>
  <cp:category/>
  <cp:version/>
  <cp:contentType/>
  <cp:contentStatus/>
</cp:coreProperties>
</file>