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7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8.xml" ContentType="application/vnd.openxmlformats-officedocument.drawing+xml"/>
  <Override PartName="/xl/worksheets/sheet43.xml" ContentType="application/vnd.openxmlformats-officedocument.spreadsheetml.worksheet+xml"/>
  <Override PartName="/xl/drawings/drawing19.xml" ContentType="application/vnd.openxmlformats-officedocument.drawing+xml"/>
  <Override PartName="/xl/worksheets/sheet4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84" windowWidth="9252" windowHeight="5424" tabRatio="901" activeTab="5"/>
  </bookViews>
  <sheets>
    <sheet name="Table" sheetId="1" r:id="rId1"/>
    <sheet name="MACTepa" sheetId="2" r:id="rId2"/>
    <sheet name="Lig" sheetId="3" r:id="rId3"/>
    <sheet name="Sub" sheetId="4" r:id="rId4"/>
    <sheet name="Bit" sheetId="5" r:id="rId5"/>
    <sheet name="Waste" sheetId="6" r:id="rId6"/>
    <sheet name="IGCC" sheetId="7" r:id="rId7"/>
    <sheet name="Summary" sheetId="8" r:id="rId8"/>
    <sheet name="Mecklenburg" sheetId="9" r:id="rId9"/>
    <sheet name="Mecklenburg_graph" sheetId="10" r:id="rId10"/>
    <sheet name="DwayneCollier" sheetId="11" r:id="rId11"/>
    <sheet name="DwayneCollier_graph" sheetId="12" r:id="rId12"/>
    <sheet name="Valmont" sheetId="13" r:id="rId13"/>
    <sheet name="Valmont_graph" sheetId="14" r:id="rId14"/>
    <sheet name="Stockton" sheetId="15" r:id="rId15"/>
    <sheet name="Stockton_graph" sheetId="16" r:id="rId16"/>
    <sheet name="AESHawaii" sheetId="17" r:id="rId17"/>
    <sheet name="AESHawaii_graph" sheetId="18" r:id="rId18"/>
    <sheet name="ClayBoswell" sheetId="19" r:id="rId19"/>
    <sheet name="ClayBoswell_graph" sheetId="20" r:id="rId20"/>
    <sheet name="Craig" sheetId="21" r:id="rId21"/>
    <sheet name="Craig_graph" sheetId="22" r:id="rId22"/>
    <sheet name="Cholla" sheetId="23" r:id="rId23"/>
    <sheet name="Cholla_graph" sheetId="24" r:id="rId24"/>
    <sheet name="Heskett" sheetId="25" r:id="rId25"/>
    <sheet name="Heskett_graph" sheetId="26" r:id="rId26"/>
    <sheet name="Antelope" sheetId="27" r:id="rId27"/>
    <sheet name="Antelope_graph" sheetId="28" r:id="rId28"/>
    <sheet name="Leland" sheetId="29" r:id="rId29"/>
    <sheet name="Leland_graph" sheetId="30" r:id="rId30"/>
    <sheet name="Stanton10" sheetId="31" r:id="rId31"/>
    <sheet name="Stanton10_graph" sheetId="32" r:id="rId32"/>
    <sheet name="Stanton1" sheetId="33" r:id="rId33"/>
    <sheet name="Stanton1_graph" sheetId="34" r:id="rId34"/>
    <sheet name="Kline" sheetId="35" r:id="rId35"/>
    <sheet name="Kline_graph" sheetId="36" r:id="rId36"/>
    <sheet name="Scrubgrass" sheetId="37" r:id="rId37"/>
    <sheet name="Scrubgrass_graph" sheetId="38" r:id="rId38"/>
    <sheet name="Polk" sheetId="39" r:id="rId39"/>
    <sheet name="Polk_graph" sheetId="40" r:id="rId40"/>
    <sheet name="Wabash" sheetId="41" r:id="rId41"/>
    <sheet name="Wabash_graph" sheetId="42" r:id="rId42"/>
    <sheet name="SDAFF" sheetId="43" r:id="rId43"/>
    <sheet name="FBC" sheetId="44" r:id="rId44"/>
  </sheets>
  <definedNames>
    <definedName name="AES_freqindex">'AESHawaii'!$F$5:$G$46</definedName>
    <definedName name="AES_freqtab">'AESHawaii'!$E$5:$G$46</definedName>
    <definedName name="AES_index">'AESHawaii'!$F$5:$F$46</definedName>
    <definedName name="Antelope_freqindex">'Antelope'!$F$5:$G$91</definedName>
    <definedName name="Antelope_freqtab">'Antelope'!$E$5:$G$91</definedName>
    <definedName name="Antelope_index">'Antelope'!$F$5:$F$91</definedName>
    <definedName name="bypass">#REF!</definedName>
    <definedName name="Cholla_freqindex">'Cholla'!$F$5:$G$83</definedName>
    <definedName name="Cholla_freqtab">'Cholla'!$E$5:$G$83</definedName>
    <definedName name="Cholla_index">'Cholla'!$F$5:$F$83</definedName>
    <definedName name="Clay_freqindex">'ClayBoswell'!$F$5:$G$53</definedName>
    <definedName name="Clay_freqtab">'ClayBoswell'!$E$5:$G$53</definedName>
    <definedName name="Clay_index">'ClayBoswell'!$F$5:$F$53</definedName>
    <definedName name="Collier">'DwayneCollier'!$F$5:$F$58</definedName>
    <definedName name="Collier_freqindex">'DwayneCollier'!$F$5:$G$58</definedName>
    <definedName name="Collier_freqtab">'DwayneCollier'!$E$5:$G$58</definedName>
    <definedName name="collierfreqindex">'DwayneCollier'!$F$5:$G$58</definedName>
    <definedName name="collierfreqtab">'DwayneCollier'!$E$5:$G$58</definedName>
    <definedName name="Collierindex">'DwayneCollier'!$F$5:$F$58</definedName>
    <definedName name="Craig3_freqindex">'Craig'!$F$5:$G$86</definedName>
    <definedName name="Craig3_freqtab">'Craig'!$E$5:$G$86</definedName>
    <definedName name="Craig3_index">'Craig'!$F$5:$F$86</definedName>
    <definedName name="ffactor">#REF!</definedName>
    <definedName name="freqindex">'Mecklenburg'!$F$5:$G$43</definedName>
    <definedName name="freqtab">'Mecklenburg'!$E$5:$G$43</definedName>
    <definedName name="Heskett_freqindex">'Heskett'!$F$5:$G$40</definedName>
    <definedName name="Heskett_freqtab">'Heskett'!$E$5:$G$40</definedName>
    <definedName name="Heskett_index">'Heskett'!$F$5:$F$40</definedName>
    <definedName name="Index">'Mecklenburg'!$F$5:$F$43</definedName>
    <definedName name="Kline_freqindex">'Kline'!$F$5:$G$59</definedName>
    <definedName name="Kline_freqtab">'Kline'!$E$5:$G$59</definedName>
    <definedName name="Kline_index">'Kline'!$F$5:$F$59</definedName>
    <definedName name="Leland_freqindex">'Leland'!$F$5:$G$107</definedName>
    <definedName name="Leland_freqtab">'Leland'!$E$5:$G$107</definedName>
    <definedName name="Leland_index">'Leland'!$F$5:$F$107</definedName>
    <definedName name="method">#REF!</definedName>
    <definedName name="method2">#REF!</definedName>
    <definedName name="Polk_freqindex">'Polk'!$F$5:$G$28</definedName>
    <definedName name="Polk_freqtab">'Polk'!$E$5:$G$28</definedName>
    <definedName name="Polk_index">'Polk'!$F$5:$F$83</definedName>
    <definedName name="_xlnm.Print_Area" localSheetId="4">'Bit'!$A$1:$J$22</definedName>
    <definedName name="_xlnm.Print_Area" localSheetId="43">'FBC'!$P$2:$W$47</definedName>
    <definedName name="_xlnm.Print_Area" localSheetId="2">'Lig'!$A$1:$J$11</definedName>
    <definedName name="_xlnm.Print_Area" localSheetId="42">'SDAFF'!$R$1:$AA$59</definedName>
    <definedName name="_xlnm.Print_Area" localSheetId="3">'Sub'!$A$1:$J$10</definedName>
    <definedName name="_xlnm.Print_Area" localSheetId="7">'Summary'!$A$1:$J$53</definedName>
    <definedName name="Scrubgrass_freqindex">'Scrubgrass'!$F$5:$G$55</definedName>
    <definedName name="Scrubgrass_freqtab">'Scrubgrass'!$E$5:$G$55</definedName>
    <definedName name="Scrubgrass_index">'Scrubgrass'!$F$5:$F$55</definedName>
    <definedName name="Stanton1_freqindex">'Stanton1'!$F$5:$G$44</definedName>
    <definedName name="Stanton1_freqtab">'Stanton1'!$E$5:$G$44</definedName>
    <definedName name="Stanton1_index">'Stanton1'!$F$5:$F$44</definedName>
    <definedName name="Stanton10_freqindex">'Stanton10'!$F$5:$G$44</definedName>
    <definedName name="Stanton10_freqtab">'Stanton10'!$E$5:$G$44</definedName>
    <definedName name="Stanton10_index">'Stanton10'!$F$5:$F$44</definedName>
    <definedName name="Stockton_freqindex">'Stockton'!$F$5:$G$44</definedName>
    <definedName name="Stockton_freqtab">'Stockton'!$E$5:$G$44</definedName>
    <definedName name="Stockton_index">'Stockton'!$F$5:$F$44</definedName>
    <definedName name="Valmont_freqindex">'Valmont'!$F$5:$G$23</definedName>
    <definedName name="Valmont_freqtab">'Valmont'!$E$5:$G$23</definedName>
    <definedName name="Valmont_index">'Valmont'!$F$5:$F$23</definedName>
    <definedName name="Wabash_freqindex">'Wabash'!$F$5:$G$83</definedName>
    <definedName name="Wabash_freqtab">'Wabash'!$E$5:$G$83</definedName>
    <definedName name="Wabash_index">'Wabash'!$F$5:$F$83</definedName>
  </definedNames>
  <calcPr fullCalcOnLoad="1"/>
</workbook>
</file>

<file path=xl/sharedStrings.xml><?xml version="1.0" encoding="utf-8"?>
<sst xmlns="http://schemas.openxmlformats.org/spreadsheetml/2006/main" count="689" uniqueCount="155">
  <si>
    <t>Plant</t>
  </si>
  <si>
    <t>Unit</t>
  </si>
  <si>
    <t>Kline Township Cogen Facility</t>
  </si>
  <si>
    <t>GEN1</t>
  </si>
  <si>
    <t>Mecklenburg Cogeneration Facility</t>
  </si>
  <si>
    <t>GEN 1</t>
  </si>
  <si>
    <t>Dwayne Collier Battle Cogeneration Facility</t>
  </si>
  <si>
    <t>2B</t>
  </si>
  <si>
    <t>Valmont</t>
  </si>
  <si>
    <t>Mean</t>
  </si>
  <si>
    <t>Standard Deviation</t>
  </si>
  <si>
    <t>Particulate Control</t>
  </si>
  <si>
    <t>Measured Fraction Hg Removal</t>
  </si>
  <si>
    <t>Correlation Used? (Y/N)</t>
  </si>
  <si>
    <t>"Alpha"</t>
  </si>
  <si>
    <t>"Beta"</t>
  </si>
  <si>
    <t xml:space="preserve">BAGHOUSE  </t>
  </si>
  <si>
    <t xml:space="preserve">FBC </t>
  </si>
  <si>
    <t xml:space="preserve">SDA </t>
  </si>
  <si>
    <t xml:space="preserve">COMP COAL </t>
  </si>
  <si>
    <t>ESP- CS</t>
  </si>
  <si>
    <t>N</t>
  </si>
  <si>
    <t>Y</t>
  </si>
  <si>
    <t>Clay Boswell</t>
  </si>
  <si>
    <t>Craig</t>
  </si>
  <si>
    <t>C3</t>
  </si>
  <si>
    <t>Cholla</t>
  </si>
  <si>
    <t>ESP- HS</t>
  </si>
  <si>
    <t>NONE</t>
  </si>
  <si>
    <t>Antelope Valley Station</t>
  </si>
  <si>
    <t>B1</t>
  </si>
  <si>
    <t>Leland Olds Station</t>
  </si>
  <si>
    <t>Stanton Station</t>
  </si>
  <si>
    <t>Scenario</t>
  </si>
  <si>
    <t>Top 4 Bit.</t>
  </si>
  <si>
    <t>Top 4 Sub.</t>
  </si>
  <si>
    <t>Top 5 Lignite</t>
  </si>
  <si>
    <t>Top 4 Bituminous</t>
  </si>
  <si>
    <t>Top 4 Subbituminous</t>
  </si>
  <si>
    <t>Scrubgrass Generating</t>
  </si>
  <si>
    <t>Mecklenburg Cogeneration</t>
  </si>
  <si>
    <t>Dwayne Collier Battle Cogen</t>
  </si>
  <si>
    <t>AES Hawaii, Inc.</t>
  </si>
  <si>
    <t>A</t>
  </si>
  <si>
    <t>Top  5 Lignite</t>
  </si>
  <si>
    <t>R.M. Heskett Station</t>
  </si>
  <si>
    <t>B2</t>
  </si>
  <si>
    <t>Stockton</t>
  </si>
  <si>
    <t>FBC/SNCR</t>
  </si>
  <si>
    <t>SO2 Control</t>
  </si>
  <si>
    <t>Measured lb/TBtu</t>
  </si>
  <si>
    <t>Measured lb/Tbtu</t>
  </si>
  <si>
    <t>UCL97.5 of the Mean</t>
  </si>
  <si>
    <t>97.5th Percentile, lb/TBtu</t>
  </si>
  <si>
    <t>MACT Analysis for Top 4 Subbituminous Units - 97.5th Percentile Values</t>
  </si>
  <si>
    <t>MACT Analysis for Top 5 Lignite Units - 97.5th Percentile Values</t>
  </si>
  <si>
    <t>Measured lb Hg/Tbtu</t>
  </si>
  <si>
    <t>Scrubgrass Generating Company L. P.</t>
  </si>
  <si>
    <t>MACT Analysis for Top Waste Coal Units - 97.5th Percentile</t>
  </si>
  <si>
    <t>97.5th Percentile lb Hg/TBtu</t>
  </si>
  <si>
    <t>97.5th Percentile lb/TBtu</t>
  </si>
  <si>
    <t>MACT Floor (lb/TBtu)</t>
  </si>
  <si>
    <t>MACT Analysis for Top 4 Bituminous Units - 97.5th Percentile Values</t>
  </si>
  <si>
    <t>Mecklenburg 1</t>
  </si>
  <si>
    <t>ALPHA</t>
  </si>
  <si>
    <t>BETA</t>
  </si>
  <si>
    <t>H (lb/Btu)</t>
  </si>
  <si>
    <t>Hg(ppm)</t>
  </si>
  <si>
    <t>Cl(ppm)</t>
  </si>
  <si>
    <t>lb Hg/TBtu</t>
  </si>
  <si>
    <t>Cummulative Frequency</t>
  </si>
  <si>
    <t>Index</t>
  </si>
  <si>
    <t>Sorted lb Hg/TBtu</t>
  </si>
  <si>
    <t>Graph Title</t>
  </si>
  <si>
    <t>97.5th Percentile</t>
  </si>
  <si>
    <t>Dwayne Collier 2B</t>
  </si>
  <si>
    <t>Valmont 5</t>
  </si>
  <si>
    <t>Stockton Cogen 1</t>
  </si>
  <si>
    <t>AES Hawaii A</t>
  </si>
  <si>
    <t>Clay Boswell 2</t>
  </si>
  <si>
    <t>Craig C3</t>
  </si>
  <si>
    <t>Cholla 3</t>
  </si>
  <si>
    <t>Heskett B2</t>
  </si>
  <si>
    <t>Antelope B1</t>
  </si>
  <si>
    <t>Leland 2</t>
  </si>
  <si>
    <t>Stanton 10</t>
  </si>
  <si>
    <t>Stanton 1</t>
  </si>
  <si>
    <t>Kline 1</t>
  </si>
  <si>
    <t>Scrubgrass 1</t>
  </si>
  <si>
    <t>Fabric Filter (Baghouse) with Spray Dryer Absorber</t>
  </si>
  <si>
    <t>Cl (ppm)</t>
  </si>
  <si>
    <t>B</t>
  </si>
  <si>
    <t>Minimum Removal</t>
  </si>
  <si>
    <t>Residual Variance</t>
  </si>
  <si>
    <t>Total Variance</t>
  </si>
  <si>
    <t>Removal/Cl Curve</t>
  </si>
  <si>
    <t>R</t>
  </si>
  <si>
    <t>R**2</t>
  </si>
  <si>
    <t>A="ALPHA"</t>
  </si>
  <si>
    <t>EXP(-B)="BETA"</t>
  </si>
  <si>
    <t>Coyote</t>
  </si>
  <si>
    <t>Logan Generating Plant</t>
  </si>
  <si>
    <t>Rawhide</t>
  </si>
  <si>
    <t>SEI - Birchwood Power Facility</t>
  </si>
  <si>
    <t>Sherburne County Generating Plant</t>
  </si>
  <si>
    <t>#3</t>
  </si>
  <si>
    <t>Tested Coal</t>
  </si>
  <si>
    <t>Lignite</t>
  </si>
  <si>
    <t>Subbituminous</t>
  </si>
  <si>
    <t>Bituminous</t>
  </si>
  <si>
    <t>Residual/Total</t>
  </si>
  <si>
    <t>Fabric Filter (Baghouse) with Spray Dryer Absorber - Bituminous only</t>
  </si>
  <si>
    <t>Fabric Filter (Baghouse) with Spray Dryer Absorber - Bituminous only - Top 12% only</t>
  </si>
  <si>
    <r>
      <t>Cl (ppm) "X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"</t>
    </r>
  </si>
  <si>
    <r>
      <t>F</t>
    </r>
    <r>
      <rPr>
        <b/>
        <vertAlign val="subscript"/>
        <sz val="10"/>
        <rFont val="Arial"/>
        <family val="2"/>
      </rPr>
      <t>removed</t>
    </r>
    <r>
      <rPr>
        <b/>
        <sz val="10"/>
        <rFont val="Arial"/>
        <family val="2"/>
      </rPr>
      <t xml:space="preserve"> (Control) </t>
    </r>
  </si>
  <si>
    <r>
      <t>-LN(1-F</t>
    </r>
    <r>
      <rPr>
        <b/>
        <vertAlign val="subscript"/>
        <sz val="10"/>
        <rFont val="Arial"/>
        <family val="2"/>
      </rPr>
      <t>removed</t>
    </r>
    <r>
      <rPr>
        <b/>
        <sz val="10"/>
        <rFont val="Arial"/>
        <family val="2"/>
      </rPr>
      <t>) "Y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"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</si>
  <si>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 xml:space="preserve"> 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</si>
  <si>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</si>
  <si>
    <r>
      <t>Calculated F</t>
    </r>
    <r>
      <rPr>
        <b/>
        <vertAlign val="subscript"/>
        <sz val="10"/>
        <rFont val="Arial"/>
        <family val="2"/>
      </rPr>
      <t>removed</t>
    </r>
    <r>
      <rPr>
        <b/>
        <sz val="10"/>
        <rFont val="Arial"/>
        <family val="2"/>
      </rPr>
      <t xml:space="preserve"> from 2 Parameter Fit</t>
    </r>
  </si>
  <si>
    <r>
      <t>(Fr</t>
    </r>
    <r>
      <rPr>
        <b/>
        <vertAlign val="subscript"/>
        <sz val="10"/>
        <rFont val="Arial"/>
        <family val="2"/>
      </rPr>
      <t>Cal.</t>
    </r>
    <r>
      <rPr>
        <b/>
        <sz val="10"/>
        <rFont val="Arial"/>
        <family val="2"/>
      </rPr>
      <t>-Fr</t>
    </r>
    <r>
      <rPr>
        <b/>
        <vertAlign val="subscript"/>
        <sz val="10"/>
        <rFont val="Arial"/>
        <family val="2"/>
      </rPr>
      <t>Mea.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</si>
  <si>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F</t>
    </r>
    <r>
      <rPr>
        <b/>
        <vertAlign val="subscript"/>
        <sz val="10"/>
        <rFont val="Arial"/>
        <family val="2"/>
      </rPr>
      <t>remove</t>
    </r>
  </si>
  <si>
    <t>Fabric Filter (Baghouse) with Fluidized Bed Combustion</t>
  </si>
  <si>
    <t>Plant name</t>
  </si>
  <si>
    <t>Unit name</t>
  </si>
  <si>
    <t>Xbar</t>
  </si>
  <si>
    <t>TNP-One</t>
  </si>
  <si>
    <t>U2</t>
  </si>
  <si>
    <t>Ybar</t>
  </si>
  <si>
    <t>Waste Bituminous</t>
  </si>
  <si>
    <t>Stockton Cogen Company</t>
  </si>
  <si>
    <t>Bituminous/Petroleum Coke</t>
  </si>
  <si>
    <t>SUMxy</t>
  </si>
  <si>
    <t>"ALPHA"</t>
  </si>
  <si>
    <t>"BETA"</t>
  </si>
  <si>
    <r>
      <t>Cl in test coal (ppm) ="X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"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</si>
  <si>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</si>
  <si>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F</t>
    </r>
    <r>
      <rPr>
        <b/>
        <vertAlign val="subscript"/>
        <sz val="10"/>
        <rFont val="Arial"/>
        <family val="2"/>
      </rPr>
      <t>remove</t>
    </r>
    <r>
      <rPr>
        <b/>
        <sz val="10"/>
        <rFont val="Arial"/>
        <family val="2"/>
      </rPr>
      <t xml:space="preserve"> (Control)</t>
    </r>
  </si>
  <si>
    <r>
      <t>-LN(1-F</t>
    </r>
    <r>
      <rPr>
        <b/>
        <vertAlign val="subscript"/>
        <sz val="10"/>
        <rFont val="Arial"/>
        <family val="2"/>
      </rPr>
      <t>remove</t>
    </r>
    <r>
      <rPr>
        <b/>
        <sz val="10"/>
        <rFont val="Arial"/>
        <family val="2"/>
      </rPr>
      <t>) ="Y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"</t>
    </r>
  </si>
  <si>
    <r>
      <t>Calculated 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from 2 Parameter Fit</t>
    </r>
  </si>
  <si>
    <r>
      <t>(Fr</t>
    </r>
    <r>
      <rPr>
        <b/>
        <vertAlign val="subscript"/>
        <sz val="10"/>
        <rFont val="Arial"/>
        <family val="2"/>
      </rPr>
      <t>mea.</t>
    </r>
    <r>
      <rPr>
        <b/>
        <sz val="10"/>
        <rFont val="Arial"/>
        <family val="2"/>
      </rPr>
      <t>-Fr</t>
    </r>
    <r>
      <rPr>
        <b/>
        <vertAlign val="subscript"/>
        <sz val="10"/>
        <rFont val="Arial"/>
        <family val="2"/>
      </rPr>
      <t>calc.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</si>
  <si>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SUMx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</si>
  <si>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</si>
  <si>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Polk 1</t>
  </si>
  <si>
    <t>Wabash 1+1a</t>
  </si>
  <si>
    <t>MACT Analysis for Top IGCC Units - 97.5th Percentile</t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</si>
  <si>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Control</t>
    </r>
  </si>
  <si>
    <t>Wabash River Generating Station</t>
  </si>
  <si>
    <t>1 + 1A</t>
  </si>
  <si>
    <t xml:space="preserve">COAL GAS  </t>
  </si>
  <si>
    <t>Polk Power</t>
  </si>
  <si>
    <t>Top IGCC</t>
  </si>
  <si>
    <t>Top Waste</t>
  </si>
  <si>
    <t>Particulate control</t>
  </si>
  <si>
    <t>Measured fraction Hg removal</t>
  </si>
  <si>
    <t>Correlation used? (Y/N)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</si>
</sst>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0.0000"/>
    <numFmt numFmtId="167" formatCode="0.000000"/>
    <numFmt numFmtId="168" formatCode="0.0000000"/>
    <numFmt numFmtId="169" formatCode="0.00000000"/>
    <numFmt numFmtId="170" formatCode="0.000000000"/>
    <numFmt numFmtId="171" formatCode="0.0%"/>
    <numFmt numFmtId="172" formatCode="#,##0.0000"/>
    <numFmt numFmtId="173" formatCode="#,##0.000"/>
    <numFmt numFmtId="174" formatCode="0.00000"/>
    <numFmt numFmtId="175" formatCode="0.000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4.5"/>
      <name val="Arial"/>
      <family val="0"/>
    </font>
    <font>
      <b/>
      <sz val="11.75"/>
      <name val="Arial"/>
      <family val="2"/>
    </font>
    <font>
      <b/>
      <vertAlign val="subscript"/>
      <sz val="11.75"/>
      <name val="Arial"/>
      <family val="2"/>
    </font>
    <font>
      <b/>
      <vertAlign val="superscript"/>
      <sz val="11.75"/>
      <name val="Arial"/>
      <family val="2"/>
    </font>
    <font>
      <sz val="17.75"/>
      <name val="Arial"/>
      <family val="0"/>
    </font>
    <font>
      <sz val="11.5"/>
      <name val="Arial"/>
      <family val="2"/>
    </font>
    <font>
      <b/>
      <sz val="16.25"/>
      <name val="Arial"/>
      <family val="2"/>
    </font>
    <font>
      <b/>
      <sz val="10.75"/>
      <name val="Arial"/>
      <family val="2"/>
    </font>
    <font>
      <b/>
      <vertAlign val="subscript"/>
      <sz val="10.75"/>
      <name val="Arial"/>
      <family val="2"/>
    </font>
    <font>
      <sz val="18"/>
      <name val="Arial"/>
      <family val="0"/>
    </font>
    <font>
      <sz val="12"/>
      <name val="Arial"/>
      <family val="2"/>
    </font>
    <font>
      <b/>
      <vertAlign val="superscript"/>
      <sz val="10.75"/>
      <name val="Arial"/>
      <family val="2"/>
    </font>
    <font>
      <sz val="16.5"/>
      <name val="Arial"/>
      <family val="0"/>
    </font>
    <font>
      <sz val="10.75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vertAlign val="superscript"/>
      <sz val="10"/>
      <name val="Arial"/>
      <family val="2"/>
    </font>
    <font>
      <b/>
      <sz val="10.25"/>
      <name val="Arial"/>
      <family val="2"/>
    </font>
    <font>
      <b/>
      <vertAlign val="subscript"/>
      <sz val="10.25"/>
      <name val="Arial"/>
      <family val="2"/>
    </font>
    <font>
      <b/>
      <vertAlign val="superscript"/>
      <sz val="10.25"/>
      <name val="Arial"/>
      <family val="2"/>
    </font>
    <font>
      <sz val="10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4" borderId="7" xfId="0" applyFill="1" applyBorder="1" applyAlignment="1">
      <alignment/>
    </xf>
    <xf numFmtId="164" fontId="2" fillId="4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Hg MACT Floor Levels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MACTepa!$A$4:$A$6</c:f>
              <c:strCache/>
            </c:strRef>
          </c:cat>
          <c:val>
            <c:numRef>
              <c:f>MACTepa!$B$4:$B$6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627283"/>
        <c:axId val="15427820"/>
      </c:barChart>
      <c:catAx>
        <c:axId val="1662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427820"/>
        <c:crosses val="autoZero"/>
        <c:auto val="1"/>
        <c:lblOffset val="100"/>
        <c:noMultiLvlLbl val="0"/>
      </c:catAx>
      <c:valAx>
        <c:axId val="15427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6627283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Heskett B2: 97.5th Percentile = 7.7985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Heskett!$G$5:$G$40</c:f>
              <c:numCache>
                <c:ptCount val="36"/>
                <c:pt idx="0">
                  <c:v>1.6175752644426362</c:v>
                </c:pt>
                <c:pt idx="1">
                  <c:v>2.2886066697121974</c:v>
                </c:pt>
                <c:pt idx="2">
                  <c:v>2.8081130025353134</c:v>
                </c:pt>
                <c:pt idx="3">
                  <c:v>2.8107060288102437</c:v>
                </c:pt>
                <c:pt idx="4">
                  <c:v>2.8512718744362258</c:v>
                </c:pt>
                <c:pt idx="5">
                  <c:v>3.1023497757847536</c:v>
                </c:pt>
                <c:pt idx="6">
                  <c:v>3.250586605080832</c:v>
                </c:pt>
                <c:pt idx="7">
                  <c:v>3.408608680121451</c:v>
                </c:pt>
                <c:pt idx="8">
                  <c:v>3.4288575667655787</c:v>
                </c:pt>
                <c:pt idx="9">
                  <c:v>3.7669700910273085</c:v>
                </c:pt>
                <c:pt idx="10">
                  <c:v>3.8275693753954623</c:v>
                </c:pt>
                <c:pt idx="11">
                  <c:v>3.8667987393066188</c:v>
                </c:pt>
                <c:pt idx="12">
                  <c:v>4.109747030555807</c:v>
                </c:pt>
                <c:pt idx="13">
                  <c:v>4.2848675348001795</c:v>
                </c:pt>
                <c:pt idx="14">
                  <c:v>4.518996933068736</c:v>
                </c:pt>
                <c:pt idx="15">
                  <c:v>4.546399706098457</c:v>
                </c:pt>
                <c:pt idx="16">
                  <c:v>4.733760259763687</c:v>
                </c:pt>
                <c:pt idx="17">
                  <c:v>4.742418426103647</c:v>
                </c:pt>
                <c:pt idx="18">
                  <c:v>4.822936960117626</c:v>
                </c:pt>
                <c:pt idx="19">
                  <c:v>4.854101508916324</c:v>
                </c:pt>
                <c:pt idx="20">
                  <c:v>4.864159492523789</c:v>
                </c:pt>
                <c:pt idx="21">
                  <c:v>5.030400870669327</c:v>
                </c:pt>
                <c:pt idx="22">
                  <c:v>5.097435897435898</c:v>
                </c:pt>
                <c:pt idx="23">
                  <c:v>5.242262274704786</c:v>
                </c:pt>
                <c:pt idx="24">
                  <c:v>5.30903805976928</c:v>
                </c:pt>
                <c:pt idx="25">
                  <c:v>5.3924050632911396</c:v>
                </c:pt>
                <c:pt idx="26">
                  <c:v>5.549695964621338</c:v>
                </c:pt>
                <c:pt idx="27">
                  <c:v>5.586504183339397</c:v>
                </c:pt>
                <c:pt idx="28">
                  <c:v>5.780326086956522</c:v>
                </c:pt>
                <c:pt idx="29">
                  <c:v>6.013844476744187</c:v>
                </c:pt>
                <c:pt idx="30">
                  <c:v>6.4022209883398125</c:v>
                </c:pt>
                <c:pt idx="31">
                  <c:v>6.4918362220547605</c:v>
                </c:pt>
                <c:pt idx="32">
                  <c:v>6.74111583325798</c:v>
                </c:pt>
                <c:pt idx="33">
                  <c:v>7.400307943121095</c:v>
                </c:pt>
                <c:pt idx="34">
                  <c:v>7.690279531109108</c:v>
                </c:pt>
                <c:pt idx="35">
                  <c:v>8.772151898734178</c:v>
                </c:pt>
              </c:numCache>
            </c:numRef>
          </c:xVal>
          <c:yVal>
            <c:numRef>
              <c:f>Heskett!$E$5:$E$40</c:f>
              <c:numCache>
                <c:ptCount val="36"/>
                <c:pt idx="0">
                  <c:v>0.027777777777777776</c:v>
                </c:pt>
                <c:pt idx="1">
                  <c:v>0.05555555555555555</c:v>
                </c:pt>
                <c:pt idx="2">
                  <c:v>0.08333333333333333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0.19444444444444445</c:v>
                </c:pt>
                <c:pt idx="7">
                  <c:v>0.2222222222222222</c:v>
                </c:pt>
                <c:pt idx="8">
                  <c:v>0.25</c:v>
                </c:pt>
                <c:pt idx="9">
                  <c:v>0.2777777777777778</c:v>
                </c:pt>
                <c:pt idx="10">
                  <c:v>0.3055555555555556</c:v>
                </c:pt>
                <c:pt idx="11">
                  <c:v>0.3333333333333333</c:v>
                </c:pt>
                <c:pt idx="12">
                  <c:v>0.3611111111111111</c:v>
                </c:pt>
                <c:pt idx="13">
                  <c:v>0.3888888888888889</c:v>
                </c:pt>
                <c:pt idx="14">
                  <c:v>0.4166666666666667</c:v>
                </c:pt>
                <c:pt idx="15">
                  <c:v>0.4444444444444444</c:v>
                </c:pt>
                <c:pt idx="16">
                  <c:v>0.4722222222222222</c:v>
                </c:pt>
                <c:pt idx="17">
                  <c:v>0.5</c:v>
                </c:pt>
                <c:pt idx="18">
                  <c:v>0.5277777777777778</c:v>
                </c:pt>
                <c:pt idx="19">
                  <c:v>0.5555555555555556</c:v>
                </c:pt>
                <c:pt idx="20">
                  <c:v>0.5833333333333334</c:v>
                </c:pt>
                <c:pt idx="21">
                  <c:v>0.6111111111111112</c:v>
                </c:pt>
                <c:pt idx="22">
                  <c:v>0.6388888888888888</c:v>
                </c:pt>
                <c:pt idx="23">
                  <c:v>0.6666666666666666</c:v>
                </c:pt>
                <c:pt idx="24">
                  <c:v>0.6944444444444444</c:v>
                </c:pt>
                <c:pt idx="25">
                  <c:v>0.7222222222222222</c:v>
                </c:pt>
                <c:pt idx="26">
                  <c:v>0.75</c:v>
                </c:pt>
                <c:pt idx="27">
                  <c:v>0.7777777777777778</c:v>
                </c:pt>
                <c:pt idx="28">
                  <c:v>0.8055555555555556</c:v>
                </c:pt>
                <c:pt idx="29">
                  <c:v>0.8333333333333334</c:v>
                </c:pt>
                <c:pt idx="30">
                  <c:v>0.8611111111111112</c:v>
                </c:pt>
                <c:pt idx="31">
                  <c:v>0.8888888888888888</c:v>
                </c:pt>
                <c:pt idx="32">
                  <c:v>0.9166666666666666</c:v>
                </c:pt>
                <c:pt idx="33">
                  <c:v>0.9444444444444444</c:v>
                </c:pt>
                <c:pt idx="34">
                  <c:v>0.9722222222222222</c:v>
                </c:pt>
                <c:pt idx="35">
                  <c:v>1</c:v>
                </c:pt>
              </c:numCache>
            </c:numRef>
          </c:yVal>
          <c:smooth val="0"/>
        </c:ser>
        <c:axId val="26952861"/>
        <c:axId val="41249158"/>
      </c:scatterChart>
      <c:valAx>
        <c:axId val="2695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49158"/>
        <c:crosses val="autoZero"/>
        <c:crossBetween val="midCat"/>
        <c:dispUnits/>
      </c:valAx>
      <c:valAx>
        <c:axId val="412491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5286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Antelope B1: 97.5th Percentile = 7.0870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Antelope!$G$5:$G$91</c:f>
              <c:numCache>
                <c:ptCount val="87"/>
                <c:pt idx="0">
                  <c:v>1.3330050375232971</c:v>
                </c:pt>
                <c:pt idx="1">
                  <c:v>1.4637519604609275</c:v>
                </c:pt>
                <c:pt idx="2">
                  <c:v>1.5326165854009204</c:v>
                </c:pt>
                <c:pt idx="3">
                  <c:v>1.5468986339114914</c:v>
                </c:pt>
                <c:pt idx="4">
                  <c:v>1.5755102897108624</c:v>
                </c:pt>
                <c:pt idx="5">
                  <c:v>1.5987345471419399</c:v>
                </c:pt>
                <c:pt idx="6">
                  <c:v>1.610685710589905</c:v>
                </c:pt>
                <c:pt idx="7">
                  <c:v>1.622052145048384</c:v>
                </c:pt>
                <c:pt idx="8">
                  <c:v>1.6293783880822443</c:v>
                </c:pt>
                <c:pt idx="9">
                  <c:v>1.6642488612665327</c:v>
                </c:pt>
                <c:pt idx="10">
                  <c:v>3.0338797954950163</c:v>
                </c:pt>
                <c:pt idx="11">
                  <c:v>3.069452065298697</c:v>
                </c:pt>
                <c:pt idx="12">
                  <c:v>3.07439636244794</c:v>
                </c:pt>
                <c:pt idx="13">
                  <c:v>3.085357400572514</c:v>
                </c:pt>
                <c:pt idx="14">
                  <c:v>3.103826875462177</c:v>
                </c:pt>
                <c:pt idx="15">
                  <c:v>3.1272168356678307</c:v>
                </c:pt>
                <c:pt idx="16">
                  <c:v>3.1280838640870336</c:v>
                </c:pt>
                <c:pt idx="17">
                  <c:v>3.2245459465442257</c:v>
                </c:pt>
                <c:pt idx="18">
                  <c:v>3.2345015043119263</c:v>
                </c:pt>
                <c:pt idx="19">
                  <c:v>3.3478508070798205</c:v>
                </c:pt>
                <c:pt idx="20">
                  <c:v>3.3869482231668897</c:v>
                </c:pt>
                <c:pt idx="21">
                  <c:v>3.391931491051689</c:v>
                </c:pt>
                <c:pt idx="22">
                  <c:v>3.4170018880873045</c:v>
                </c:pt>
                <c:pt idx="23">
                  <c:v>3.427986884012711</c:v>
                </c:pt>
                <c:pt idx="24">
                  <c:v>3.4364500648736387</c:v>
                </c:pt>
                <c:pt idx="25">
                  <c:v>3.4410537188930705</c:v>
                </c:pt>
                <c:pt idx="26">
                  <c:v>3.483139563903512</c:v>
                </c:pt>
                <c:pt idx="27">
                  <c:v>3.500534895161381</c:v>
                </c:pt>
                <c:pt idx="28">
                  <c:v>3.57167395533268</c:v>
                </c:pt>
                <c:pt idx="29">
                  <c:v>3.5992437657097907</c:v>
                </c:pt>
                <c:pt idx="30">
                  <c:v>3.606616473502207</c:v>
                </c:pt>
                <c:pt idx="31">
                  <c:v>3.6118843089178023</c:v>
                </c:pt>
                <c:pt idx="32">
                  <c:v>3.616557118033422</c:v>
                </c:pt>
                <c:pt idx="33">
                  <c:v>3.6538913574762564</c:v>
                </c:pt>
                <c:pt idx="34">
                  <c:v>3.692491209933943</c:v>
                </c:pt>
                <c:pt idx="35">
                  <c:v>3.709866127327589</c:v>
                </c:pt>
                <c:pt idx="36">
                  <c:v>3.7315184551799807</c:v>
                </c:pt>
                <c:pt idx="37">
                  <c:v>3.734029004220824</c:v>
                </c:pt>
                <c:pt idx="38">
                  <c:v>3.7755546097575556</c:v>
                </c:pt>
                <c:pt idx="39">
                  <c:v>3.784248637557993</c:v>
                </c:pt>
                <c:pt idx="40">
                  <c:v>3.793181148591775</c:v>
                </c:pt>
                <c:pt idx="41">
                  <c:v>3.7937714831953953</c:v>
                </c:pt>
                <c:pt idx="42">
                  <c:v>3.8242089633825564</c:v>
                </c:pt>
                <c:pt idx="43">
                  <c:v>3.8354742058329037</c:v>
                </c:pt>
                <c:pt idx="44">
                  <c:v>3.8576605940574744</c:v>
                </c:pt>
                <c:pt idx="45">
                  <c:v>3.9295096286344973</c:v>
                </c:pt>
                <c:pt idx="46">
                  <c:v>3.9449235612428994</c:v>
                </c:pt>
                <c:pt idx="47">
                  <c:v>3.949052752768739</c:v>
                </c:pt>
                <c:pt idx="48">
                  <c:v>4.003587585644168</c:v>
                </c:pt>
                <c:pt idx="49">
                  <c:v>4.010612300546294</c:v>
                </c:pt>
                <c:pt idx="50">
                  <c:v>4.011239190169731</c:v>
                </c:pt>
                <c:pt idx="51">
                  <c:v>4.024337457864468</c:v>
                </c:pt>
                <c:pt idx="52">
                  <c:v>4.062089309255803</c:v>
                </c:pt>
                <c:pt idx="53">
                  <c:v>4.086633655554019</c:v>
                </c:pt>
                <c:pt idx="54">
                  <c:v>4.088500643511886</c:v>
                </c:pt>
                <c:pt idx="55">
                  <c:v>4.1183412516913736</c:v>
                </c:pt>
                <c:pt idx="56">
                  <c:v>4.1324787297075085</c:v>
                </c:pt>
                <c:pt idx="57">
                  <c:v>4.198653189622533</c:v>
                </c:pt>
                <c:pt idx="58">
                  <c:v>4.2130700914100725</c:v>
                </c:pt>
                <c:pt idx="59">
                  <c:v>4.258016197697699</c:v>
                </c:pt>
                <c:pt idx="60">
                  <c:v>4.320028470219793</c:v>
                </c:pt>
                <c:pt idx="61">
                  <c:v>4.327618899754422</c:v>
                </c:pt>
                <c:pt idx="62">
                  <c:v>4.337945358090733</c:v>
                </c:pt>
                <c:pt idx="63">
                  <c:v>4.387754273967916</c:v>
                </c:pt>
                <c:pt idx="64">
                  <c:v>4.4065141735355216</c:v>
                </c:pt>
                <c:pt idx="65">
                  <c:v>4.524672833488195</c:v>
                </c:pt>
                <c:pt idx="66">
                  <c:v>4.575974600292127</c:v>
                </c:pt>
                <c:pt idx="67">
                  <c:v>4.691291603494426</c:v>
                </c:pt>
                <c:pt idx="68">
                  <c:v>4.703057869632735</c:v>
                </c:pt>
                <c:pt idx="69">
                  <c:v>4.940168733181895</c:v>
                </c:pt>
                <c:pt idx="70">
                  <c:v>4.968767658905983</c:v>
                </c:pt>
                <c:pt idx="71">
                  <c:v>4.99034170140925</c:v>
                </c:pt>
                <c:pt idx="72">
                  <c:v>5.037531177530861</c:v>
                </c:pt>
                <c:pt idx="73">
                  <c:v>5.357447456390324</c:v>
                </c:pt>
                <c:pt idx="74">
                  <c:v>5.397288208350355</c:v>
                </c:pt>
                <c:pt idx="75">
                  <c:v>5.5246019096488785</c:v>
                </c:pt>
                <c:pt idx="76">
                  <c:v>5.5911297956891755</c:v>
                </c:pt>
                <c:pt idx="77">
                  <c:v>5.6192102395463595</c:v>
                </c:pt>
                <c:pt idx="78">
                  <c:v>5.776398097571173</c:v>
                </c:pt>
                <c:pt idx="79">
                  <c:v>6.1758861694474545</c:v>
                </c:pt>
                <c:pt idx="80">
                  <c:v>6.469245305254353</c:v>
                </c:pt>
                <c:pt idx="81">
                  <c:v>6.54275459443576</c:v>
                </c:pt>
                <c:pt idx="82">
                  <c:v>6.660804803631111</c:v>
                </c:pt>
                <c:pt idx="83">
                  <c:v>6.917765783858763</c:v>
                </c:pt>
                <c:pt idx="84">
                  <c:v>7.122906792775381</c:v>
                </c:pt>
                <c:pt idx="85">
                  <c:v>7.640279557237527</c:v>
                </c:pt>
                <c:pt idx="86">
                  <c:v>16.462782637878682</c:v>
                </c:pt>
              </c:numCache>
            </c:numRef>
          </c:xVal>
          <c:yVal>
            <c:numRef>
              <c:f>Antelope!$E$5:$E$91</c:f>
              <c:numCache>
                <c:ptCount val="87"/>
                <c:pt idx="0">
                  <c:v>0.011494252873563218</c:v>
                </c:pt>
                <c:pt idx="1">
                  <c:v>0.022988505747126436</c:v>
                </c:pt>
                <c:pt idx="2">
                  <c:v>0.034482758620689655</c:v>
                </c:pt>
                <c:pt idx="3">
                  <c:v>0.04597701149425287</c:v>
                </c:pt>
                <c:pt idx="4">
                  <c:v>0.05747126436781609</c:v>
                </c:pt>
                <c:pt idx="5">
                  <c:v>0.06896551724137931</c:v>
                </c:pt>
                <c:pt idx="6">
                  <c:v>0.08045977011494253</c:v>
                </c:pt>
                <c:pt idx="7">
                  <c:v>0.09195402298850575</c:v>
                </c:pt>
                <c:pt idx="8">
                  <c:v>0.10344827586206896</c:v>
                </c:pt>
                <c:pt idx="9">
                  <c:v>0.11494252873563218</c:v>
                </c:pt>
                <c:pt idx="10">
                  <c:v>0.12643678160919541</c:v>
                </c:pt>
                <c:pt idx="11">
                  <c:v>0.13793103448275862</c:v>
                </c:pt>
                <c:pt idx="12">
                  <c:v>0.14942528735632185</c:v>
                </c:pt>
                <c:pt idx="13">
                  <c:v>0.16091954022988506</c:v>
                </c:pt>
                <c:pt idx="14">
                  <c:v>0.1724137931034483</c:v>
                </c:pt>
                <c:pt idx="15">
                  <c:v>0.1839080459770115</c:v>
                </c:pt>
                <c:pt idx="16">
                  <c:v>0.19540229885057472</c:v>
                </c:pt>
                <c:pt idx="17">
                  <c:v>0.20689655172413793</c:v>
                </c:pt>
                <c:pt idx="18">
                  <c:v>0.21839080459770116</c:v>
                </c:pt>
                <c:pt idx="19">
                  <c:v>0.22988505747126436</c:v>
                </c:pt>
                <c:pt idx="20">
                  <c:v>0.2413793103448276</c:v>
                </c:pt>
                <c:pt idx="21">
                  <c:v>0.25287356321839083</c:v>
                </c:pt>
                <c:pt idx="22">
                  <c:v>0.26436781609195403</c:v>
                </c:pt>
                <c:pt idx="23">
                  <c:v>0.27586206896551724</c:v>
                </c:pt>
                <c:pt idx="24">
                  <c:v>0.28735632183908044</c:v>
                </c:pt>
                <c:pt idx="25">
                  <c:v>0.2988505747126437</c:v>
                </c:pt>
                <c:pt idx="26">
                  <c:v>0.3103448275862069</c:v>
                </c:pt>
                <c:pt idx="27">
                  <c:v>0.3218390804597701</c:v>
                </c:pt>
                <c:pt idx="28">
                  <c:v>0.3333333333333333</c:v>
                </c:pt>
                <c:pt idx="29">
                  <c:v>0.3448275862068966</c:v>
                </c:pt>
                <c:pt idx="30">
                  <c:v>0.3563218390804598</c:v>
                </c:pt>
                <c:pt idx="31">
                  <c:v>0.367816091954023</c:v>
                </c:pt>
                <c:pt idx="32">
                  <c:v>0.3793103448275862</c:v>
                </c:pt>
                <c:pt idx="33">
                  <c:v>0.39080459770114945</c:v>
                </c:pt>
                <c:pt idx="34">
                  <c:v>0.40229885057471265</c:v>
                </c:pt>
                <c:pt idx="35">
                  <c:v>0.41379310344827586</c:v>
                </c:pt>
                <c:pt idx="36">
                  <c:v>0.42528735632183906</c:v>
                </c:pt>
                <c:pt idx="37">
                  <c:v>0.4367816091954023</c:v>
                </c:pt>
                <c:pt idx="38">
                  <c:v>0.4482758620689655</c:v>
                </c:pt>
                <c:pt idx="39">
                  <c:v>0.45977011494252873</c:v>
                </c:pt>
                <c:pt idx="40">
                  <c:v>0.47126436781609193</c:v>
                </c:pt>
                <c:pt idx="41">
                  <c:v>0.4827586206896552</c:v>
                </c:pt>
                <c:pt idx="42">
                  <c:v>0.4942528735632184</c:v>
                </c:pt>
                <c:pt idx="43">
                  <c:v>0.5057471264367817</c:v>
                </c:pt>
                <c:pt idx="44">
                  <c:v>0.5172413793103449</c:v>
                </c:pt>
                <c:pt idx="45">
                  <c:v>0.5287356321839081</c:v>
                </c:pt>
                <c:pt idx="46">
                  <c:v>0.5402298850574713</c:v>
                </c:pt>
                <c:pt idx="47">
                  <c:v>0.5517241379310345</c:v>
                </c:pt>
                <c:pt idx="48">
                  <c:v>0.5632183908045977</c:v>
                </c:pt>
                <c:pt idx="49">
                  <c:v>0.5747126436781609</c:v>
                </c:pt>
                <c:pt idx="50">
                  <c:v>0.5862068965517241</c:v>
                </c:pt>
                <c:pt idx="51">
                  <c:v>0.5977011494252874</c:v>
                </c:pt>
                <c:pt idx="52">
                  <c:v>0.6091954022988506</c:v>
                </c:pt>
                <c:pt idx="53">
                  <c:v>0.6206896551724138</c:v>
                </c:pt>
                <c:pt idx="54">
                  <c:v>0.632183908045977</c:v>
                </c:pt>
                <c:pt idx="55">
                  <c:v>0.6436781609195402</c:v>
                </c:pt>
                <c:pt idx="56">
                  <c:v>0.6551724137931034</c:v>
                </c:pt>
                <c:pt idx="57">
                  <c:v>0.6666666666666666</c:v>
                </c:pt>
                <c:pt idx="58">
                  <c:v>0.6781609195402298</c:v>
                </c:pt>
                <c:pt idx="59">
                  <c:v>0.6896551724137931</c:v>
                </c:pt>
                <c:pt idx="60">
                  <c:v>0.7011494252873564</c:v>
                </c:pt>
                <c:pt idx="61">
                  <c:v>0.7126436781609196</c:v>
                </c:pt>
                <c:pt idx="62">
                  <c:v>0.7241379310344828</c:v>
                </c:pt>
                <c:pt idx="63">
                  <c:v>0.735632183908046</c:v>
                </c:pt>
                <c:pt idx="64">
                  <c:v>0.7471264367816092</c:v>
                </c:pt>
                <c:pt idx="65">
                  <c:v>0.7586206896551724</c:v>
                </c:pt>
                <c:pt idx="66">
                  <c:v>0.7701149425287356</c:v>
                </c:pt>
                <c:pt idx="67">
                  <c:v>0.7816091954022989</c:v>
                </c:pt>
                <c:pt idx="68">
                  <c:v>0.7931034482758621</c:v>
                </c:pt>
                <c:pt idx="69">
                  <c:v>0.8045977011494253</c:v>
                </c:pt>
                <c:pt idx="70">
                  <c:v>0.8160919540229885</c:v>
                </c:pt>
                <c:pt idx="71">
                  <c:v>0.8275862068965517</c:v>
                </c:pt>
                <c:pt idx="72">
                  <c:v>0.8390804597701149</c:v>
                </c:pt>
                <c:pt idx="73">
                  <c:v>0.8505747126436781</c:v>
                </c:pt>
                <c:pt idx="74">
                  <c:v>0.8620689655172413</c:v>
                </c:pt>
                <c:pt idx="75">
                  <c:v>0.8735632183908046</c:v>
                </c:pt>
                <c:pt idx="76">
                  <c:v>0.8850574712643678</c:v>
                </c:pt>
                <c:pt idx="77">
                  <c:v>0.896551724137931</c:v>
                </c:pt>
                <c:pt idx="78">
                  <c:v>0.9080459770114943</c:v>
                </c:pt>
                <c:pt idx="79">
                  <c:v>0.9195402298850575</c:v>
                </c:pt>
                <c:pt idx="80">
                  <c:v>0.9310344827586207</c:v>
                </c:pt>
                <c:pt idx="81">
                  <c:v>0.9425287356321839</c:v>
                </c:pt>
                <c:pt idx="82">
                  <c:v>0.9540229885057471</c:v>
                </c:pt>
                <c:pt idx="83">
                  <c:v>0.9655172413793104</c:v>
                </c:pt>
                <c:pt idx="84">
                  <c:v>0.9770114942528736</c:v>
                </c:pt>
                <c:pt idx="85">
                  <c:v>0.9885057471264368</c:v>
                </c:pt>
                <c:pt idx="86">
                  <c:v>1</c:v>
                </c:pt>
              </c:numCache>
            </c:numRef>
          </c:yVal>
          <c:smooth val="0"/>
        </c:ser>
        <c:axId val="35698103"/>
        <c:axId val="52847472"/>
      </c:scatterChart>
      <c:valAx>
        <c:axId val="35698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47472"/>
        <c:crosses val="autoZero"/>
        <c:crossBetween val="midCat"/>
        <c:dispUnits/>
      </c:valAx>
      <c:valAx>
        <c:axId val="528474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9810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Leland 2: 97.5th Percentile = 9.5323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Leland!$G$5:$G$107</c:f>
              <c:numCache>
                <c:ptCount val="103"/>
                <c:pt idx="0">
                  <c:v>2.195983379501385</c:v>
                </c:pt>
                <c:pt idx="1">
                  <c:v>2.2082172701949863</c:v>
                </c:pt>
                <c:pt idx="2">
                  <c:v>2.2628449096098953</c:v>
                </c:pt>
                <c:pt idx="3">
                  <c:v>2.2671591992373687</c:v>
                </c:pt>
                <c:pt idx="4">
                  <c:v>2.2671591992373687</c:v>
                </c:pt>
                <c:pt idx="5">
                  <c:v>4.3478062157221204</c:v>
                </c:pt>
                <c:pt idx="6">
                  <c:v>4.432898415657037</c:v>
                </c:pt>
                <c:pt idx="7">
                  <c:v>4.5</c:v>
                </c:pt>
                <c:pt idx="8">
                  <c:v>4.564779270633397</c:v>
                </c:pt>
                <c:pt idx="9">
                  <c:v>4.738948339483395</c:v>
                </c:pt>
                <c:pt idx="10">
                  <c:v>4.8054443405051455</c:v>
                </c:pt>
                <c:pt idx="11">
                  <c:v>4.814451733833177</c:v>
                </c:pt>
                <c:pt idx="12">
                  <c:v>4.818968105065666</c:v>
                </c:pt>
                <c:pt idx="13">
                  <c:v>4.8554064272211725</c:v>
                </c:pt>
                <c:pt idx="14">
                  <c:v>4.899016853932585</c:v>
                </c:pt>
                <c:pt idx="15">
                  <c:v>4.910972404730618</c:v>
                </c:pt>
                <c:pt idx="16">
                  <c:v>4.920517241379311</c:v>
                </c:pt>
                <c:pt idx="17">
                  <c:v>4.95</c:v>
                </c:pt>
                <c:pt idx="18">
                  <c:v>5.016105457909343</c:v>
                </c:pt>
                <c:pt idx="19">
                  <c:v>5.016105457909343</c:v>
                </c:pt>
                <c:pt idx="20">
                  <c:v>5.016442953020134</c:v>
                </c:pt>
                <c:pt idx="21">
                  <c:v>5.079757281553398</c:v>
                </c:pt>
                <c:pt idx="22">
                  <c:v>5.1135681186283595</c:v>
                </c:pt>
                <c:pt idx="23">
                  <c:v>5.161403180542563</c:v>
                </c:pt>
                <c:pt idx="24">
                  <c:v>5.222140896614822</c:v>
                </c:pt>
                <c:pt idx="25">
                  <c:v>5.23651376146789</c:v>
                </c:pt>
                <c:pt idx="26">
                  <c:v>5.264828244274809</c:v>
                </c:pt>
                <c:pt idx="27">
                  <c:v>5.304646840148699</c:v>
                </c:pt>
                <c:pt idx="28">
                  <c:v>5.413180970149254</c:v>
                </c:pt>
                <c:pt idx="29">
                  <c:v>5.45678776290631</c:v>
                </c:pt>
                <c:pt idx="30">
                  <c:v>5.461166666666666</c:v>
                </c:pt>
                <c:pt idx="31">
                  <c:v>5.485757437070938</c:v>
                </c:pt>
                <c:pt idx="32">
                  <c:v>5.514782608695652</c:v>
                </c:pt>
                <c:pt idx="33">
                  <c:v>5.587014076629067</c:v>
                </c:pt>
                <c:pt idx="34">
                  <c:v>5.616860356138707</c:v>
                </c:pt>
                <c:pt idx="35">
                  <c:v>5.637996237064911</c:v>
                </c:pt>
                <c:pt idx="36">
                  <c:v>5.699032258064516</c:v>
                </c:pt>
                <c:pt idx="37">
                  <c:v>5.723409298085689</c:v>
                </c:pt>
                <c:pt idx="38">
                  <c:v>5.746107382550336</c:v>
                </c:pt>
                <c:pt idx="39">
                  <c:v>5.781381215469613</c:v>
                </c:pt>
                <c:pt idx="40">
                  <c:v>5.800609756097561</c:v>
                </c:pt>
                <c:pt idx="41">
                  <c:v>5.90103694102398</c:v>
                </c:pt>
                <c:pt idx="42">
                  <c:v>5.940083876980429</c:v>
                </c:pt>
                <c:pt idx="43">
                  <c:v>5.994836343115125</c:v>
                </c:pt>
                <c:pt idx="44">
                  <c:v>6.0063509749303625</c:v>
                </c:pt>
                <c:pt idx="45">
                  <c:v>6.027520661157024</c:v>
                </c:pt>
                <c:pt idx="46">
                  <c:v>6.042906641000963</c:v>
                </c:pt>
                <c:pt idx="47">
                  <c:v>6.081369863013698</c:v>
                </c:pt>
                <c:pt idx="48">
                  <c:v>6.11739981360671</c:v>
                </c:pt>
                <c:pt idx="49">
                  <c:v>6.13142578125</c:v>
                </c:pt>
                <c:pt idx="50">
                  <c:v>6.1316018957345975</c:v>
                </c:pt>
                <c:pt idx="51">
                  <c:v>6.330277264325324</c:v>
                </c:pt>
                <c:pt idx="52">
                  <c:v>6.3420000000000005</c:v>
                </c:pt>
                <c:pt idx="53">
                  <c:v>6.412271468144045</c:v>
                </c:pt>
                <c:pt idx="54">
                  <c:v>6.444875954198474</c:v>
                </c:pt>
                <c:pt idx="55">
                  <c:v>6.459990697674419</c:v>
                </c:pt>
                <c:pt idx="56">
                  <c:v>6.484117647058825</c:v>
                </c:pt>
                <c:pt idx="57">
                  <c:v>6.502331460674158</c:v>
                </c:pt>
                <c:pt idx="58">
                  <c:v>6.545230914231857</c:v>
                </c:pt>
                <c:pt idx="59">
                  <c:v>6.579596541786744</c:v>
                </c:pt>
                <c:pt idx="60">
                  <c:v>6.788783165599269</c:v>
                </c:pt>
                <c:pt idx="61">
                  <c:v>6.8013091922005575</c:v>
                </c:pt>
                <c:pt idx="62">
                  <c:v>6.815497737556561</c:v>
                </c:pt>
                <c:pt idx="63">
                  <c:v>6.820641509433963</c:v>
                </c:pt>
                <c:pt idx="64">
                  <c:v>6.857800369685768</c:v>
                </c:pt>
                <c:pt idx="65">
                  <c:v>6.863260273972602</c:v>
                </c:pt>
                <c:pt idx="66">
                  <c:v>6.876867469879519</c:v>
                </c:pt>
                <c:pt idx="67">
                  <c:v>6.962937262357415</c:v>
                </c:pt>
                <c:pt idx="68">
                  <c:v>7.046666666666667</c:v>
                </c:pt>
                <c:pt idx="69">
                  <c:v>7.083195098963242</c:v>
                </c:pt>
                <c:pt idx="70">
                  <c:v>7.194705882352942</c:v>
                </c:pt>
                <c:pt idx="71">
                  <c:v>7.317692307692308</c:v>
                </c:pt>
                <c:pt idx="72">
                  <c:v>7.3861459307764274</c:v>
                </c:pt>
                <c:pt idx="73">
                  <c:v>7.386988636363637</c:v>
                </c:pt>
                <c:pt idx="74">
                  <c:v>7.475135640785781</c:v>
                </c:pt>
                <c:pt idx="75">
                  <c:v>7.491923076923078</c:v>
                </c:pt>
                <c:pt idx="76">
                  <c:v>7.599917355371901</c:v>
                </c:pt>
                <c:pt idx="77">
                  <c:v>7.646813397129186</c:v>
                </c:pt>
                <c:pt idx="78">
                  <c:v>7.667460168697282</c:v>
                </c:pt>
                <c:pt idx="79">
                  <c:v>7.80048067860509</c:v>
                </c:pt>
                <c:pt idx="80">
                  <c:v>7.80783962264151</c:v>
                </c:pt>
                <c:pt idx="81">
                  <c:v>7.912682242990654</c:v>
                </c:pt>
                <c:pt idx="82">
                  <c:v>8.023012048192772</c:v>
                </c:pt>
                <c:pt idx="83">
                  <c:v>8.025184834123223</c:v>
                </c:pt>
                <c:pt idx="84">
                  <c:v>8.06036312849162</c:v>
                </c:pt>
                <c:pt idx="85">
                  <c:v>8.0634</c:v>
                </c:pt>
                <c:pt idx="86">
                  <c:v>8.071086749285033</c:v>
                </c:pt>
                <c:pt idx="87">
                  <c:v>8.09234404536862</c:v>
                </c:pt>
                <c:pt idx="88">
                  <c:v>8.210093808630395</c:v>
                </c:pt>
                <c:pt idx="89">
                  <c:v>8.291555763823807</c:v>
                </c:pt>
                <c:pt idx="90">
                  <c:v>8.311452991452992</c:v>
                </c:pt>
                <c:pt idx="91">
                  <c:v>8.321685082872929</c:v>
                </c:pt>
                <c:pt idx="92">
                  <c:v>8.429240506329114</c:v>
                </c:pt>
                <c:pt idx="93">
                  <c:v>8.446121495327104</c:v>
                </c:pt>
                <c:pt idx="94">
                  <c:v>8.607845149253732</c:v>
                </c:pt>
                <c:pt idx="95">
                  <c:v>8.672565789473685</c:v>
                </c:pt>
                <c:pt idx="96">
                  <c:v>8.680724365004703</c:v>
                </c:pt>
                <c:pt idx="97">
                  <c:v>8.816496756255793</c:v>
                </c:pt>
                <c:pt idx="98">
                  <c:v>9.029597315436241</c:v>
                </c:pt>
                <c:pt idx="99">
                  <c:v>9.27877840909091</c:v>
                </c:pt>
                <c:pt idx="100">
                  <c:v>9.875399999999999</c:v>
                </c:pt>
                <c:pt idx="101">
                  <c:v>10.04643925233645</c:v>
                </c:pt>
                <c:pt idx="102">
                  <c:v>11.6874</c:v>
                </c:pt>
              </c:numCache>
            </c:numRef>
          </c:xVal>
          <c:yVal>
            <c:numRef>
              <c:f>Leland!$E$5:$E$107</c:f>
              <c:numCache>
                <c:ptCount val="103"/>
                <c:pt idx="0">
                  <c:v>0.009708737864077669</c:v>
                </c:pt>
                <c:pt idx="1">
                  <c:v>0.019417475728155338</c:v>
                </c:pt>
                <c:pt idx="2">
                  <c:v>0.02912621359223301</c:v>
                </c:pt>
                <c:pt idx="3">
                  <c:v>0.038834951456310676</c:v>
                </c:pt>
                <c:pt idx="4">
                  <c:v>0.04854368932038835</c:v>
                </c:pt>
                <c:pt idx="5">
                  <c:v>0.05825242718446602</c:v>
                </c:pt>
                <c:pt idx="6">
                  <c:v>0.06796116504854369</c:v>
                </c:pt>
                <c:pt idx="7">
                  <c:v>0.07766990291262135</c:v>
                </c:pt>
                <c:pt idx="8">
                  <c:v>0.08737864077669903</c:v>
                </c:pt>
                <c:pt idx="9">
                  <c:v>0.0970873786407767</c:v>
                </c:pt>
                <c:pt idx="10">
                  <c:v>0.10679611650485436</c:v>
                </c:pt>
                <c:pt idx="11">
                  <c:v>0.11650485436893204</c:v>
                </c:pt>
                <c:pt idx="12">
                  <c:v>0.1262135922330097</c:v>
                </c:pt>
                <c:pt idx="13">
                  <c:v>0.13592233009708737</c:v>
                </c:pt>
                <c:pt idx="14">
                  <c:v>0.14563106796116504</c:v>
                </c:pt>
                <c:pt idx="15">
                  <c:v>0.1553398058252427</c:v>
                </c:pt>
                <c:pt idx="16">
                  <c:v>0.1650485436893204</c:v>
                </c:pt>
                <c:pt idx="17">
                  <c:v>0.17475728155339806</c:v>
                </c:pt>
                <c:pt idx="18">
                  <c:v>0.18446601941747573</c:v>
                </c:pt>
                <c:pt idx="19">
                  <c:v>0.1941747572815534</c:v>
                </c:pt>
                <c:pt idx="20">
                  <c:v>0.20388349514563106</c:v>
                </c:pt>
                <c:pt idx="21">
                  <c:v>0.21359223300970873</c:v>
                </c:pt>
                <c:pt idx="22">
                  <c:v>0.22330097087378642</c:v>
                </c:pt>
                <c:pt idx="23">
                  <c:v>0.23300970873786409</c:v>
                </c:pt>
                <c:pt idx="24">
                  <c:v>0.24271844660194175</c:v>
                </c:pt>
                <c:pt idx="25">
                  <c:v>0.2524271844660194</c:v>
                </c:pt>
                <c:pt idx="26">
                  <c:v>0.2621359223300971</c:v>
                </c:pt>
                <c:pt idx="27">
                  <c:v>0.27184466019417475</c:v>
                </c:pt>
                <c:pt idx="28">
                  <c:v>0.2815533980582524</c:v>
                </c:pt>
                <c:pt idx="29">
                  <c:v>0.2912621359223301</c:v>
                </c:pt>
                <c:pt idx="30">
                  <c:v>0.30097087378640774</c:v>
                </c:pt>
                <c:pt idx="31">
                  <c:v>0.3106796116504854</c:v>
                </c:pt>
                <c:pt idx="32">
                  <c:v>0.32038834951456313</c:v>
                </c:pt>
                <c:pt idx="33">
                  <c:v>0.3300970873786408</c:v>
                </c:pt>
                <c:pt idx="34">
                  <c:v>0.33980582524271846</c:v>
                </c:pt>
                <c:pt idx="35">
                  <c:v>0.34951456310679613</c:v>
                </c:pt>
                <c:pt idx="36">
                  <c:v>0.3592233009708738</c:v>
                </c:pt>
                <c:pt idx="37">
                  <c:v>0.36893203883495146</c:v>
                </c:pt>
                <c:pt idx="38">
                  <c:v>0.3786407766990291</c:v>
                </c:pt>
                <c:pt idx="39">
                  <c:v>0.3883495145631068</c:v>
                </c:pt>
                <c:pt idx="40">
                  <c:v>0.39805825242718446</c:v>
                </c:pt>
                <c:pt idx="41">
                  <c:v>0.4077669902912621</c:v>
                </c:pt>
                <c:pt idx="42">
                  <c:v>0.4174757281553398</c:v>
                </c:pt>
                <c:pt idx="43">
                  <c:v>0.42718446601941745</c:v>
                </c:pt>
                <c:pt idx="44">
                  <c:v>0.4368932038834951</c:v>
                </c:pt>
                <c:pt idx="45">
                  <c:v>0.44660194174757284</c:v>
                </c:pt>
                <c:pt idx="46">
                  <c:v>0.4563106796116505</c:v>
                </c:pt>
                <c:pt idx="47">
                  <c:v>0.46601941747572817</c:v>
                </c:pt>
                <c:pt idx="48">
                  <c:v>0.47572815533980584</c:v>
                </c:pt>
                <c:pt idx="49">
                  <c:v>0.4854368932038835</c:v>
                </c:pt>
                <c:pt idx="50">
                  <c:v>0.49514563106796117</c:v>
                </c:pt>
                <c:pt idx="51">
                  <c:v>0.5048543689320388</c:v>
                </c:pt>
                <c:pt idx="52">
                  <c:v>0.5145631067961165</c:v>
                </c:pt>
                <c:pt idx="53">
                  <c:v>0.5242718446601942</c:v>
                </c:pt>
                <c:pt idx="54">
                  <c:v>0.5339805825242718</c:v>
                </c:pt>
                <c:pt idx="55">
                  <c:v>0.5436893203883495</c:v>
                </c:pt>
                <c:pt idx="56">
                  <c:v>0.5533980582524272</c:v>
                </c:pt>
                <c:pt idx="57">
                  <c:v>0.5631067961165048</c:v>
                </c:pt>
                <c:pt idx="58">
                  <c:v>0.5728155339805825</c:v>
                </c:pt>
                <c:pt idx="59">
                  <c:v>0.5825242718446602</c:v>
                </c:pt>
                <c:pt idx="60">
                  <c:v>0.5922330097087378</c:v>
                </c:pt>
                <c:pt idx="61">
                  <c:v>0.6019417475728155</c:v>
                </c:pt>
                <c:pt idx="62">
                  <c:v>0.6116504854368932</c:v>
                </c:pt>
                <c:pt idx="63">
                  <c:v>0.6213592233009708</c:v>
                </c:pt>
                <c:pt idx="64">
                  <c:v>0.6310679611650486</c:v>
                </c:pt>
                <c:pt idx="65">
                  <c:v>0.6407766990291263</c:v>
                </c:pt>
                <c:pt idx="66">
                  <c:v>0.6504854368932039</c:v>
                </c:pt>
                <c:pt idx="67">
                  <c:v>0.6601941747572816</c:v>
                </c:pt>
                <c:pt idx="68">
                  <c:v>0.6699029126213593</c:v>
                </c:pt>
                <c:pt idx="69">
                  <c:v>0.6796116504854369</c:v>
                </c:pt>
                <c:pt idx="70">
                  <c:v>0.6893203883495146</c:v>
                </c:pt>
                <c:pt idx="71">
                  <c:v>0.6990291262135923</c:v>
                </c:pt>
                <c:pt idx="72">
                  <c:v>0.7087378640776699</c:v>
                </c:pt>
                <c:pt idx="73">
                  <c:v>0.7184466019417476</c:v>
                </c:pt>
                <c:pt idx="74">
                  <c:v>0.7281553398058253</c:v>
                </c:pt>
                <c:pt idx="75">
                  <c:v>0.7378640776699029</c:v>
                </c:pt>
                <c:pt idx="76">
                  <c:v>0.7475728155339806</c:v>
                </c:pt>
                <c:pt idx="77">
                  <c:v>0.7572815533980582</c:v>
                </c:pt>
                <c:pt idx="78">
                  <c:v>0.7669902912621359</c:v>
                </c:pt>
                <c:pt idx="79">
                  <c:v>0.7766990291262136</c:v>
                </c:pt>
                <c:pt idx="80">
                  <c:v>0.7864077669902912</c:v>
                </c:pt>
                <c:pt idx="81">
                  <c:v>0.7961165048543689</c:v>
                </c:pt>
                <c:pt idx="82">
                  <c:v>0.8058252427184466</c:v>
                </c:pt>
                <c:pt idx="83">
                  <c:v>0.8155339805825242</c:v>
                </c:pt>
                <c:pt idx="84">
                  <c:v>0.8252427184466019</c:v>
                </c:pt>
                <c:pt idx="85">
                  <c:v>0.8349514563106796</c:v>
                </c:pt>
                <c:pt idx="86">
                  <c:v>0.8446601941747572</c:v>
                </c:pt>
                <c:pt idx="87">
                  <c:v>0.8543689320388349</c:v>
                </c:pt>
                <c:pt idx="88">
                  <c:v>0.8640776699029126</c:v>
                </c:pt>
                <c:pt idx="89">
                  <c:v>0.8737864077669902</c:v>
                </c:pt>
                <c:pt idx="90">
                  <c:v>0.883495145631068</c:v>
                </c:pt>
                <c:pt idx="91">
                  <c:v>0.8932038834951457</c:v>
                </c:pt>
                <c:pt idx="92">
                  <c:v>0.9029126213592233</c:v>
                </c:pt>
                <c:pt idx="93">
                  <c:v>0.912621359223301</c:v>
                </c:pt>
                <c:pt idx="94">
                  <c:v>0.9223300970873787</c:v>
                </c:pt>
                <c:pt idx="95">
                  <c:v>0.9320388349514563</c:v>
                </c:pt>
                <c:pt idx="96">
                  <c:v>0.941747572815534</c:v>
                </c:pt>
                <c:pt idx="97">
                  <c:v>0.9514563106796117</c:v>
                </c:pt>
                <c:pt idx="98">
                  <c:v>0.9611650485436893</c:v>
                </c:pt>
                <c:pt idx="99">
                  <c:v>0.970873786407767</c:v>
                </c:pt>
                <c:pt idx="100">
                  <c:v>0.9805825242718447</c:v>
                </c:pt>
                <c:pt idx="101">
                  <c:v>0.9902912621359223</c:v>
                </c:pt>
                <c:pt idx="102">
                  <c:v>1</c:v>
                </c:pt>
              </c:numCache>
            </c:numRef>
          </c:yVal>
          <c:smooth val="0"/>
        </c:ser>
        <c:axId val="5865201"/>
        <c:axId val="52786810"/>
      </c:scatterChart>
      <c:valAx>
        <c:axId val="586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86810"/>
        <c:crosses val="autoZero"/>
        <c:crossBetween val="midCat"/>
        <c:dispUnits/>
      </c:valAx>
      <c:valAx>
        <c:axId val="527868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520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Stanton 10: 97.5th Percentile = 8.0289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Stanton10!$G$5:$G$44</c:f>
              <c:numCache>
                <c:ptCount val="40"/>
                <c:pt idx="0">
                  <c:v>2.7855793972995357</c:v>
                </c:pt>
                <c:pt idx="1">
                  <c:v>2.951148003682102</c:v>
                </c:pt>
                <c:pt idx="2">
                  <c:v>3.0999660288059654</c:v>
                </c:pt>
                <c:pt idx="3">
                  <c:v>3.12543177520488</c:v>
                </c:pt>
                <c:pt idx="4">
                  <c:v>3.22797067993621</c:v>
                </c:pt>
                <c:pt idx="5">
                  <c:v>3.3150133175142384</c:v>
                </c:pt>
                <c:pt idx="6">
                  <c:v>3.875310863027486</c:v>
                </c:pt>
                <c:pt idx="7">
                  <c:v>4.02657873217407</c:v>
                </c:pt>
                <c:pt idx="8">
                  <c:v>4.028391080026969</c:v>
                </c:pt>
                <c:pt idx="9">
                  <c:v>4.094987147739384</c:v>
                </c:pt>
                <c:pt idx="10">
                  <c:v>4.129775162126841</c:v>
                </c:pt>
                <c:pt idx="11">
                  <c:v>4.168441420181704</c:v>
                </c:pt>
                <c:pt idx="12">
                  <c:v>4.4366880610472075</c:v>
                </c:pt>
                <c:pt idx="13">
                  <c:v>4.476455081030205</c:v>
                </c:pt>
                <c:pt idx="14">
                  <c:v>4.5280321788985844</c:v>
                </c:pt>
                <c:pt idx="15">
                  <c:v>4.557452524962385</c:v>
                </c:pt>
                <c:pt idx="16">
                  <c:v>4.58297167499533</c:v>
                </c:pt>
                <c:pt idx="17">
                  <c:v>4.6687305323272685</c:v>
                </c:pt>
                <c:pt idx="18">
                  <c:v>4.906569167338084</c:v>
                </c:pt>
                <c:pt idx="19">
                  <c:v>5.144718635210997</c:v>
                </c:pt>
                <c:pt idx="20">
                  <c:v>5.185284515598058</c:v>
                </c:pt>
                <c:pt idx="21">
                  <c:v>5.517398572318049</c:v>
                </c:pt>
                <c:pt idx="22">
                  <c:v>5.546711281741027</c:v>
                </c:pt>
                <c:pt idx="23">
                  <c:v>6.095774359435499</c:v>
                </c:pt>
                <c:pt idx="24">
                  <c:v>6.528191494012122</c:v>
                </c:pt>
                <c:pt idx="25">
                  <c:v>6.703878806780342</c:v>
                </c:pt>
                <c:pt idx="26">
                  <c:v>6.703878806780342</c:v>
                </c:pt>
                <c:pt idx="27">
                  <c:v>6.712009365787214</c:v>
                </c:pt>
                <c:pt idx="28">
                  <c:v>7.018739305789772</c:v>
                </c:pt>
                <c:pt idx="29">
                  <c:v>7.095221770467067</c:v>
                </c:pt>
                <c:pt idx="30">
                  <c:v>7.10179627672902</c:v>
                </c:pt>
                <c:pt idx="31">
                  <c:v>7.138178881174502</c:v>
                </c:pt>
                <c:pt idx="32">
                  <c:v>7.2768951892579485</c:v>
                </c:pt>
                <c:pt idx="33">
                  <c:v>7.330764416010991</c:v>
                </c:pt>
                <c:pt idx="34">
                  <c:v>7.4631725032335705</c:v>
                </c:pt>
                <c:pt idx="35">
                  <c:v>7.5076535499729</c:v>
                </c:pt>
                <c:pt idx="36">
                  <c:v>7.822592863234062</c:v>
                </c:pt>
                <c:pt idx="37">
                  <c:v>7.894975985103895</c:v>
                </c:pt>
                <c:pt idx="38">
                  <c:v>8.028944760342023</c:v>
                </c:pt>
                <c:pt idx="39">
                  <c:v>8.315724687147332</c:v>
                </c:pt>
              </c:numCache>
            </c:numRef>
          </c:xVal>
          <c:yVal>
            <c:numRef>
              <c:f>Stanton10!$E$5:$E$44</c:f>
              <c:numCache>
                <c:ptCount val="40"/>
                <c:pt idx="0">
                  <c:v>0.025</c:v>
                </c:pt>
                <c:pt idx="1">
                  <c:v>0.05</c:v>
                </c:pt>
                <c:pt idx="2">
                  <c:v>0.075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</c:v>
                </c:pt>
                <c:pt idx="7">
                  <c:v>0.2</c:v>
                </c:pt>
                <c:pt idx="8">
                  <c:v>0.225</c:v>
                </c:pt>
                <c:pt idx="9">
                  <c:v>0.25</c:v>
                </c:pt>
                <c:pt idx="10">
                  <c:v>0.275</c:v>
                </c:pt>
                <c:pt idx="11">
                  <c:v>0.3</c:v>
                </c:pt>
                <c:pt idx="12">
                  <c:v>0.325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0.425</c:v>
                </c:pt>
                <c:pt idx="17">
                  <c:v>0.45</c:v>
                </c:pt>
                <c:pt idx="18">
                  <c:v>0.475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</c:v>
                </c:pt>
                <c:pt idx="28">
                  <c:v>0.725</c:v>
                </c:pt>
                <c:pt idx="29">
                  <c:v>0.75</c:v>
                </c:pt>
                <c:pt idx="30">
                  <c:v>0.775</c:v>
                </c:pt>
                <c:pt idx="31">
                  <c:v>0.8</c:v>
                </c:pt>
                <c:pt idx="32">
                  <c:v>0.825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</c:v>
                </c:pt>
                <c:pt idx="37">
                  <c:v>0.95</c:v>
                </c:pt>
                <c:pt idx="38">
                  <c:v>0.975</c:v>
                </c:pt>
                <c:pt idx="39">
                  <c:v>1</c:v>
                </c:pt>
              </c:numCache>
            </c:numRef>
          </c:yVal>
          <c:smooth val="0"/>
        </c:ser>
        <c:axId val="5319243"/>
        <c:axId val="47873188"/>
      </c:scatterChart>
      <c:valAx>
        <c:axId val="531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73188"/>
        <c:crosses val="autoZero"/>
        <c:crossBetween val="midCat"/>
        <c:dispUnits/>
      </c:valAx>
      <c:valAx>
        <c:axId val="478731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24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Stanton 1: 97.5th Percentile = 6.3056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Stanton1!$G$5:$G$44</c:f>
              <c:numCache>
                <c:ptCount val="40"/>
                <c:pt idx="0">
                  <c:v>2.6224202626641646</c:v>
                </c:pt>
                <c:pt idx="1">
                  <c:v>2.6524744186046507</c:v>
                </c:pt>
                <c:pt idx="2">
                  <c:v>2.6773802816901404</c:v>
                </c:pt>
                <c:pt idx="3">
                  <c:v>2.774160305343511</c:v>
                </c:pt>
                <c:pt idx="4">
                  <c:v>2.8269101123595504</c:v>
                </c:pt>
                <c:pt idx="5">
                  <c:v>2.8955273069679848</c:v>
                </c:pt>
                <c:pt idx="6">
                  <c:v>3.291849126034958</c:v>
                </c:pt>
                <c:pt idx="7">
                  <c:v>3.4381740775780503</c:v>
                </c:pt>
                <c:pt idx="8">
                  <c:v>3.5239604891815612</c:v>
                </c:pt>
                <c:pt idx="9">
                  <c:v>3.533933962264151</c:v>
                </c:pt>
                <c:pt idx="10">
                  <c:v>3.555566820276497</c:v>
                </c:pt>
                <c:pt idx="11">
                  <c:v>3.7692134831460673</c:v>
                </c:pt>
                <c:pt idx="12">
                  <c:v>3.803755824790307</c:v>
                </c:pt>
                <c:pt idx="13">
                  <c:v>3.876970802919707</c:v>
                </c:pt>
                <c:pt idx="14">
                  <c:v>3.9142289498580882</c:v>
                </c:pt>
                <c:pt idx="15">
                  <c:v>4.0271936389148735</c:v>
                </c:pt>
                <c:pt idx="16">
                  <c:v>4.052192660550459</c:v>
                </c:pt>
                <c:pt idx="17">
                  <c:v>4.147170329670329</c:v>
                </c:pt>
                <c:pt idx="18">
                  <c:v>4.167836363636363</c:v>
                </c:pt>
                <c:pt idx="19">
                  <c:v>4.320551977920883</c:v>
                </c:pt>
                <c:pt idx="20">
                  <c:v>4.371987120515179</c:v>
                </c:pt>
                <c:pt idx="21">
                  <c:v>4.728447955390334</c:v>
                </c:pt>
                <c:pt idx="22">
                  <c:v>4.763867041198501</c:v>
                </c:pt>
                <c:pt idx="23">
                  <c:v>4.8640630975143395</c:v>
                </c:pt>
                <c:pt idx="24">
                  <c:v>5.532483349191246</c:v>
                </c:pt>
                <c:pt idx="25">
                  <c:v>5.53775238095238</c:v>
                </c:pt>
                <c:pt idx="26">
                  <c:v>5.53775238095238</c:v>
                </c:pt>
                <c:pt idx="27">
                  <c:v>5.969962859795729</c:v>
                </c:pt>
                <c:pt idx="28">
                  <c:v>5.977474654377879</c:v>
                </c:pt>
                <c:pt idx="29">
                  <c:v>6.054284369114877</c:v>
                </c:pt>
                <c:pt idx="30">
                  <c:v>6.111834600760456</c:v>
                </c:pt>
                <c:pt idx="31">
                  <c:v>6.112686145146088</c:v>
                </c:pt>
                <c:pt idx="32">
                  <c:v>6.129313632030504</c:v>
                </c:pt>
                <c:pt idx="33">
                  <c:v>6.188306063522617</c:v>
                </c:pt>
                <c:pt idx="34">
                  <c:v>6.200241080038572</c:v>
                </c:pt>
                <c:pt idx="35">
                  <c:v>6.28261567516525</c:v>
                </c:pt>
                <c:pt idx="36">
                  <c:v>6.296660194174756</c:v>
                </c:pt>
                <c:pt idx="37">
                  <c:v>6.299718309859154</c:v>
                </c:pt>
                <c:pt idx="38">
                  <c:v>6.3056390977443595</c:v>
                </c:pt>
                <c:pt idx="39">
                  <c:v>6.5074684772065945</c:v>
                </c:pt>
              </c:numCache>
            </c:numRef>
          </c:xVal>
          <c:yVal>
            <c:numRef>
              <c:f>Stanton1!$E$5:$E$44</c:f>
              <c:numCache>
                <c:ptCount val="40"/>
                <c:pt idx="0">
                  <c:v>0.025</c:v>
                </c:pt>
                <c:pt idx="1">
                  <c:v>0.05</c:v>
                </c:pt>
                <c:pt idx="2">
                  <c:v>0.075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</c:v>
                </c:pt>
                <c:pt idx="7">
                  <c:v>0.2</c:v>
                </c:pt>
                <c:pt idx="8">
                  <c:v>0.225</c:v>
                </c:pt>
                <c:pt idx="9">
                  <c:v>0.25</c:v>
                </c:pt>
                <c:pt idx="10">
                  <c:v>0.275</c:v>
                </c:pt>
                <c:pt idx="11">
                  <c:v>0.3</c:v>
                </c:pt>
                <c:pt idx="12">
                  <c:v>0.325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0.425</c:v>
                </c:pt>
                <c:pt idx="17">
                  <c:v>0.45</c:v>
                </c:pt>
                <c:pt idx="18">
                  <c:v>0.475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</c:v>
                </c:pt>
                <c:pt idx="28">
                  <c:v>0.725</c:v>
                </c:pt>
                <c:pt idx="29">
                  <c:v>0.75</c:v>
                </c:pt>
                <c:pt idx="30">
                  <c:v>0.775</c:v>
                </c:pt>
                <c:pt idx="31">
                  <c:v>0.8</c:v>
                </c:pt>
                <c:pt idx="32">
                  <c:v>0.825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</c:v>
                </c:pt>
                <c:pt idx="37">
                  <c:v>0.95</c:v>
                </c:pt>
                <c:pt idx="38">
                  <c:v>0.975</c:v>
                </c:pt>
                <c:pt idx="39">
                  <c:v>1</c:v>
                </c:pt>
              </c:numCache>
            </c:numRef>
          </c:yVal>
          <c:smooth val="0"/>
        </c:ser>
        <c:axId val="28205509"/>
        <c:axId val="52522990"/>
      </c:scatterChart>
      <c:valAx>
        <c:axId val="2820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22990"/>
        <c:crosses val="autoZero"/>
        <c:crossBetween val="midCat"/>
        <c:dispUnits/>
      </c:valAx>
      <c:valAx>
        <c:axId val="525229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05509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Kline 1: 97.5th Percentile = 0.1182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Kline!$G$5:$G$59</c:f>
              <c:numCache>
                <c:ptCount val="55"/>
                <c:pt idx="0">
                  <c:v>0.024703557312252437</c:v>
                </c:pt>
                <c:pt idx="1">
                  <c:v>0.05316064179392889</c:v>
                </c:pt>
                <c:pt idx="2">
                  <c:v>0.05894962486602232</c:v>
                </c:pt>
                <c:pt idx="3">
                  <c:v>0.059159929008083936</c:v>
                </c:pt>
                <c:pt idx="4">
                  <c:v>0.06523484544359556</c:v>
                </c:pt>
                <c:pt idx="5">
                  <c:v>0.06545726575649757</c:v>
                </c:pt>
                <c:pt idx="6">
                  <c:v>0.06708836496070396</c:v>
                </c:pt>
                <c:pt idx="7">
                  <c:v>0.06877579092159414</c:v>
                </c:pt>
                <c:pt idx="8">
                  <c:v>0.06944444444444296</c:v>
                </c:pt>
                <c:pt idx="9">
                  <c:v>0.07457121551081124</c:v>
                </c:pt>
                <c:pt idx="10">
                  <c:v>0.07572889057175151</c:v>
                </c:pt>
                <c:pt idx="11">
                  <c:v>0.07624857033930452</c:v>
                </c:pt>
                <c:pt idx="12">
                  <c:v>0.07636502481863144</c:v>
                </c:pt>
                <c:pt idx="13">
                  <c:v>0.07687051588657164</c:v>
                </c:pt>
                <c:pt idx="14">
                  <c:v>0.07874745228830664</c:v>
                </c:pt>
                <c:pt idx="15">
                  <c:v>0.07898894154818158</c:v>
                </c:pt>
                <c:pt idx="16">
                  <c:v>0.07970742685671248</c:v>
                </c:pt>
                <c:pt idx="17">
                  <c:v>0.0809215536938292</c:v>
                </c:pt>
                <c:pt idx="18">
                  <c:v>0.08112235159381388</c:v>
                </c:pt>
                <c:pt idx="19">
                  <c:v>0.08126195028680515</c:v>
                </c:pt>
                <c:pt idx="20">
                  <c:v>0.08177794881662323</c:v>
                </c:pt>
                <c:pt idx="21">
                  <c:v>0.08210890233361968</c:v>
                </c:pt>
                <c:pt idx="22">
                  <c:v>0.08226867982965369</c:v>
                </c:pt>
                <c:pt idx="23">
                  <c:v>0.08257237225568116</c:v>
                </c:pt>
                <c:pt idx="24">
                  <c:v>0.08348065213121017</c:v>
                </c:pt>
                <c:pt idx="25">
                  <c:v>0.0835034329189071</c:v>
                </c:pt>
                <c:pt idx="26">
                  <c:v>0.08362849271940004</c:v>
                </c:pt>
                <c:pt idx="27">
                  <c:v>0.0838750262109439</c:v>
                </c:pt>
                <c:pt idx="28">
                  <c:v>0.08392782207301541</c:v>
                </c:pt>
                <c:pt idx="29">
                  <c:v>0.08398656215005419</c:v>
                </c:pt>
                <c:pt idx="30">
                  <c:v>0.08591065292096037</c:v>
                </c:pt>
                <c:pt idx="31">
                  <c:v>0.08776667566837512</c:v>
                </c:pt>
                <c:pt idx="32">
                  <c:v>0.08837391987431076</c:v>
                </c:pt>
                <c:pt idx="33">
                  <c:v>0.0885863483774692</c:v>
                </c:pt>
                <c:pt idx="34">
                  <c:v>0.08940335027291359</c:v>
                </c:pt>
                <c:pt idx="35">
                  <c:v>0.08944543828264567</c:v>
                </c:pt>
                <c:pt idx="36">
                  <c:v>0.08982602118002835</c:v>
                </c:pt>
                <c:pt idx="37">
                  <c:v>0.09001326511275154</c:v>
                </c:pt>
                <c:pt idx="38">
                  <c:v>0.09003032600454698</c:v>
                </c:pt>
                <c:pt idx="39">
                  <c:v>0.09090909090908898</c:v>
                </c:pt>
                <c:pt idx="40">
                  <c:v>0.09187620889748353</c:v>
                </c:pt>
                <c:pt idx="41">
                  <c:v>0.09361450532124357</c:v>
                </c:pt>
                <c:pt idx="42">
                  <c:v>0.09627077421969799</c:v>
                </c:pt>
                <c:pt idx="43">
                  <c:v>0.09656237929702381</c:v>
                </c:pt>
                <c:pt idx="44">
                  <c:v>0.09718172983478898</c:v>
                </c:pt>
                <c:pt idx="45">
                  <c:v>0.09830908375933727</c:v>
                </c:pt>
                <c:pt idx="46">
                  <c:v>0.09913141993957493</c:v>
                </c:pt>
                <c:pt idx="47">
                  <c:v>0.09941298996401986</c:v>
                </c:pt>
                <c:pt idx="48">
                  <c:v>0.10084925690021017</c:v>
                </c:pt>
                <c:pt idx="49">
                  <c:v>0.10346124905944099</c:v>
                </c:pt>
                <c:pt idx="50">
                  <c:v>0.10780753517929866</c:v>
                </c:pt>
                <c:pt idx="51">
                  <c:v>0.11173727166731204</c:v>
                </c:pt>
                <c:pt idx="52">
                  <c:v>0.11698186781048689</c:v>
                </c:pt>
                <c:pt idx="53">
                  <c:v>0.11897679952409028</c:v>
                </c:pt>
                <c:pt idx="54">
                  <c:v>0.1189961055819966</c:v>
                </c:pt>
              </c:numCache>
            </c:numRef>
          </c:xVal>
          <c:yVal>
            <c:numRef>
              <c:f>Kline!$E$5:$E$59</c:f>
              <c:numCache>
                <c:ptCount val="55"/>
                <c:pt idx="0">
                  <c:v>0.01818181818181818</c:v>
                </c:pt>
                <c:pt idx="1">
                  <c:v>0.03636363636363636</c:v>
                </c:pt>
                <c:pt idx="2">
                  <c:v>0.05454545454545454</c:v>
                </c:pt>
                <c:pt idx="3">
                  <c:v>0.07272727272727272</c:v>
                </c:pt>
                <c:pt idx="4">
                  <c:v>0.09090909090909091</c:v>
                </c:pt>
                <c:pt idx="5">
                  <c:v>0.10909090909090909</c:v>
                </c:pt>
                <c:pt idx="6">
                  <c:v>0.12727272727272726</c:v>
                </c:pt>
                <c:pt idx="7">
                  <c:v>0.14545454545454545</c:v>
                </c:pt>
                <c:pt idx="8">
                  <c:v>0.16363636363636364</c:v>
                </c:pt>
                <c:pt idx="9">
                  <c:v>0.18181818181818182</c:v>
                </c:pt>
                <c:pt idx="10">
                  <c:v>0.2</c:v>
                </c:pt>
                <c:pt idx="11">
                  <c:v>0.21818181818181817</c:v>
                </c:pt>
                <c:pt idx="12">
                  <c:v>0.23636363636363636</c:v>
                </c:pt>
                <c:pt idx="13">
                  <c:v>0.2545454545454545</c:v>
                </c:pt>
                <c:pt idx="14">
                  <c:v>0.2727272727272727</c:v>
                </c:pt>
                <c:pt idx="15">
                  <c:v>0.2909090909090909</c:v>
                </c:pt>
                <c:pt idx="16">
                  <c:v>0.3090909090909091</c:v>
                </c:pt>
                <c:pt idx="17">
                  <c:v>0.32727272727272727</c:v>
                </c:pt>
                <c:pt idx="18">
                  <c:v>0.34545454545454546</c:v>
                </c:pt>
                <c:pt idx="19">
                  <c:v>0.36363636363636365</c:v>
                </c:pt>
                <c:pt idx="20">
                  <c:v>0.38181818181818183</c:v>
                </c:pt>
                <c:pt idx="21">
                  <c:v>0.4</c:v>
                </c:pt>
                <c:pt idx="22">
                  <c:v>0.41818181818181815</c:v>
                </c:pt>
                <c:pt idx="23">
                  <c:v>0.43636363636363634</c:v>
                </c:pt>
                <c:pt idx="24">
                  <c:v>0.45454545454545453</c:v>
                </c:pt>
                <c:pt idx="25">
                  <c:v>0.4727272727272727</c:v>
                </c:pt>
                <c:pt idx="26">
                  <c:v>0.4909090909090909</c:v>
                </c:pt>
                <c:pt idx="27">
                  <c:v>0.509090909090909</c:v>
                </c:pt>
                <c:pt idx="28">
                  <c:v>0.5272727272727272</c:v>
                </c:pt>
                <c:pt idx="29">
                  <c:v>0.5454545454545454</c:v>
                </c:pt>
                <c:pt idx="30">
                  <c:v>0.5636363636363636</c:v>
                </c:pt>
                <c:pt idx="31">
                  <c:v>0.5818181818181818</c:v>
                </c:pt>
                <c:pt idx="32">
                  <c:v>0.6</c:v>
                </c:pt>
                <c:pt idx="33">
                  <c:v>0.6181818181818182</c:v>
                </c:pt>
                <c:pt idx="34">
                  <c:v>0.6363636363636364</c:v>
                </c:pt>
                <c:pt idx="35">
                  <c:v>0.6545454545454545</c:v>
                </c:pt>
                <c:pt idx="36">
                  <c:v>0.6727272727272727</c:v>
                </c:pt>
                <c:pt idx="37">
                  <c:v>0.6909090909090909</c:v>
                </c:pt>
                <c:pt idx="38">
                  <c:v>0.7090909090909091</c:v>
                </c:pt>
                <c:pt idx="39">
                  <c:v>0.7272727272727273</c:v>
                </c:pt>
                <c:pt idx="40">
                  <c:v>0.7454545454545455</c:v>
                </c:pt>
                <c:pt idx="41">
                  <c:v>0.7636363636363637</c:v>
                </c:pt>
                <c:pt idx="42">
                  <c:v>0.7818181818181819</c:v>
                </c:pt>
                <c:pt idx="43">
                  <c:v>0.8</c:v>
                </c:pt>
                <c:pt idx="44">
                  <c:v>0.8181818181818182</c:v>
                </c:pt>
                <c:pt idx="45">
                  <c:v>0.8363636363636363</c:v>
                </c:pt>
                <c:pt idx="46">
                  <c:v>0.8545454545454545</c:v>
                </c:pt>
                <c:pt idx="47">
                  <c:v>0.8727272727272727</c:v>
                </c:pt>
                <c:pt idx="48">
                  <c:v>0.8909090909090909</c:v>
                </c:pt>
                <c:pt idx="49">
                  <c:v>0.9090909090909091</c:v>
                </c:pt>
                <c:pt idx="50">
                  <c:v>0.9272727272727272</c:v>
                </c:pt>
                <c:pt idx="51">
                  <c:v>0.9454545454545454</c:v>
                </c:pt>
                <c:pt idx="52">
                  <c:v>0.9636363636363636</c:v>
                </c:pt>
                <c:pt idx="53">
                  <c:v>0.9818181818181818</c:v>
                </c:pt>
                <c:pt idx="54">
                  <c:v>1</c:v>
                </c:pt>
              </c:numCache>
            </c:numRef>
          </c:yVal>
          <c:smooth val="0"/>
        </c:ser>
        <c:axId val="2944863"/>
        <c:axId val="26503768"/>
      </c:scatterChart>
      <c:valAx>
        <c:axId val="294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03768"/>
        <c:crosses val="autoZero"/>
        <c:crossBetween val="midCat"/>
        <c:dispUnits/>
      </c:valAx>
      <c:valAx>
        <c:axId val="265037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486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Scrubgrass 1: 97.5th Percentile = 0.0496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Scrubgrass!$G$5:$G$55</c:f>
              <c:numCache>
                <c:ptCount val="51"/>
                <c:pt idx="0">
                  <c:v>4.2391820964652005E-12</c:v>
                </c:pt>
                <c:pt idx="1">
                  <c:v>1.162721924307157E-07</c:v>
                </c:pt>
                <c:pt idx="2">
                  <c:v>1.56526292636837E-05</c:v>
                </c:pt>
                <c:pt idx="3">
                  <c:v>1.6289061682246072E-05</c:v>
                </c:pt>
                <c:pt idx="4">
                  <c:v>2.505089452910235E-05</c:v>
                </c:pt>
                <c:pt idx="5">
                  <c:v>4.4687986329391426E-05</c:v>
                </c:pt>
                <c:pt idx="6">
                  <c:v>7.29861485046328E-05</c:v>
                </c:pt>
                <c:pt idx="7">
                  <c:v>9.984785595733146E-05</c:v>
                </c:pt>
                <c:pt idx="8">
                  <c:v>0.00010601505999640386</c:v>
                </c:pt>
                <c:pt idx="9">
                  <c:v>0.0001294801677374913</c:v>
                </c:pt>
                <c:pt idx="10">
                  <c:v>0.00015496348067444823</c:v>
                </c:pt>
                <c:pt idx="11">
                  <c:v>0.00023896578937773825</c:v>
                </c:pt>
                <c:pt idx="12">
                  <c:v>0.00024333881096015383</c:v>
                </c:pt>
                <c:pt idx="13">
                  <c:v>0.0003546075718865146</c:v>
                </c:pt>
                <c:pt idx="14">
                  <c:v>0.00042393054362094415</c:v>
                </c:pt>
                <c:pt idx="15">
                  <c:v>0.0005622857631261416</c:v>
                </c:pt>
                <c:pt idx="16">
                  <c:v>0.0005924026846971465</c:v>
                </c:pt>
                <c:pt idx="17">
                  <c:v>0.0006431282737843768</c:v>
                </c:pt>
                <c:pt idx="18">
                  <c:v>0.0008395779954852837</c:v>
                </c:pt>
                <c:pt idx="19">
                  <c:v>0.0009694360348767248</c:v>
                </c:pt>
                <c:pt idx="20">
                  <c:v>0.0011877998801969234</c:v>
                </c:pt>
                <c:pt idx="21">
                  <c:v>0.0014578000972014814</c:v>
                </c:pt>
                <c:pt idx="22">
                  <c:v>0.0014682784832459124</c:v>
                </c:pt>
                <c:pt idx="23">
                  <c:v>0.0022382367495841697</c:v>
                </c:pt>
                <c:pt idx="24">
                  <c:v>0.0023703565395459705</c:v>
                </c:pt>
                <c:pt idx="25">
                  <c:v>0.002697788163579151</c:v>
                </c:pt>
                <c:pt idx="26">
                  <c:v>0.002991241895055193</c:v>
                </c:pt>
                <c:pt idx="27">
                  <c:v>0.0034394954818688424</c:v>
                </c:pt>
                <c:pt idx="28">
                  <c:v>0.003796751622224699</c:v>
                </c:pt>
                <c:pt idx="29">
                  <c:v>0.003938503556684967</c:v>
                </c:pt>
                <c:pt idx="30">
                  <c:v>0.004009477548565433</c:v>
                </c:pt>
                <c:pt idx="31">
                  <c:v>0.004338152130659617</c:v>
                </c:pt>
                <c:pt idx="32">
                  <c:v>0.005079699583913972</c:v>
                </c:pt>
                <c:pt idx="33">
                  <c:v>0.006131820461851097</c:v>
                </c:pt>
                <c:pt idx="34">
                  <c:v>0.0066319194267716545</c:v>
                </c:pt>
                <c:pt idx="35">
                  <c:v>0.006688423594069097</c:v>
                </c:pt>
                <c:pt idx="36">
                  <c:v>0.008734487840484107</c:v>
                </c:pt>
                <c:pt idx="37">
                  <c:v>0.012164824854216813</c:v>
                </c:pt>
                <c:pt idx="38">
                  <c:v>0.014022039425161477</c:v>
                </c:pt>
                <c:pt idx="39">
                  <c:v>0.01762295270560551</c:v>
                </c:pt>
                <c:pt idx="40">
                  <c:v>0.019569975137314545</c:v>
                </c:pt>
                <c:pt idx="41">
                  <c:v>0.020566869812227776</c:v>
                </c:pt>
                <c:pt idx="42">
                  <c:v>0.024789919467148747</c:v>
                </c:pt>
                <c:pt idx="43">
                  <c:v>0.02675611244674629</c:v>
                </c:pt>
                <c:pt idx="44">
                  <c:v>0.03219778034126641</c:v>
                </c:pt>
                <c:pt idx="45">
                  <c:v>0.03293714815542545</c:v>
                </c:pt>
                <c:pt idx="46">
                  <c:v>0.034339871902149634</c:v>
                </c:pt>
                <c:pt idx="47">
                  <c:v>0.039911043561267665</c:v>
                </c:pt>
                <c:pt idx="48">
                  <c:v>0.04943181345814967</c:v>
                </c:pt>
                <c:pt idx="49">
                  <c:v>0.04963944239801251</c:v>
                </c:pt>
                <c:pt idx="50">
                  <c:v>0.05829466654228235</c:v>
                </c:pt>
              </c:numCache>
            </c:numRef>
          </c:xVal>
          <c:yVal>
            <c:numRef>
              <c:f>Scrubgrass!$E$5:$E$55</c:f>
              <c:numCache>
                <c:ptCount val="51"/>
                <c:pt idx="0">
                  <c:v>0.0196078431372549</c:v>
                </c:pt>
                <c:pt idx="1">
                  <c:v>0.0392156862745098</c:v>
                </c:pt>
                <c:pt idx="2">
                  <c:v>0.058823529411764705</c:v>
                </c:pt>
                <c:pt idx="3">
                  <c:v>0.0784313725490196</c:v>
                </c:pt>
                <c:pt idx="4">
                  <c:v>0.09803921568627451</c:v>
                </c:pt>
                <c:pt idx="5">
                  <c:v>0.11764705882352941</c:v>
                </c:pt>
                <c:pt idx="6">
                  <c:v>0.13725490196078433</c:v>
                </c:pt>
                <c:pt idx="7">
                  <c:v>0.1568627450980392</c:v>
                </c:pt>
                <c:pt idx="8">
                  <c:v>0.17647058823529413</c:v>
                </c:pt>
                <c:pt idx="9">
                  <c:v>0.19607843137254902</c:v>
                </c:pt>
                <c:pt idx="10">
                  <c:v>0.21568627450980393</c:v>
                </c:pt>
                <c:pt idx="11">
                  <c:v>0.23529411764705882</c:v>
                </c:pt>
                <c:pt idx="12">
                  <c:v>0.2549019607843137</c:v>
                </c:pt>
                <c:pt idx="13">
                  <c:v>0.27450980392156865</c:v>
                </c:pt>
                <c:pt idx="14">
                  <c:v>0.29411764705882354</c:v>
                </c:pt>
                <c:pt idx="15">
                  <c:v>0.3137254901960784</c:v>
                </c:pt>
                <c:pt idx="16">
                  <c:v>0.3333333333333333</c:v>
                </c:pt>
                <c:pt idx="17">
                  <c:v>0.35294117647058826</c:v>
                </c:pt>
                <c:pt idx="18">
                  <c:v>0.37254901960784315</c:v>
                </c:pt>
                <c:pt idx="19">
                  <c:v>0.39215686274509803</c:v>
                </c:pt>
                <c:pt idx="20">
                  <c:v>0.4117647058823529</c:v>
                </c:pt>
                <c:pt idx="21">
                  <c:v>0.43137254901960786</c:v>
                </c:pt>
                <c:pt idx="22">
                  <c:v>0.45098039215686275</c:v>
                </c:pt>
                <c:pt idx="23">
                  <c:v>0.47058823529411764</c:v>
                </c:pt>
                <c:pt idx="24">
                  <c:v>0.49019607843137253</c:v>
                </c:pt>
                <c:pt idx="25">
                  <c:v>0.5098039215686274</c:v>
                </c:pt>
                <c:pt idx="26">
                  <c:v>0.5294117647058824</c:v>
                </c:pt>
                <c:pt idx="27">
                  <c:v>0.5490196078431373</c:v>
                </c:pt>
                <c:pt idx="28">
                  <c:v>0.5686274509803921</c:v>
                </c:pt>
                <c:pt idx="29">
                  <c:v>0.5882352941176471</c:v>
                </c:pt>
                <c:pt idx="30">
                  <c:v>0.6078431372549019</c:v>
                </c:pt>
                <c:pt idx="31">
                  <c:v>0.6274509803921569</c:v>
                </c:pt>
                <c:pt idx="32">
                  <c:v>0.6470588235294118</c:v>
                </c:pt>
                <c:pt idx="33">
                  <c:v>0.6666666666666666</c:v>
                </c:pt>
                <c:pt idx="34">
                  <c:v>0.6862745098039216</c:v>
                </c:pt>
                <c:pt idx="35">
                  <c:v>0.7058823529411765</c:v>
                </c:pt>
                <c:pt idx="36">
                  <c:v>0.7254901960784313</c:v>
                </c:pt>
                <c:pt idx="37">
                  <c:v>0.7450980392156863</c:v>
                </c:pt>
                <c:pt idx="38">
                  <c:v>0.7647058823529411</c:v>
                </c:pt>
                <c:pt idx="39">
                  <c:v>0.7843137254901961</c:v>
                </c:pt>
                <c:pt idx="40">
                  <c:v>0.803921568627451</c:v>
                </c:pt>
                <c:pt idx="41">
                  <c:v>0.8235294117647058</c:v>
                </c:pt>
                <c:pt idx="42">
                  <c:v>0.8431372549019608</c:v>
                </c:pt>
                <c:pt idx="43">
                  <c:v>0.8627450980392157</c:v>
                </c:pt>
                <c:pt idx="44">
                  <c:v>0.8823529411764706</c:v>
                </c:pt>
                <c:pt idx="45">
                  <c:v>0.9019607843137255</c:v>
                </c:pt>
                <c:pt idx="46">
                  <c:v>0.9215686274509803</c:v>
                </c:pt>
                <c:pt idx="47">
                  <c:v>0.9411764705882353</c:v>
                </c:pt>
                <c:pt idx="48">
                  <c:v>0.9607843137254902</c:v>
                </c:pt>
                <c:pt idx="49">
                  <c:v>0.9803921568627451</c:v>
                </c:pt>
                <c:pt idx="50">
                  <c:v>1</c:v>
                </c:pt>
              </c:numCache>
            </c:numRef>
          </c:yVal>
          <c:smooth val="0"/>
        </c:ser>
        <c:axId val="37207321"/>
        <c:axId val="66430434"/>
      </c:scatterChart>
      <c:valAx>
        <c:axId val="3720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30434"/>
        <c:crosses val="autoZero"/>
        <c:crossBetween val="midCat"/>
        <c:dispUnits/>
      </c:valAx>
      <c:valAx>
        <c:axId val="664304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0732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Polk 1: 97.5th Percentile = 7.3350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Polk!$G$5:$G$28</c:f>
              <c:numCache>
                <c:ptCount val="24"/>
                <c:pt idx="0">
                  <c:v>1.9673645779003055</c:v>
                </c:pt>
                <c:pt idx="1">
                  <c:v>2.441378800207116</c:v>
                </c:pt>
                <c:pt idx="2">
                  <c:v>2.4449959256241205</c:v>
                </c:pt>
                <c:pt idx="3">
                  <c:v>2.4468085106382977</c:v>
                </c:pt>
                <c:pt idx="4">
                  <c:v>2.448987163315278</c:v>
                </c:pt>
                <c:pt idx="5">
                  <c:v>2.93813056379822</c:v>
                </c:pt>
                <c:pt idx="6">
                  <c:v>2.9429335711101205</c:v>
                </c:pt>
                <c:pt idx="7">
                  <c:v>2.950827000447027</c:v>
                </c:pt>
                <c:pt idx="8">
                  <c:v>2.962525244969706</c:v>
                </c:pt>
                <c:pt idx="9">
                  <c:v>3.5291377071717713</c:v>
                </c:pt>
                <c:pt idx="10">
                  <c:v>4.5391962102689485</c:v>
                </c:pt>
                <c:pt idx="11">
                  <c:v>4.544056906837999</c:v>
                </c:pt>
                <c:pt idx="12">
                  <c:v>4.5573028536360844</c:v>
                </c:pt>
                <c:pt idx="13">
                  <c:v>4.566761472826505</c:v>
                </c:pt>
                <c:pt idx="14">
                  <c:v>4.570977917981073</c:v>
                </c:pt>
                <c:pt idx="15">
                  <c:v>5.033551929235931</c:v>
                </c:pt>
                <c:pt idx="16">
                  <c:v>5.5402868915000765</c:v>
                </c:pt>
                <c:pt idx="17">
                  <c:v>5.562782502106796</c:v>
                </c:pt>
                <c:pt idx="18">
                  <c:v>5.573029395962852</c:v>
                </c:pt>
                <c:pt idx="19">
                  <c:v>5.576025188143142</c:v>
                </c:pt>
                <c:pt idx="20">
                  <c:v>5.586320972457301</c:v>
                </c:pt>
                <c:pt idx="21">
                  <c:v>5.587180670975685</c:v>
                </c:pt>
                <c:pt idx="22">
                  <c:v>6.1257443353182275</c:v>
                </c:pt>
                <c:pt idx="23">
                  <c:v>9.14899514899515</c:v>
                </c:pt>
              </c:numCache>
            </c:numRef>
          </c:xVal>
          <c:yVal>
            <c:numRef>
              <c:f>Polk!$E$5:$E$28</c:f>
              <c:num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numCache>
            </c:numRef>
          </c:yVal>
          <c:smooth val="0"/>
        </c:ser>
        <c:axId val="61002995"/>
        <c:axId val="12156044"/>
      </c:scatterChart>
      <c:valAx>
        <c:axId val="6100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56044"/>
        <c:crosses val="autoZero"/>
        <c:crossBetween val="midCat"/>
        <c:dispUnits/>
      </c:valAx>
      <c:valAx>
        <c:axId val="121560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0299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Wabash 1+1a: 97.5th Percentile = 5.3920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Wabash!$G$5:$G$83</c:f>
              <c:numCache>
                <c:ptCount val="79"/>
                <c:pt idx="0">
                  <c:v>1.2549639618693327</c:v>
                </c:pt>
                <c:pt idx="1">
                  <c:v>1.2923224261771746</c:v>
                </c:pt>
                <c:pt idx="2">
                  <c:v>1.3172588832487309</c:v>
                </c:pt>
                <c:pt idx="3">
                  <c:v>2.2002795248078266</c:v>
                </c:pt>
                <c:pt idx="4">
                  <c:v>2.437612422169267</c:v>
                </c:pt>
                <c:pt idx="5">
                  <c:v>2.4753955514790182</c:v>
                </c:pt>
                <c:pt idx="6">
                  <c:v>2.5402462938269665</c:v>
                </c:pt>
                <c:pt idx="7">
                  <c:v>2.5537077089448474</c:v>
                </c:pt>
                <c:pt idx="8">
                  <c:v>2.5646191272616696</c:v>
                </c:pt>
                <c:pt idx="9">
                  <c:v>2.599198705601356</c:v>
                </c:pt>
                <c:pt idx="10">
                  <c:v>2.622434701492537</c:v>
                </c:pt>
                <c:pt idx="11">
                  <c:v>2.788233918128655</c:v>
                </c:pt>
                <c:pt idx="12">
                  <c:v>2.788233918128655</c:v>
                </c:pt>
                <c:pt idx="13">
                  <c:v>2.812552107457156</c:v>
                </c:pt>
                <c:pt idx="14">
                  <c:v>2.841285190673009</c:v>
                </c:pt>
                <c:pt idx="15">
                  <c:v>2.925754994579526</c:v>
                </c:pt>
                <c:pt idx="16">
                  <c:v>2.980770423190203</c:v>
                </c:pt>
                <c:pt idx="17">
                  <c:v>2.9960969149267687</c:v>
                </c:pt>
                <c:pt idx="18">
                  <c:v>3.0279015784586814</c:v>
                </c:pt>
                <c:pt idx="19">
                  <c:v>3.043917237087741</c:v>
                </c:pt>
                <c:pt idx="20">
                  <c:v>3.0675271634430143</c:v>
                </c:pt>
                <c:pt idx="21">
                  <c:v>3.1050936037441494</c:v>
                </c:pt>
                <c:pt idx="22">
                  <c:v>3.117837338262477</c:v>
                </c:pt>
                <c:pt idx="23">
                  <c:v>3.1181354581673304</c:v>
                </c:pt>
                <c:pt idx="24">
                  <c:v>3.157722308892356</c:v>
                </c:pt>
                <c:pt idx="25">
                  <c:v>3.1660940109759004</c:v>
                </c:pt>
                <c:pt idx="26">
                  <c:v>3.196872778962331</c:v>
                </c:pt>
                <c:pt idx="27">
                  <c:v>3.242995581052795</c:v>
                </c:pt>
                <c:pt idx="28">
                  <c:v>3.24878844361603</c:v>
                </c:pt>
                <c:pt idx="29">
                  <c:v>3.2703776092565087</c:v>
                </c:pt>
                <c:pt idx="30">
                  <c:v>3.2919842007434945</c:v>
                </c:pt>
                <c:pt idx="31">
                  <c:v>3.318281718281718</c:v>
                </c:pt>
                <c:pt idx="32">
                  <c:v>3.3687626774847867</c:v>
                </c:pt>
                <c:pt idx="33">
                  <c:v>3.5222472090595134</c:v>
                </c:pt>
                <c:pt idx="34">
                  <c:v>3.523374902572096</c:v>
                </c:pt>
                <c:pt idx="35">
                  <c:v>3.5316328124999994</c:v>
                </c:pt>
                <c:pt idx="36">
                  <c:v>3.532184716361931</c:v>
                </c:pt>
                <c:pt idx="37">
                  <c:v>3.5357763003519747</c:v>
                </c:pt>
                <c:pt idx="38">
                  <c:v>3.565260058881256</c:v>
                </c:pt>
                <c:pt idx="39">
                  <c:v>3.6768392370572207</c:v>
                </c:pt>
                <c:pt idx="40">
                  <c:v>3.7808474706379056</c:v>
                </c:pt>
                <c:pt idx="41">
                  <c:v>3.830763694522191</c:v>
                </c:pt>
                <c:pt idx="42">
                  <c:v>3.832031432350424</c:v>
                </c:pt>
                <c:pt idx="43">
                  <c:v>3.850160745860794</c:v>
                </c:pt>
                <c:pt idx="44">
                  <c:v>3.868872530027121</c:v>
                </c:pt>
                <c:pt idx="45">
                  <c:v>4.143946985614999</c:v>
                </c:pt>
                <c:pt idx="46">
                  <c:v>4.156919431279621</c:v>
                </c:pt>
                <c:pt idx="47">
                  <c:v>4.17737736148595</c:v>
                </c:pt>
                <c:pt idx="48">
                  <c:v>4.2369872813990455</c:v>
                </c:pt>
                <c:pt idx="49">
                  <c:v>4.262833675564682</c:v>
                </c:pt>
                <c:pt idx="50">
                  <c:v>4.433953997809419</c:v>
                </c:pt>
                <c:pt idx="51">
                  <c:v>4.456266708601981</c:v>
                </c:pt>
                <c:pt idx="52">
                  <c:v>4.483893369175627</c:v>
                </c:pt>
                <c:pt idx="53">
                  <c:v>4.505867387501987</c:v>
                </c:pt>
                <c:pt idx="54">
                  <c:v>4.580126404494382</c:v>
                </c:pt>
                <c:pt idx="55">
                  <c:v>4.789804395438411</c:v>
                </c:pt>
                <c:pt idx="56">
                  <c:v>4.808195382673892</c:v>
                </c:pt>
                <c:pt idx="57">
                  <c:v>4.847441970630033</c:v>
                </c:pt>
                <c:pt idx="58">
                  <c:v>4.8745642782660505</c:v>
                </c:pt>
                <c:pt idx="59">
                  <c:v>4.911586792616344</c:v>
                </c:pt>
                <c:pt idx="60">
                  <c:v>4.911586792616344</c:v>
                </c:pt>
                <c:pt idx="61">
                  <c:v>5.067598017124831</c:v>
                </c:pt>
                <c:pt idx="62">
                  <c:v>5.280216720595982</c:v>
                </c:pt>
                <c:pt idx="63">
                  <c:v>5.294385189699832</c:v>
                </c:pt>
                <c:pt idx="64">
                  <c:v>5.331207233626588</c:v>
                </c:pt>
                <c:pt idx="65">
                  <c:v>5.382966692486444</c:v>
                </c:pt>
                <c:pt idx="66">
                  <c:v>5.386168132942326</c:v>
                </c:pt>
                <c:pt idx="67">
                  <c:v>5.470225978954631</c:v>
                </c:pt>
                <c:pt idx="68">
                  <c:v>5.470225978954631</c:v>
                </c:pt>
                <c:pt idx="69">
                  <c:v>5.500976847934774</c:v>
                </c:pt>
                <c:pt idx="70">
                  <c:v>5.979389486441447</c:v>
                </c:pt>
                <c:pt idx="71">
                  <c:v>6.100659824046921</c:v>
                </c:pt>
                <c:pt idx="72">
                  <c:v>6.3754643206256105</c:v>
                </c:pt>
                <c:pt idx="73">
                  <c:v>6.960018755861206</c:v>
                </c:pt>
                <c:pt idx="74">
                  <c:v>6.980034213098729</c:v>
                </c:pt>
                <c:pt idx="75">
                  <c:v>7.828580152671755</c:v>
                </c:pt>
                <c:pt idx="76">
                  <c:v>8.291881096858438</c:v>
                </c:pt>
                <c:pt idx="77">
                  <c:v>9.779022831761864</c:v>
                </c:pt>
                <c:pt idx="78">
                  <c:v>13.5509456080025</c:v>
                </c:pt>
              </c:numCache>
            </c:numRef>
          </c:xVal>
          <c:yVal>
            <c:numRef>
              <c:f>Wabash!$E$5:$E$83</c:f>
              <c:numCache>
                <c:ptCount val="79"/>
                <c:pt idx="0">
                  <c:v>0.012658227848101266</c:v>
                </c:pt>
                <c:pt idx="1">
                  <c:v>0.02531645569620253</c:v>
                </c:pt>
                <c:pt idx="2">
                  <c:v>0.0379746835443038</c:v>
                </c:pt>
                <c:pt idx="3">
                  <c:v>0.05063291139240506</c:v>
                </c:pt>
                <c:pt idx="4">
                  <c:v>0.06329113924050633</c:v>
                </c:pt>
                <c:pt idx="5">
                  <c:v>0.0759493670886076</c:v>
                </c:pt>
                <c:pt idx="6">
                  <c:v>0.08860759493670886</c:v>
                </c:pt>
                <c:pt idx="7">
                  <c:v>0.10126582278481013</c:v>
                </c:pt>
                <c:pt idx="8">
                  <c:v>0.11392405063291139</c:v>
                </c:pt>
                <c:pt idx="9">
                  <c:v>0.12658227848101267</c:v>
                </c:pt>
                <c:pt idx="10">
                  <c:v>0.13924050632911392</c:v>
                </c:pt>
                <c:pt idx="11">
                  <c:v>0.1518987341772152</c:v>
                </c:pt>
                <c:pt idx="12">
                  <c:v>0.16455696202531644</c:v>
                </c:pt>
                <c:pt idx="13">
                  <c:v>0.17721518987341772</c:v>
                </c:pt>
                <c:pt idx="14">
                  <c:v>0.189873417721519</c:v>
                </c:pt>
                <c:pt idx="15">
                  <c:v>0.20253164556962025</c:v>
                </c:pt>
                <c:pt idx="16">
                  <c:v>0.21518987341772153</c:v>
                </c:pt>
                <c:pt idx="17">
                  <c:v>0.22784810126582278</c:v>
                </c:pt>
                <c:pt idx="18">
                  <c:v>0.24050632911392406</c:v>
                </c:pt>
                <c:pt idx="19">
                  <c:v>0.25316455696202533</c:v>
                </c:pt>
                <c:pt idx="20">
                  <c:v>0.26582278481012656</c:v>
                </c:pt>
                <c:pt idx="21">
                  <c:v>0.27848101265822783</c:v>
                </c:pt>
                <c:pt idx="22">
                  <c:v>0.2911392405063291</c:v>
                </c:pt>
                <c:pt idx="23">
                  <c:v>0.3037974683544304</c:v>
                </c:pt>
                <c:pt idx="24">
                  <c:v>0.31645569620253167</c:v>
                </c:pt>
                <c:pt idx="25">
                  <c:v>0.3291139240506329</c:v>
                </c:pt>
                <c:pt idx="26">
                  <c:v>0.34177215189873417</c:v>
                </c:pt>
                <c:pt idx="27">
                  <c:v>0.35443037974683544</c:v>
                </c:pt>
                <c:pt idx="28">
                  <c:v>0.3670886075949367</c:v>
                </c:pt>
                <c:pt idx="29">
                  <c:v>0.379746835443038</c:v>
                </c:pt>
                <c:pt idx="30">
                  <c:v>0.3924050632911392</c:v>
                </c:pt>
                <c:pt idx="31">
                  <c:v>0.4050632911392405</c:v>
                </c:pt>
                <c:pt idx="32">
                  <c:v>0.4177215189873418</c:v>
                </c:pt>
                <c:pt idx="33">
                  <c:v>0.43037974683544306</c:v>
                </c:pt>
                <c:pt idx="34">
                  <c:v>0.4430379746835443</c:v>
                </c:pt>
                <c:pt idx="35">
                  <c:v>0.45569620253164556</c:v>
                </c:pt>
                <c:pt idx="36">
                  <c:v>0.46835443037974683</c:v>
                </c:pt>
                <c:pt idx="37">
                  <c:v>0.4810126582278481</c:v>
                </c:pt>
                <c:pt idx="38">
                  <c:v>0.4936708860759494</c:v>
                </c:pt>
                <c:pt idx="39">
                  <c:v>0.5063291139240507</c:v>
                </c:pt>
                <c:pt idx="40">
                  <c:v>0.5189873417721519</c:v>
                </c:pt>
                <c:pt idx="41">
                  <c:v>0.5316455696202531</c:v>
                </c:pt>
                <c:pt idx="42">
                  <c:v>0.5443037974683544</c:v>
                </c:pt>
                <c:pt idx="43">
                  <c:v>0.5569620253164557</c:v>
                </c:pt>
                <c:pt idx="44">
                  <c:v>0.569620253164557</c:v>
                </c:pt>
                <c:pt idx="45">
                  <c:v>0.5822784810126582</c:v>
                </c:pt>
                <c:pt idx="46">
                  <c:v>0.5949367088607594</c:v>
                </c:pt>
                <c:pt idx="47">
                  <c:v>0.6075949367088608</c:v>
                </c:pt>
                <c:pt idx="48">
                  <c:v>0.620253164556962</c:v>
                </c:pt>
                <c:pt idx="49">
                  <c:v>0.6329113924050633</c:v>
                </c:pt>
                <c:pt idx="50">
                  <c:v>0.6455696202531646</c:v>
                </c:pt>
                <c:pt idx="51">
                  <c:v>0.6582278481012658</c:v>
                </c:pt>
                <c:pt idx="52">
                  <c:v>0.6708860759493671</c:v>
                </c:pt>
                <c:pt idx="53">
                  <c:v>0.6835443037974683</c:v>
                </c:pt>
                <c:pt idx="54">
                  <c:v>0.6962025316455697</c:v>
                </c:pt>
                <c:pt idx="55">
                  <c:v>0.7088607594936709</c:v>
                </c:pt>
                <c:pt idx="56">
                  <c:v>0.7215189873417721</c:v>
                </c:pt>
                <c:pt idx="57">
                  <c:v>0.7341772151898734</c:v>
                </c:pt>
                <c:pt idx="58">
                  <c:v>0.7468354430379747</c:v>
                </c:pt>
                <c:pt idx="59">
                  <c:v>0.759493670886076</c:v>
                </c:pt>
                <c:pt idx="60">
                  <c:v>0.7721518987341772</c:v>
                </c:pt>
                <c:pt idx="61">
                  <c:v>0.7848101265822784</c:v>
                </c:pt>
                <c:pt idx="62">
                  <c:v>0.7974683544303798</c:v>
                </c:pt>
                <c:pt idx="63">
                  <c:v>0.810126582278481</c:v>
                </c:pt>
                <c:pt idx="64">
                  <c:v>0.8227848101265823</c:v>
                </c:pt>
                <c:pt idx="65">
                  <c:v>0.8354430379746836</c:v>
                </c:pt>
                <c:pt idx="66">
                  <c:v>0.8481012658227848</c:v>
                </c:pt>
                <c:pt idx="67">
                  <c:v>0.8607594936708861</c:v>
                </c:pt>
                <c:pt idx="68">
                  <c:v>0.8734177215189873</c:v>
                </c:pt>
                <c:pt idx="69">
                  <c:v>0.8860759493670886</c:v>
                </c:pt>
                <c:pt idx="70">
                  <c:v>0.8987341772151899</c:v>
                </c:pt>
                <c:pt idx="71">
                  <c:v>0.9113924050632911</c:v>
                </c:pt>
                <c:pt idx="72">
                  <c:v>0.9240506329113924</c:v>
                </c:pt>
                <c:pt idx="73">
                  <c:v>0.9367088607594937</c:v>
                </c:pt>
                <c:pt idx="74">
                  <c:v>0.9493670886075949</c:v>
                </c:pt>
                <c:pt idx="75">
                  <c:v>0.9620253164556962</c:v>
                </c:pt>
                <c:pt idx="76">
                  <c:v>0.9746835443037974</c:v>
                </c:pt>
                <c:pt idx="77">
                  <c:v>0.9873417721518988</c:v>
                </c:pt>
                <c:pt idx="78">
                  <c:v>1</c:v>
                </c:pt>
              </c:numCache>
            </c:numRef>
          </c:yVal>
          <c:smooth val="0"/>
        </c:ser>
        <c:axId val="42295533"/>
        <c:axId val="45115478"/>
      </c:scatterChart>
      <c:valAx>
        <c:axId val="4229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15478"/>
        <c:crosses val="autoZero"/>
        <c:crossBetween val="midCat"/>
        <c:dispUnits/>
      </c:valAx>
      <c:valAx>
        <c:axId val="451154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553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Fabric Filter/Spray Dryer Absorber
F</a:t>
            </a:r>
            <a:r>
              <a:rPr lang="en-US" cap="none" sz="1175" b="1" i="0" u="none" baseline="-25000">
                <a:latin typeface="Arial"/>
                <a:ea typeface="Arial"/>
                <a:cs typeface="Arial"/>
              </a:rPr>
              <a:t>removed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= 1 - 0.8188*exp(-0.002164*Cl(ppm)); R</a:t>
            </a:r>
            <a:r>
              <a:rPr lang="en-US" cap="none" sz="1175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=0.935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0"/>
              <c:pt idx="0">
                <c:v>28.333333333333332</c:v>
              </c:pt>
              <c:pt idx="1">
                <c:v>100</c:v>
              </c:pt>
              <c:pt idx="2">
                <c:v>102</c:v>
              </c:pt>
              <c:pt idx="3">
                <c:v>107</c:v>
              </c:pt>
              <c:pt idx="4">
                <c:v>116.66666666666667</c:v>
              </c:pt>
              <c:pt idx="5">
                <c:v>126.66666666666667</c:v>
              </c:pt>
              <c:pt idx="6">
                <c:v>917.3333333333334</c:v>
              </c:pt>
              <c:pt idx="7">
                <c:v>1500</c:v>
              </c:pt>
              <c:pt idx="8">
                <c:v>1700</c:v>
              </c:pt>
              <c:pt idx="9">
                <c:v>1892.6666666666667</c:v>
              </c:pt>
            </c:numLit>
          </c:xVal>
          <c:yVal>
            <c:numLit>
              <c:ptCount val="10"/>
              <c:pt idx="0">
                <c:v>0.0147</c:v>
              </c:pt>
              <c:pt idx="1">
                <c:v>0.3824</c:v>
              </c:pt>
              <c:pt idx="2">
                <c:v>0.0446</c:v>
              </c:pt>
              <c:pt idx="3">
                <c:v>0.3333</c:v>
              </c:pt>
              <c:pt idx="4">
                <c:v>0.336</c:v>
              </c:pt>
              <c:pt idx="5">
                <c:v>0.3183</c:v>
              </c:pt>
              <c:pt idx="6">
                <c:v>0.9736</c:v>
              </c:pt>
              <c:pt idx="7">
                <c:v>0.9752</c:v>
              </c:pt>
              <c:pt idx="8">
                <c:v>0.9366</c:v>
              </c:pt>
              <c:pt idx="9">
                <c:v>0.9881</c:v>
              </c:pt>
            </c:numLit>
          </c:yVal>
          <c:smooth val="0"/>
        </c:ser>
        <c:ser>
          <c:idx val="1"/>
          <c:order val="1"/>
          <c:tx>
            <c:v>2 Parm. 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Lit>
              <c:ptCount val="10"/>
              <c:pt idx="0">
                <c:v>28.333333333333332</c:v>
              </c:pt>
              <c:pt idx="1">
                <c:v>100</c:v>
              </c:pt>
              <c:pt idx="2">
                <c:v>102</c:v>
              </c:pt>
              <c:pt idx="3">
                <c:v>107</c:v>
              </c:pt>
              <c:pt idx="4">
                <c:v>116.66666666666667</c:v>
              </c:pt>
              <c:pt idx="5">
                <c:v>126.66666666666667</c:v>
              </c:pt>
              <c:pt idx="6">
                <c:v>917.3333333333334</c:v>
              </c:pt>
              <c:pt idx="7">
                <c:v>1500</c:v>
              </c:pt>
              <c:pt idx="8">
                <c:v>1700</c:v>
              </c:pt>
              <c:pt idx="9">
                <c:v>1892.6666666666667</c:v>
              </c:pt>
            </c:numLit>
          </c:xVal>
          <c:yVal>
            <c:numLit>
              <c:ptCount val="10"/>
              <c:pt idx="0">
                <c:v>0.22988102315755632</c:v>
              </c:pt>
              <c:pt idx="1">
                <c:v>0.3405158897619476</c:v>
              </c:pt>
              <c:pt idx="2">
                <c:v>0.3433639779762391</c:v>
              </c:pt>
              <c:pt idx="3">
                <c:v>0.35043050246645135</c:v>
              </c:pt>
              <c:pt idx="4">
                <c:v>0.3638775339689212</c:v>
              </c:pt>
              <c:pt idx="5">
                <c:v>0.377495389087801</c:v>
              </c:pt>
              <c:pt idx="6">
                <c:v>0.8875236310456552</c:v>
              </c:pt>
              <c:pt idx="7">
                <c:v>0.9681241512599089</c:v>
              </c:pt>
              <c:pt idx="8">
                <c:v>0.9793224760855455</c:v>
              </c:pt>
              <c:pt idx="9">
                <c:v>0.9863721516792303</c:v>
              </c:pt>
            </c:numLit>
          </c:yVal>
          <c:smooth val="0"/>
        </c:ser>
        <c:axId val="3386119"/>
        <c:axId val="30475072"/>
      </c:scatterChart>
      <c:valAx>
        <c:axId val="3386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Chlorine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475072"/>
        <c:crosses val="autoZero"/>
        <c:crossBetween val="midCat"/>
        <c:dispUnits/>
      </c:valAx>
      <c:valAx>
        <c:axId val="304750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Hg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86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Mecklenburg 1: 97.5th Percentile = 1.8051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Mecklenburg!$G$5:$G$43</c:f>
              <c:numCache>
                <c:ptCount val="39"/>
                <c:pt idx="0">
                  <c:v>0.0067937184933716315</c:v>
                </c:pt>
                <c:pt idx="1">
                  <c:v>0.021009003367298357</c:v>
                </c:pt>
                <c:pt idx="2">
                  <c:v>0.03645355423447438</c:v>
                </c:pt>
                <c:pt idx="3">
                  <c:v>0.03733262997128345</c:v>
                </c:pt>
                <c:pt idx="4">
                  <c:v>0.044094228576383836</c:v>
                </c:pt>
                <c:pt idx="5">
                  <c:v>0.04979685066649958</c:v>
                </c:pt>
                <c:pt idx="6">
                  <c:v>0.05975622079979949</c:v>
                </c:pt>
                <c:pt idx="7">
                  <c:v>0.06248510688131213</c:v>
                </c:pt>
                <c:pt idx="8">
                  <c:v>0.06299175510911978</c:v>
                </c:pt>
                <c:pt idx="9">
                  <c:v>0.06955859866268947</c:v>
                </c:pt>
                <c:pt idx="10">
                  <c:v>0.07676533279937439</c:v>
                </c:pt>
                <c:pt idx="11">
                  <c:v>0.07687243897430088</c:v>
                </c:pt>
                <c:pt idx="12">
                  <c:v>0.08042301232512582</c:v>
                </c:pt>
                <c:pt idx="13">
                  <c:v>0.09567784693060931</c:v>
                </c:pt>
                <c:pt idx="14">
                  <c:v>0.10730415175318882</c:v>
                </c:pt>
                <c:pt idx="15">
                  <c:v>0.10755931507756289</c:v>
                </c:pt>
                <c:pt idx="16">
                  <c:v>0.10789326740730826</c:v>
                </c:pt>
                <c:pt idx="17">
                  <c:v>0.11088335197210732</c:v>
                </c:pt>
                <c:pt idx="18">
                  <c:v>0.13257033391334222</c:v>
                </c:pt>
                <c:pt idx="19">
                  <c:v>0.13854793804761417</c:v>
                </c:pt>
                <c:pt idx="20">
                  <c:v>0.14679904903805704</c:v>
                </c:pt>
                <c:pt idx="21">
                  <c:v>0.2168686612071561</c:v>
                </c:pt>
                <c:pt idx="22">
                  <c:v>0.2551719355066642</c:v>
                </c:pt>
                <c:pt idx="23">
                  <c:v>0.26169510879872276</c:v>
                </c:pt>
                <c:pt idx="24">
                  <c:v>0.29340220639528636</c:v>
                </c:pt>
                <c:pt idx="25">
                  <c:v>0.2958366244630003</c:v>
                </c:pt>
                <c:pt idx="26">
                  <c:v>0.3960022955507565</c:v>
                </c:pt>
                <c:pt idx="27">
                  <c:v>0.4549243352570048</c:v>
                </c:pt>
                <c:pt idx="28">
                  <c:v>0.5920279149675985</c:v>
                </c:pt>
                <c:pt idx="29">
                  <c:v>0.592160149931326</c:v>
                </c:pt>
                <c:pt idx="30">
                  <c:v>0.6813529423322434</c:v>
                </c:pt>
                <c:pt idx="31">
                  <c:v>0.7815130020596807</c:v>
                </c:pt>
                <c:pt idx="32">
                  <c:v>1.0995109028678662</c:v>
                </c:pt>
                <c:pt idx="33">
                  <c:v>1.294199444573498</c:v>
                </c:pt>
                <c:pt idx="34">
                  <c:v>1.4386592678534884</c:v>
                </c:pt>
                <c:pt idx="35">
                  <c:v>1.5042147191509014</c:v>
                </c:pt>
                <c:pt idx="36">
                  <c:v>1.5598529341815295</c:v>
                </c:pt>
                <c:pt idx="37">
                  <c:v>1.7563145657232904</c:v>
                </c:pt>
                <c:pt idx="38">
                  <c:v>3.706319252925609</c:v>
                </c:pt>
              </c:numCache>
            </c:numRef>
          </c:xVal>
          <c:yVal>
            <c:numRef>
              <c:f>Mecklenburg!$E$5:$E$43</c:f>
              <c:numCache>
                <c:ptCount val="39"/>
                <c:pt idx="0">
                  <c:v>0.02564102564102564</c:v>
                </c:pt>
                <c:pt idx="1">
                  <c:v>0.05128205128205128</c:v>
                </c:pt>
                <c:pt idx="2">
                  <c:v>0.07692307692307693</c:v>
                </c:pt>
                <c:pt idx="3">
                  <c:v>0.10256410256410256</c:v>
                </c:pt>
                <c:pt idx="4">
                  <c:v>0.1282051282051282</c:v>
                </c:pt>
                <c:pt idx="5">
                  <c:v>0.15384615384615385</c:v>
                </c:pt>
                <c:pt idx="6">
                  <c:v>0.1794871794871795</c:v>
                </c:pt>
                <c:pt idx="7">
                  <c:v>0.20512820512820512</c:v>
                </c:pt>
                <c:pt idx="8">
                  <c:v>0.23076923076923078</c:v>
                </c:pt>
                <c:pt idx="9">
                  <c:v>0.2564102564102564</c:v>
                </c:pt>
                <c:pt idx="10">
                  <c:v>0.28205128205128205</c:v>
                </c:pt>
                <c:pt idx="11">
                  <c:v>0.3076923076923077</c:v>
                </c:pt>
                <c:pt idx="12">
                  <c:v>0.3333333333333333</c:v>
                </c:pt>
                <c:pt idx="13">
                  <c:v>0.358974358974359</c:v>
                </c:pt>
                <c:pt idx="14">
                  <c:v>0.38461538461538464</c:v>
                </c:pt>
                <c:pt idx="15">
                  <c:v>0.41025641025641024</c:v>
                </c:pt>
                <c:pt idx="16">
                  <c:v>0.4358974358974359</c:v>
                </c:pt>
                <c:pt idx="17">
                  <c:v>0.46153846153846156</c:v>
                </c:pt>
                <c:pt idx="18">
                  <c:v>0.48717948717948717</c:v>
                </c:pt>
                <c:pt idx="19">
                  <c:v>0.5128205128205128</c:v>
                </c:pt>
                <c:pt idx="20">
                  <c:v>0.5384615384615384</c:v>
                </c:pt>
                <c:pt idx="21">
                  <c:v>0.5641025641025641</c:v>
                </c:pt>
                <c:pt idx="22">
                  <c:v>0.5897435897435898</c:v>
                </c:pt>
                <c:pt idx="23">
                  <c:v>0.6153846153846154</c:v>
                </c:pt>
                <c:pt idx="24">
                  <c:v>0.6410256410256411</c:v>
                </c:pt>
                <c:pt idx="25">
                  <c:v>0.6666666666666666</c:v>
                </c:pt>
                <c:pt idx="26">
                  <c:v>0.6923076923076923</c:v>
                </c:pt>
                <c:pt idx="27">
                  <c:v>0.717948717948718</c:v>
                </c:pt>
                <c:pt idx="28">
                  <c:v>0.7435897435897436</c:v>
                </c:pt>
                <c:pt idx="29">
                  <c:v>0.7692307692307693</c:v>
                </c:pt>
                <c:pt idx="30">
                  <c:v>0.7948717948717948</c:v>
                </c:pt>
                <c:pt idx="31">
                  <c:v>0.8205128205128205</c:v>
                </c:pt>
                <c:pt idx="32">
                  <c:v>0.8461538461538461</c:v>
                </c:pt>
                <c:pt idx="33">
                  <c:v>0.8717948717948718</c:v>
                </c:pt>
                <c:pt idx="34">
                  <c:v>0.8974358974358975</c:v>
                </c:pt>
                <c:pt idx="35">
                  <c:v>0.9230769230769231</c:v>
                </c:pt>
                <c:pt idx="36">
                  <c:v>0.9487179487179487</c:v>
                </c:pt>
                <c:pt idx="37">
                  <c:v>0.9743589743589743</c:v>
                </c:pt>
                <c:pt idx="38">
                  <c:v>1</c:v>
                </c:pt>
              </c:numCache>
            </c:numRef>
          </c:yVal>
          <c:smooth val="0"/>
        </c:ser>
        <c:axId val="4632653"/>
        <c:axId val="41693878"/>
      </c:scatterChart>
      <c:valAx>
        <c:axId val="463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93878"/>
        <c:crosses val="autoZero"/>
        <c:crossBetween val="midCat"/>
        <c:dispUnits/>
      </c:valAx>
      <c:valAx>
        <c:axId val="416938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265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FF/SDA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2005"/>
          <c:w val="0.906"/>
          <c:h val="0.6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Lit>
              <c:ptCount val="10"/>
              <c:pt idx="0">
                <c:v>28.333333333333332</c:v>
              </c:pt>
              <c:pt idx="1">
                <c:v>100</c:v>
              </c:pt>
              <c:pt idx="2">
                <c:v>102</c:v>
              </c:pt>
              <c:pt idx="3">
                <c:v>107</c:v>
              </c:pt>
              <c:pt idx="4">
                <c:v>116.66666666666667</c:v>
              </c:pt>
              <c:pt idx="5">
                <c:v>126.66666666666667</c:v>
              </c:pt>
              <c:pt idx="6">
                <c:v>917.3333333333334</c:v>
              </c:pt>
              <c:pt idx="7">
                <c:v>1500</c:v>
              </c:pt>
              <c:pt idx="8">
                <c:v>1700</c:v>
              </c:pt>
              <c:pt idx="9">
                <c:v>1892.6666666666667</c:v>
              </c:pt>
            </c:numLit>
          </c:xVal>
          <c:yVal>
            <c:numLit>
              <c:ptCount val="10"/>
              <c:pt idx="0">
                <c:v>0.014809115653708226</c:v>
              </c:pt>
              <c:pt idx="1">
                <c:v>0.48191428027157074</c:v>
              </c:pt>
              <c:pt idx="2">
                <c:v>0.045625178026275554</c:v>
              </c:pt>
              <c:pt idx="3">
                <c:v>0.40541510935812264</c:v>
              </c:pt>
              <c:pt idx="4">
                <c:v>0.4094731295057033</c:v>
              </c:pt>
              <c:pt idx="5">
                <c:v>0.3831656006133975</c:v>
              </c:pt>
              <c:pt idx="6">
                <c:v>3.634391268829867</c:v>
              </c:pt>
              <c:pt idx="7">
                <c:v>3.696911625811199</c:v>
              </c:pt>
              <c:pt idx="8">
                <c:v>2.7582914175389566</c:v>
              </c:pt>
              <c:pt idx="9">
                <c:v>4.431216878864651</c:v>
              </c:pt>
            </c:numLit>
          </c:yVal>
          <c:smooth val="0"/>
        </c:ser>
        <c:axId val="5840193"/>
        <c:axId val="52561738"/>
      </c:scatterChart>
      <c:valAx>
        <c:axId val="5840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61738"/>
        <c:crosses val="autoZero"/>
        <c:crossBetween val="midCat"/>
        <c:dispUnits/>
      </c:valAx>
      <c:valAx>
        <c:axId val="525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-LN(1-F</a:t>
                </a:r>
                <a:r>
                  <a:rPr lang="en-US" cap="none" sz="1075" b="1" i="0" u="none" baseline="-25000">
                    <a:latin typeface="Arial"/>
                    <a:ea typeface="Arial"/>
                    <a:cs typeface="Arial"/>
                  </a:rPr>
                  <a:t>removed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0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Fabric Filter/Spray Dryer Absorber
F</a:t>
            </a:r>
            <a:r>
              <a:rPr lang="en-US" cap="none" sz="1075" b="1" i="0" u="none" baseline="-25000">
                <a:latin typeface="Arial"/>
                <a:ea typeface="Arial"/>
                <a:cs typeface="Arial"/>
              </a:rPr>
              <a:t>removed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= 1 - 0.8188*exp(-0.002164*Cl(ppm)); R</a:t>
            </a:r>
            <a:r>
              <a:rPr lang="en-US" cap="none" sz="1075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=0.935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0"/>
              <c:pt idx="0">
                <c:v>28.333333333333332</c:v>
              </c:pt>
              <c:pt idx="1">
                <c:v>100</c:v>
              </c:pt>
              <c:pt idx="2">
                <c:v>102</c:v>
              </c:pt>
              <c:pt idx="3">
                <c:v>107</c:v>
              </c:pt>
              <c:pt idx="4">
                <c:v>116.66666666666667</c:v>
              </c:pt>
              <c:pt idx="5">
                <c:v>126.66666666666667</c:v>
              </c:pt>
              <c:pt idx="6">
                <c:v>917.3333333333334</c:v>
              </c:pt>
              <c:pt idx="7">
                <c:v>1500</c:v>
              </c:pt>
              <c:pt idx="8">
                <c:v>1700</c:v>
              </c:pt>
              <c:pt idx="9">
                <c:v>1892.6666666666667</c:v>
              </c:pt>
            </c:numLit>
          </c:xVal>
          <c:yVal>
            <c:numLit>
              <c:ptCount val="10"/>
              <c:pt idx="0">
                <c:v>0.0147</c:v>
              </c:pt>
              <c:pt idx="1">
                <c:v>0.3824</c:v>
              </c:pt>
              <c:pt idx="2">
                <c:v>0.0446</c:v>
              </c:pt>
              <c:pt idx="3">
                <c:v>0.3333</c:v>
              </c:pt>
              <c:pt idx="4">
                <c:v>0.336</c:v>
              </c:pt>
              <c:pt idx="5">
                <c:v>0.3183</c:v>
              </c:pt>
              <c:pt idx="6">
                <c:v>0.9736</c:v>
              </c:pt>
              <c:pt idx="7">
                <c:v>0.9752</c:v>
              </c:pt>
              <c:pt idx="8">
                <c:v>0.9366</c:v>
              </c:pt>
              <c:pt idx="9">
                <c:v>0.9881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0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2">
                <c:v>Removal/Cl Curve</c:v>
              </c:pt>
              <c:pt idx="13">
                <c:v>Cl (ppm)</c:v>
              </c:pt>
              <c:pt idx="14">
                <c:v>0</c:v>
              </c:pt>
              <c:pt idx="15">
                <c:v>5</c:v>
              </c:pt>
              <c:pt idx="16">
                <c:v>10</c:v>
              </c:pt>
              <c:pt idx="17">
                <c:v>15</c:v>
              </c:pt>
              <c:pt idx="18">
                <c:v>20</c:v>
              </c:pt>
              <c:pt idx="19">
                <c:v>25</c:v>
              </c:pt>
              <c:pt idx="20">
                <c:v>30</c:v>
              </c:pt>
              <c:pt idx="21">
                <c:v>35</c:v>
              </c:pt>
              <c:pt idx="22">
                <c:v>40</c:v>
              </c:pt>
              <c:pt idx="23">
                <c:v>45</c:v>
              </c:pt>
              <c:pt idx="24">
                <c:v>50</c:v>
              </c:pt>
              <c:pt idx="25">
                <c:v>55</c:v>
              </c:pt>
              <c:pt idx="26">
                <c:v>60</c:v>
              </c:pt>
              <c:pt idx="27">
                <c:v>65</c:v>
              </c:pt>
              <c:pt idx="28">
                <c:v>70</c:v>
              </c:pt>
              <c:pt idx="29">
                <c:v>75</c:v>
              </c:pt>
              <c:pt idx="30">
                <c:v>80</c:v>
              </c:pt>
              <c:pt idx="31">
                <c:v>85</c:v>
              </c:pt>
              <c:pt idx="32">
                <c:v>90</c:v>
              </c:pt>
              <c:pt idx="33">
                <c:v>95</c:v>
              </c:pt>
              <c:pt idx="34">
                <c:v>100</c:v>
              </c:pt>
              <c:pt idx="35">
                <c:v>105</c:v>
              </c:pt>
              <c:pt idx="36">
                <c:v>110</c:v>
              </c:pt>
              <c:pt idx="37">
                <c:v>115</c:v>
              </c:pt>
              <c:pt idx="38">
                <c:v>120</c:v>
              </c:pt>
              <c:pt idx="39">
                <c:v>125</c:v>
              </c:pt>
              <c:pt idx="40">
                <c:v>130</c:v>
              </c:pt>
              <c:pt idx="41">
                <c:v>135</c:v>
              </c:pt>
              <c:pt idx="42">
                <c:v>140</c:v>
              </c:pt>
              <c:pt idx="43">
                <c:v>145</c:v>
              </c:pt>
              <c:pt idx="44">
                <c:v>150</c:v>
              </c:pt>
              <c:pt idx="45">
                <c:v>155</c:v>
              </c:pt>
              <c:pt idx="46">
                <c:v>160</c:v>
              </c:pt>
              <c:pt idx="47">
                <c:v>165</c:v>
              </c:pt>
              <c:pt idx="48">
                <c:v>170</c:v>
              </c:pt>
              <c:pt idx="49">
                <c:v>175</c:v>
              </c:pt>
              <c:pt idx="50">
                <c:v>180</c:v>
              </c:pt>
              <c:pt idx="51">
                <c:v>185</c:v>
              </c:pt>
              <c:pt idx="52">
                <c:v>190</c:v>
              </c:pt>
              <c:pt idx="53">
                <c:v>195</c:v>
              </c:pt>
              <c:pt idx="54">
                <c:v>200</c:v>
              </c:pt>
              <c:pt idx="55">
                <c:v>205</c:v>
              </c:pt>
              <c:pt idx="56">
                <c:v>210</c:v>
              </c:pt>
              <c:pt idx="57">
                <c:v>215</c:v>
              </c:pt>
              <c:pt idx="58">
                <c:v>220</c:v>
              </c:pt>
              <c:pt idx="59">
                <c:v>225</c:v>
              </c:pt>
              <c:pt idx="60">
                <c:v>230</c:v>
              </c:pt>
              <c:pt idx="61">
                <c:v>235</c:v>
              </c:pt>
              <c:pt idx="62">
                <c:v>240</c:v>
              </c:pt>
              <c:pt idx="63">
                <c:v>245</c:v>
              </c:pt>
              <c:pt idx="64">
                <c:v>250</c:v>
              </c:pt>
              <c:pt idx="65">
                <c:v>255</c:v>
              </c:pt>
              <c:pt idx="66">
                <c:v>260</c:v>
              </c:pt>
              <c:pt idx="67">
                <c:v>265</c:v>
              </c:pt>
              <c:pt idx="68">
                <c:v>270</c:v>
              </c:pt>
              <c:pt idx="69">
                <c:v>275</c:v>
              </c:pt>
              <c:pt idx="70">
                <c:v>280</c:v>
              </c:pt>
              <c:pt idx="71">
                <c:v>285</c:v>
              </c:pt>
              <c:pt idx="72">
                <c:v>290</c:v>
              </c:pt>
              <c:pt idx="73">
                <c:v>295</c:v>
              </c:pt>
              <c:pt idx="74">
                <c:v>300</c:v>
              </c:pt>
              <c:pt idx="75">
                <c:v>305</c:v>
              </c:pt>
              <c:pt idx="76">
                <c:v>310</c:v>
              </c:pt>
              <c:pt idx="77">
                <c:v>315</c:v>
              </c:pt>
              <c:pt idx="78">
                <c:v>320</c:v>
              </c:pt>
              <c:pt idx="79">
                <c:v>325</c:v>
              </c:pt>
              <c:pt idx="80">
                <c:v>330</c:v>
              </c:pt>
              <c:pt idx="81">
                <c:v>335</c:v>
              </c:pt>
              <c:pt idx="82">
                <c:v>340</c:v>
              </c:pt>
              <c:pt idx="83">
                <c:v>345</c:v>
              </c:pt>
              <c:pt idx="84">
                <c:v>350</c:v>
              </c:pt>
              <c:pt idx="85">
                <c:v>355</c:v>
              </c:pt>
              <c:pt idx="86">
                <c:v>360</c:v>
              </c:pt>
              <c:pt idx="87">
                <c:v>365</c:v>
              </c:pt>
              <c:pt idx="88">
                <c:v>370</c:v>
              </c:pt>
              <c:pt idx="89">
                <c:v>375</c:v>
              </c:pt>
              <c:pt idx="90">
                <c:v>380</c:v>
              </c:pt>
              <c:pt idx="91">
                <c:v>385</c:v>
              </c:pt>
              <c:pt idx="92">
                <c:v>390</c:v>
              </c:pt>
              <c:pt idx="93">
                <c:v>395</c:v>
              </c:pt>
              <c:pt idx="94">
                <c:v>400</c:v>
              </c:pt>
              <c:pt idx="95">
                <c:v>405</c:v>
              </c:pt>
              <c:pt idx="96">
                <c:v>410</c:v>
              </c:pt>
              <c:pt idx="97">
                <c:v>415</c:v>
              </c:pt>
              <c:pt idx="98">
                <c:v>420</c:v>
              </c:pt>
              <c:pt idx="99">
                <c:v>425</c:v>
              </c:pt>
              <c:pt idx="100">
                <c:v>430</c:v>
              </c:pt>
              <c:pt idx="101">
                <c:v>435</c:v>
              </c:pt>
              <c:pt idx="102">
                <c:v>440</c:v>
              </c:pt>
              <c:pt idx="103">
                <c:v>445</c:v>
              </c:pt>
              <c:pt idx="104">
                <c:v>450</c:v>
              </c:pt>
              <c:pt idx="105">
                <c:v>455</c:v>
              </c:pt>
              <c:pt idx="106">
                <c:v>460</c:v>
              </c:pt>
              <c:pt idx="107">
                <c:v>465</c:v>
              </c:pt>
              <c:pt idx="108">
                <c:v>470</c:v>
              </c:pt>
              <c:pt idx="109">
                <c:v>475</c:v>
              </c:pt>
              <c:pt idx="110">
                <c:v>480</c:v>
              </c:pt>
              <c:pt idx="111">
                <c:v>485</c:v>
              </c:pt>
              <c:pt idx="112">
                <c:v>490</c:v>
              </c:pt>
              <c:pt idx="113">
                <c:v>495</c:v>
              </c:pt>
              <c:pt idx="114">
                <c:v>500</c:v>
              </c:pt>
              <c:pt idx="115">
                <c:v>505</c:v>
              </c:pt>
              <c:pt idx="116">
                <c:v>510</c:v>
              </c:pt>
              <c:pt idx="117">
                <c:v>515</c:v>
              </c:pt>
              <c:pt idx="118">
                <c:v>520</c:v>
              </c:pt>
              <c:pt idx="119">
                <c:v>525</c:v>
              </c:pt>
              <c:pt idx="120">
                <c:v>530</c:v>
              </c:pt>
              <c:pt idx="121">
                <c:v>535</c:v>
              </c:pt>
              <c:pt idx="122">
                <c:v>540</c:v>
              </c:pt>
              <c:pt idx="123">
                <c:v>545</c:v>
              </c:pt>
              <c:pt idx="124">
                <c:v>550</c:v>
              </c:pt>
              <c:pt idx="125">
                <c:v>555</c:v>
              </c:pt>
              <c:pt idx="126">
                <c:v>560</c:v>
              </c:pt>
              <c:pt idx="127">
                <c:v>565</c:v>
              </c:pt>
              <c:pt idx="128">
                <c:v>570</c:v>
              </c:pt>
              <c:pt idx="129">
                <c:v>575</c:v>
              </c:pt>
              <c:pt idx="130">
                <c:v>580</c:v>
              </c:pt>
              <c:pt idx="131">
                <c:v>585</c:v>
              </c:pt>
              <c:pt idx="132">
                <c:v>590</c:v>
              </c:pt>
              <c:pt idx="133">
                <c:v>595</c:v>
              </c:pt>
              <c:pt idx="134">
                <c:v>600</c:v>
              </c:pt>
              <c:pt idx="135">
                <c:v>605</c:v>
              </c:pt>
              <c:pt idx="136">
                <c:v>610</c:v>
              </c:pt>
              <c:pt idx="137">
                <c:v>615</c:v>
              </c:pt>
              <c:pt idx="138">
                <c:v>620</c:v>
              </c:pt>
              <c:pt idx="139">
                <c:v>625</c:v>
              </c:pt>
              <c:pt idx="140">
                <c:v>630</c:v>
              </c:pt>
              <c:pt idx="141">
                <c:v>635</c:v>
              </c:pt>
              <c:pt idx="142">
                <c:v>640</c:v>
              </c:pt>
              <c:pt idx="143">
                <c:v>645</c:v>
              </c:pt>
              <c:pt idx="144">
                <c:v>650</c:v>
              </c:pt>
              <c:pt idx="145">
                <c:v>655</c:v>
              </c:pt>
              <c:pt idx="146">
                <c:v>660</c:v>
              </c:pt>
              <c:pt idx="147">
                <c:v>665</c:v>
              </c:pt>
              <c:pt idx="148">
                <c:v>670</c:v>
              </c:pt>
              <c:pt idx="149">
                <c:v>675</c:v>
              </c:pt>
              <c:pt idx="150">
                <c:v>680</c:v>
              </c:pt>
              <c:pt idx="151">
                <c:v>685</c:v>
              </c:pt>
              <c:pt idx="152">
                <c:v>690</c:v>
              </c:pt>
              <c:pt idx="153">
                <c:v>695</c:v>
              </c:pt>
              <c:pt idx="154">
                <c:v>700</c:v>
              </c:pt>
              <c:pt idx="155">
                <c:v>705</c:v>
              </c:pt>
              <c:pt idx="156">
                <c:v>710</c:v>
              </c:pt>
              <c:pt idx="157">
                <c:v>715</c:v>
              </c:pt>
              <c:pt idx="158">
                <c:v>720</c:v>
              </c:pt>
              <c:pt idx="159">
                <c:v>725</c:v>
              </c:pt>
              <c:pt idx="160">
                <c:v>730</c:v>
              </c:pt>
              <c:pt idx="161">
                <c:v>735</c:v>
              </c:pt>
              <c:pt idx="162">
                <c:v>740</c:v>
              </c:pt>
              <c:pt idx="163">
                <c:v>745</c:v>
              </c:pt>
              <c:pt idx="164">
                <c:v>750</c:v>
              </c:pt>
              <c:pt idx="165">
                <c:v>755</c:v>
              </c:pt>
              <c:pt idx="166">
                <c:v>760</c:v>
              </c:pt>
              <c:pt idx="167">
                <c:v>765</c:v>
              </c:pt>
              <c:pt idx="168">
                <c:v>770</c:v>
              </c:pt>
              <c:pt idx="169">
                <c:v>775</c:v>
              </c:pt>
              <c:pt idx="170">
                <c:v>780</c:v>
              </c:pt>
              <c:pt idx="171">
                <c:v>785</c:v>
              </c:pt>
              <c:pt idx="172">
                <c:v>790</c:v>
              </c:pt>
              <c:pt idx="173">
                <c:v>795</c:v>
              </c:pt>
              <c:pt idx="174">
                <c:v>800</c:v>
              </c:pt>
              <c:pt idx="175">
                <c:v>805</c:v>
              </c:pt>
              <c:pt idx="176">
                <c:v>810</c:v>
              </c:pt>
              <c:pt idx="177">
                <c:v>815</c:v>
              </c:pt>
              <c:pt idx="178">
                <c:v>820</c:v>
              </c:pt>
              <c:pt idx="179">
                <c:v>825</c:v>
              </c:pt>
              <c:pt idx="180">
                <c:v>830</c:v>
              </c:pt>
              <c:pt idx="181">
                <c:v>835</c:v>
              </c:pt>
              <c:pt idx="182">
                <c:v>840</c:v>
              </c:pt>
              <c:pt idx="183">
                <c:v>845</c:v>
              </c:pt>
              <c:pt idx="184">
                <c:v>850</c:v>
              </c:pt>
              <c:pt idx="185">
                <c:v>855</c:v>
              </c:pt>
              <c:pt idx="186">
                <c:v>860</c:v>
              </c:pt>
              <c:pt idx="187">
                <c:v>865</c:v>
              </c:pt>
              <c:pt idx="188">
                <c:v>870</c:v>
              </c:pt>
              <c:pt idx="189">
                <c:v>875</c:v>
              </c:pt>
              <c:pt idx="190">
                <c:v>880</c:v>
              </c:pt>
              <c:pt idx="191">
                <c:v>885</c:v>
              </c:pt>
              <c:pt idx="192">
                <c:v>890</c:v>
              </c:pt>
              <c:pt idx="193">
                <c:v>895</c:v>
              </c:pt>
              <c:pt idx="194">
                <c:v>900</c:v>
              </c:pt>
              <c:pt idx="195">
                <c:v>905</c:v>
              </c:pt>
              <c:pt idx="196">
                <c:v>910</c:v>
              </c:pt>
              <c:pt idx="197">
                <c:v>915</c:v>
              </c:pt>
              <c:pt idx="198">
                <c:v>920</c:v>
              </c:pt>
              <c:pt idx="199">
                <c:v>925</c:v>
              </c:pt>
              <c:pt idx="200">
                <c:v>930</c:v>
              </c:pt>
              <c:pt idx="201">
                <c:v>935</c:v>
              </c:pt>
              <c:pt idx="202">
                <c:v>940</c:v>
              </c:pt>
              <c:pt idx="203">
                <c:v>945</c:v>
              </c:pt>
              <c:pt idx="204">
                <c:v>950</c:v>
              </c:pt>
              <c:pt idx="205">
                <c:v>955</c:v>
              </c:pt>
              <c:pt idx="206">
                <c:v>960</c:v>
              </c:pt>
              <c:pt idx="207">
                <c:v>965</c:v>
              </c:pt>
              <c:pt idx="208">
                <c:v>970</c:v>
              </c:pt>
              <c:pt idx="209">
                <c:v>975</c:v>
              </c:pt>
              <c:pt idx="210">
                <c:v>980</c:v>
              </c:pt>
              <c:pt idx="211">
                <c:v>985</c:v>
              </c:pt>
              <c:pt idx="212">
                <c:v>990</c:v>
              </c:pt>
              <c:pt idx="213">
                <c:v>995</c:v>
              </c:pt>
              <c:pt idx="214">
                <c:v>1000</c:v>
              </c:pt>
              <c:pt idx="215">
                <c:v>1005</c:v>
              </c:pt>
              <c:pt idx="216">
                <c:v>1010</c:v>
              </c:pt>
              <c:pt idx="217">
                <c:v>1015</c:v>
              </c:pt>
              <c:pt idx="218">
                <c:v>1020</c:v>
              </c:pt>
              <c:pt idx="219">
                <c:v>1025</c:v>
              </c:pt>
              <c:pt idx="220">
                <c:v>1030</c:v>
              </c:pt>
              <c:pt idx="221">
                <c:v>1035</c:v>
              </c:pt>
              <c:pt idx="222">
                <c:v>1040</c:v>
              </c:pt>
              <c:pt idx="223">
                <c:v>1045</c:v>
              </c:pt>
              <c:pt idx="224">
                <c:v>1050</c:v>
              </c:pt>
              <c:pt idx="225">
                <c:v>1055</c:v>
              </c:pt>
              <c:pt idx="226">
                <c:v>1060</c:v>
              </c:pt>
              <c:pt idx="227">
                <c:v>1065</c:v>
              </c:pt>
              <c:pt idx="228">
                <c:v>1070</c:v>
              </c:pt>
              <c:pt idx="229">
                <c:v>1075</c:v>
              </c:pt>
              <c:pt idx="230">
                <c:v>1080</c:v>
              </c:pt>
              <c:pt idx="231">
                <c:v>1085</c:v>
              </c:pt>
              <c:pt idx="232">
                <c:v>1090</c:v>
              </c:pt>
              <c:pt idx="233">
                <c:v>1095</c:v>
              </c:pt>
              <c:pt idx="234">
                <c:v>1100</c:v>
              </c:pt>
              <c:pt idx="235">
                <c:v>1105</c:v>
              </c:pt>
              <c:pt idx="236">
                <c:v>1110</c:v>
              </c:pt>
              <c:pt idx="237">
                <c:v>1115</c:v>
              </c:pt>
              <c:pt idx="238">
                <c:v>1120</c:v>
              </c:pt>
              <c:pt idx="239">
                <c:v>1125</c:v>
              </c:pt>
              <c:pt idx="240">
                <c:v>1130</c:v>
              </c:pt>
              <c:pt idx="241">
                <c:v>1135</c:v>
              </c:pt>
              <c:pt idx="242">
                <c:v>1140</c:v>
              </c:pt>
              <c:pt idx="243">
                <c:v>1145</c:v>
              </c:pt>
              <c:pt idx="244">
                <c:v>1150</c:v>
              </c:pt>
              <c:pt idx="245">
                <c:v>1155</c:v>
              </c:pt>
              <c:pt idx="246">
                <c:v>1160</c:v>
              </c:pt>
              <c:pt idx="247">
                <c:v>1165</c:v>
              </c:pt>
              <c:pt idx="248">
                <c:v>1170</c:v>
              </c:pt>
              <c:pt idx="249">
                <c:v>1175</c:v>
              </c:pt>
              <c:pt idx="250">
                <c:v>1180</c:v>
              </c:pt>
              <c:pt idx="251">
                <c:v>1185</c:v>
              </c:pt>
              <c:pt idx="252">
                <c:v>1190</c:v>
              </c:pt>
              <c:pt idx="253">
                <c:v>1195</c:v>
              </c:pt>
              <c:pt idx="254">
                <c:v>1200</c:v>
              </c:pt>
              <c:pt idx="255">
                <c:v>1205</c:v>
              </c:pt>
              <c:pt idx="256">
                <c:v>1210</c:v>
              </c:pt>
              <c:pt idx="257">
                <c:v>1215</c:v>
              </c:pt>
              <c:pt idx="258">
                <c:v>1220</c:v>
              </c:pt>
              <c:pt idx="259">
                <c:v>1225</c:v>
              </c:pt>
              <c:pt idx="260">
                <c:v>1230</c:v>
              </c:pt>
              <c:pt idx="261">
                <c:v>1235</c:v>
              </c:pt>
              <c:pt idx="262">
                <c:v>1240</c:v>
              </c:pt>
              <c:pt idx="263">
                <c:v>1245</c:v>
              </c:pt>
              <c:pt idx="264">
                <c:v>1250</c:v>
              </c:pt>
              <c:pt idx="265">
                <c:v>1255</c:v>
              </c:pt>
              <c:pt idx="266">
                <c:v>1260</c:v>
              </c:pt>
              <c:pt idx="267">
                <c:v>1265</c:v>
              </c:pt>
              <c:pt idx="268">
                <c:v>1270</c:v>
              </c:pt>
              <c:pt idx="269">
                <c:v>1275</c:v>
              </c:pt>
              <c:pt idx="270">
                <c:v>1280</c:v>
              </c:pt>
              <c:pt idx="271">
                <c:v>1285</c:v>
              </c:pt>
              <c:pt idx="272">
                <c:v>1290</c:v>
              </c:pt>
              <c:pt idx="273">
                <c:v>1295</c:v>
              </c:pt>
              <c:pt idx="274">
                <c:v>1300</c:v>
              </c:pt>
              <c:pt idx="275">
                <c:v>1305</c:v>
              </c:pt>
              <c:pt idx="276">
                <c:v>1310</c:v>
              </c:pt>
              <c:pt idx="277">
                <c:v>1315</c:v>
              </c:pt>
              <c:pt idx="278">
                <c:v>1320</c:v>
              </c:pt>
              <c:pt idx="279">
                <c:v>1325</c:v>
              </c:pt>
              <c:pt idx="280">
                <c:v>1330</c:v>
              </c:pt>
              <c:pt idx="281">
                <c:v>1335</c:v>
              </c:pt>
              <c:pt idx="282">
                <c:v>1340</c:v>
              </c:pt>
              <c:pt idx="283">
                <c:v>1345</c:v>
              </c:pt>
              <c:pt idx="284">
                <c:v>1350</c:v>
              </c:pt>
              <c:pt idx="285">
                <c:v>1355</c:v>
              </c:pt>
              <c:pt idx="286">
                <c:v>1360</c:v>
              </c:pt>
              <c:pt idx="287">
                <c:v>1365</c:v>
              </c:pt>
              <c:pt idx="288">
                <c:v>1370</c:v>
              </c:pt>
              <c:pt idx="289">
                <c:v>1375</c:v>
              </c:pt>
              <c:pt idx="290">
                <c:v>1380</c:v>
              </c:pt>
              <c:pt idx="291">
                <c:v>1385</c:v>
              </c:pt>
              <c:pt idx="292">
                <c:v>1390</c:v>
              </c:pt>
              <c:pt idx="293">
                <c:v>1395</c:v>
              </c:pt>
              <c:pt idx="294">
                <c:v>1400</c:v>
              </c:pt>
              <c:pt idx="295">
                <c:v>1405</c:v>
              </c:pt>
              <c:pt idx="296">
                <c:v>1410</c:v>
              </c:pt>
              <c:pt idx="297">
                <c:v>1415</c:v>
              </c:pt>
              <c:pt idx="298">
                <c:v>1420</c:v>
              </c:pt>
              <c:pt idx="299">
                <c:v>1425</c:v>
              </c:pt>
              <c:pt idx="300">
                <c:v>1430</c:v>
              </c:pt>
              <c:pt idx="301">
                <c:v>1435</c:v>
              </c:pt>
              <c:pt idx="302">
                <c:v>1440</c:v>
              </c:pt>
              <c:pt idx="303">
                <c:v>1445</c:v>
              </c:pt>
              <c:pt idx="304">
                <c:v>1450</c:v>
              </c:pt>
              <c:pt idx="305">
                <c:v>1455</c:v>
              </c:pt>
              <c:pt idx="306">
                <c:v>1460</c:v>
              </c:pt>
              <c:pt idx="307">
                <c:v>1465</c:v>
              </c:pt>
              <c:pt idx="308">
                <c:v>1470</c:v>
              </c:pt>
              <c:pt idx="309">
                <c:v>1475</c:v>
              </c:pt>
              <c:pt idx="310">
                <c:v>1480</c:v>
              </c:pt>
              <c:pt idx="311">
                <c:v>1485</c:v>
              </c:pt>
              <c:pt idx="312">
                <c:v>1490</c:v>
              </c:pt>
              <c:pt idx="313">
                <c:v>1495</c:v>
              </c:pt>
              <c:pt idx="314">
                <c:v>1500</c:v>
              </c:pt>
              <c:pt idx="315">
                <c:v>1505</c:v>
              </c:pt>
              <c:pt idx="316">
                <c:v>1510</c:v>
              </c:pt>
              <c:pt idx="317">
                <c:v>1515</c:v>
              </c:pt>
              <c:pt idx="318">
                <c:v>1520</c:v>
              </c:pt>
              <c:pt idx="319">
                <c:v>1525</c:v>
              </c:pt>
              <c:pt idx="320">
                <c:v>1530</c:v>
              </c:pt>
              <c:pt idx="321">
                <c:v>1535</c:v>
              </c:pt>
              <c:pt idx="322">
                <c:v>1540</c:v>
              </c:pt>
              <c:pt idx="323">
                <c:v>1545</c:v>
              </c:pt>
              <c:pt idx="324">
                <c:v>1550</c:v>
              </c:pt>
              <c:pt idx="325">
                <c:v>1555</c:v>
              </c:pt>
              <c:pt idx="326">
                <c:v>1560</c:v>
              </c:pt>
              <c:pt idx="327">
                <c:v>1565</c:v>
              </c:pt>
              <c:pt idx="328">
                <c:v>1570</c:v>
              </c:pt>
              <c:pt idx="329">
                <c:v>1575</c:v>
              </c:pt>
              <c:pt idx="330">
                <c:v>1580</c:v>
              </c:pt>
              <c:pt idx="331">
                <c:v>1585</c:v>
              </c:pt>
              <c:pt idx="332">
                <c:v>1590</c:v>
              </c:pt>
              <c:pt idx="333">
                <c:v>1595</c:v>
              </c:pt>
              <c:pt idx="334">
                <c:v>1600</c:v>
              </c:pt>
              <c:pt idx="335">
                <c:v>1605</c:v>
              </c:pt>
              <c:pt idx="336">
                <c:v>1610</c:v>
              </c:pt>
              <c:pt idx="337">
                <c:v>1615</c:v>
              </c:pt>
              <c:pt idx="338">
                <c:v>1620</c:v>
              </c:pt>
              <c:pt idx="339">
                <c:v>1625</c:v>
              </c:pt>
              <c:pt idx="340">
                <c:v>1630</c:v>
              </c:pt>
              <c:pt idx="341">
                <c:v>1635</c:v>
              </c:pt>
              <c:pt idx="342">
                <c:v>1640</c:v>
              </c:pt>
              <c:pt idx="343">
                <c:v>1645</c:v>
              </c:pt>
              <c:pt idx="344">
                <c:v>1650</c:v>
              </c:pt>
              <c:pt idx="345">
                <c:v>1655</c:v>
              </c:pt>
              <c:pt idx="346">
                <c:v>1660</c:v>
              </c:pt>
              <c:pt idx="347">
                <c:v>1665</c:v>
              </c:pt>
              <c:pt idx="348">
                <c:v>1670</c:v>
              </c:pt>
              <c:pt idx="349">
                <c:v>1675</c:v>
              </c:pt>
              <c:pt idx="350">
                <c:v>1680</c:v>
              </c:pt>
              <c:pt idx="351">
                <c:v>1685</c:v>
              </c:pt>
              <c:pt idx="352">
                <c:v>1690</c:v>
              </c:pt>
              <c:pt idx="353">
                <c:v>1695</c:v>
              </c:pt>
              <c:pt idx="354">
                <c:v>1700</c:v>
              </c:pt>
              <c:pt idx="355">
                <c:v>1705</c:v>
              </c:pt>
              <c:pt idx="356">
                <c:v>1710</c:v>
              </c:pt>
              <c:pt idx="357">
                <c:v>1715</c:v>
              </c:pt>
              <c:pt idx="358">
                <c:v>1720</c:v>
              </c:pt>
              <c:pt idx="359">
                <c:v>1725</c:v>
              </c:pt>
              <c:pt idx="360">
                <c:v>1730</c:v>
              </c:pt>
              <c:pt idx="361">
                <c:v>1735</c:v>
              </c:pt>
              <c:pt idx="362">
                <c:v>1740</c:v>
              </c:pt>
              <c:pt idx="363">
                <c:v>1745</c:v>
              </c:pt>
              <c:pt idx="364">
                <c:v>1750</c:v>
              </c:pt>
              <c:pt idx="365">
                <c:v>1755</c:v>
              </c:pt>
              <c:pt idx="366">
                <c:v>1760</c:v>
              </c:pt>
              <c:pt idx="367">
                <c:v>1765</c:v>
              </c:pt>
              <c:pt idx="368">
                <c:v>1770</c:v>
              </c:pt>
              <c:pt idx="369">
                <c:v>1775</c:v>
              </c:pt>
              <c:pt idx="370">
                <c:v>1780</c:v>
              </c:pt>
              <c:pt idx="371">
                <c:v>1785</c:v>
              </c:pt>
              <c:pt idx="372">
                <c:v>1790</c:v>
              </c:pt>
              <c:pt idx="373">
                <c:v>1795</c:v>
              </c:pt>
              <c:pt idx="374">
                <c:v>1800</c:v>
              </c:pt>
              <c:pt idx="375">
                <c:v>1805</c:v>
              </c:pt>
              <c:pt idx="376">
                <c:v>1810</c:v>
              </c:pt>
              <c:pt idx="377">
                <c:v>1815</c:v>
              </c:pt>
              <c:pt idx="378">
                <c:v>1820</c:v>
              </c:pt>
              <c:pt idx="379">
                <c:v>1825</c:v>
              </c:pt>
              <c:pt idx="380">
                <c:v>1830</c:v>
              </c:pt>
              <c:pt idx="381">
                <c:v>1835</c:v>
              </c:pt>
              <c:pt idx="382">
                <c:v>1840</c:v>
              </c:pt>
              <c:pt idx="383">
                <c:v>1845</c:v>
              </c:pt>
              <c:pt idx="384">
                <c:v>1850</c:v>
              </c:pt>
              <c:pt idx="385">
                <c:v>1855</c:v>
              </c:pt>
              <c:pt idx="386">
                <c:v>1860</c:v>
              </c:pt>
              <c:pt idx="387">
                <c:v>1865</c:v>
              </c:pt>
              <c:pt idx="388">
                <c:v>1870</c:v>
              </c:pt>
              <c:pt idx="389">
                <c:v>1875</c:v>
              </c:pt>
              <c:pt idx="390">
                <c:v>1880</c:v>
              </c:pt>
              <c:pt idx="391">
                <c:v>1885</c:v>
              </c:pt>
              <c:pt idx="392">
                <c:v>1890</c:v>
              </c:pt>
              <c:pt idx="393">
                <c:v>1895</c:v>
              </c:pt>
              <c:pt idx="394">
                <c:v>1900</c:v>
              </c:pt>
              <c:pt idx="395">
                <c:v>1905</c:v>
              </c:pt>
              <c:pt idx="396">
                <c:v>1910</c:v>
              </c:pt>
              <c:pt idx="397">
                <c:v>1915</c:v>
              </c:pt>
              <c:pt idx="398">
                <c:v>1920</c:v>
              </c:pt>
              <c:pt idx="399">
                <c:v>1925</c:v>
              </c:pt>
              <c:pt idx="400">
                <c:v>1930</c:v>
              </c:pt>
            </c:strLit>
          </c:xVal>
          <c:yVal>
            <c:numLit>
              <c:ptCount val="401"/>
              <c:pt idx="0">
                <c:v>0.18118470058036562</c:v>
              </c:pt>
              <c:pt idx="1">
                <c:v>0.18999655093922396</c:v>
              </c:pt>
              <c:pt idx="2">
                <c:v>0.1987135707461838</c:v>
              </c:pt>
              <c:pt idx="3">
                <c:v>0.2073367805398615</c:v>
              </c:pt>
              <c:pt idx="4">
                <c:v>0.21586718987613585</c:v>
              </c:pt>
              <c:pt idx="5">
                <c:v>0.22430579744634127</c:v>
              </c:pt>
              <c:pt idx="6">
                <c:v>0.23265359119418838</c:v>
              </c:pt>
              <c:pt idx="7">
                <c:v>0.24091154843142704</c:v>
              </c:pt>
              <c:pt idx="8">
                <c:v>0.24908063595226448</c:v>
              </c:pt>
              <c:pt idx="9">
                <c:v>0.25716181014655193</c:v>
              </c:pt>
              <c:pt idx="13">
                <c:v>0</c:v>
              </c:pt>
              <c:pt idx="14">
                <c:v>0.18118470058036562</c:v>
              </c:pt>
              <c:pt idx="15">
                <c:v>0.18999655093922396</c:v>
              </c:pt>
              <c:pt idx="16">
                <c:v>0.1987135707461838</c:v>
              </c:pt>
              <c:pt idx="17">
                <c:v>0.2073367805398615</c:v>
              </c:pt>
              <c:pt idx="18">
                <c:v>0.21586718987613585</c:v>
              </c:pt>
              <c:pt idx="19">
                <c:v>0.22430579744634127</c:v>
              </c:pt>
              <c:pt idx="20">
                <c:v>0.23265359119418838</c:v>
              </c:pt>
              <c:pt idx="21">
                <c:v>0.24091154843142704</c:v>
              </c:pt>
              <c:pt idx="22">
                <c:v>0.24908063595226448</c:v>
              </c:pt>
              <c:pt idx="23">
                <c:v>0.25716181014655193</c:v>
              </c:pt>
              <c:pt idx="24">
                <c:v>0.2651560171117531</c:v>
              </c:pt>
              <c:pt idx="25">
                <c:v>0.2730641927637083</c:v>
              </c:pt>
              <c:pt idx="26">
                <c:v>0.28088726294620525</c:v>
              </c:pt>
              <c:pt idx="27">
                <c:v>0.28862614353937255</c:v>
              </c:pt>
              <c:pt idx="28">
                <c:v>0.2962817405669049</c:v>
              </c:pt>
              <c:pt idx="29">
                <c:v>0.3038549503021356</c:v>
              </c:pt>
              <c:pt idx="30">
                <c:v>0.3113466593729669</c:v>
              </c:pt>
              <c:pt idx="31">
                <c:v>0.31875774486567143</c:v>
              </c:pt>
              <c:pt idx="32">
                <c:v>0.32608907442757595</c:v>
              </c:pt>
              <c:pt idx="33">
                <c:v>0.33334150636864124</c:v>
              </c:pt>
              <c:pt idx="34">
                <c:v>0.3405158897619476</c:v>
              </c:pt>
              <c:pt idx="35">
                <c:v>0.3476130645430997</c:v>
              </c:pt>
              <c:pt idx="36">
                <c:v>0.35463386160856125</c:v>
              </c:pt>
              <c:pt idx="37">
                <c:v>0.3615791029129315</c:v>
              </c:pt>
              <c:pt idx="38">
                <c:v>0.3684496015651755</c:v>
              </c:pt>
              <c:pt idx="39">
                <c:v>0.37524616192381743</c:v>
              </c:pt>
              <c:pt idx="40">
                <c:v>0.381969579691111</c:v>
              </c:pt>
              <c:pt idx="41">
                <c:v>0.38862064200619495</c:v>
              </c:pt>
              <c:pt idx="42">
                <c:v>0.395200127537248</c:v>
              </c:pt>
              <c:pt idx="43">
                <c:v>0.4017088065726492</c:v>
              </c:pt>
              <c:pt idx="44">
                <c:v>0.4081474411111603</c:v>
              </c:pt>
              <c:pt idx="45">
                <c:v>0.4145167849511354</c:v>
              </c:pt>
              <c:pt idx="46">
                <c:v>0.42081758377877165</c:v>
              </c:pt>
              <c:pt idx="47">
                <c:v>0.4270505752554098</c:v>
              </c:pt>
              <c:pt idx="48">
                <c:v>0.4332164891038952</c:v>
              </c:pt>
              <c:pt idx="49">
                <c:v>0.43931604719400996</c:v>
              </c:pt>
              <c:pt idx="50">
                <c:v>0.4453499636269851</c:v>
              </c:pt>
              <c:pt idx="51">
                <c:v>0.4513189448191032</c:v>
              </c:pt>
              <c:pt idx="52">
                <c:v>0.45722368958440174</c:v>
              </c:pt>
              <c:pt idx="53">
                <c:v>0.4630648892164868</c:v>
              </c:pt>
              <c:pt idx="54">
                <c:v>0.4688432275694643</c:v>
              </c:pt>
              <c:pt idx="55">
                <c:v>0.47455938113800356</c:v>
              </c:pt>
              <c:pt idx="56">
                <c:v>0.48021401913653583</c:v>
              </c:pt>
              <c:pt idx="57">
                <c:v>0.4858078035776029</c:v>
              </c:pt>
              <c:pt idx="58">
                <c:v>0.49134138934936156</c:v>
              </c:pt>
              <c:pt idx="59">
                <c:v>0.4968154242922542</c:v>
              </c:pt>
              <c:pt idx="60">
                <c:v>0.5022305492748542</c:v>
              </c:pt>
              <c:pt idx="61">
                <c:v>0.5075873982688947</c:v>
              </c:pt>
              <c:pt idx="62">
                <c:v>0.5128865984234913</c:v>
              </c:pt>
              <c:pt idx="63">
                <c:v>0.5181287701385642</c:v>
              </c:pt>
              <c:pt idx="64">
                <c:v>0.523314527137472</c:v>
              </c:pt>
              <c:pt idx="65">
                <c:v>0.5284444765388612</c:v>
              </c:pt>
              <c:pt idx="66">
                <c:v>0.5335192189277466</c:v>
              </c:pt>
              <c:pt idx="67">
                <c:v>0.5385393484258221</c:v>
              </c:pt>
              <c:pt idx="68">
                <c:v>0.5435054527610184</c:v>
              </c:pt>
              <c:pt idx="69">
                <c:v>0.5484181133363103</c:v>
              </c:pt>
              <c:pt idx="70">
                <c:v>0.5532779052977842</c:v>
              </c:pt>
              <c:pt idx="71">
                <c:v>0.5580853976019726</c:v>
              </c:pt>
              <c:pt idx="72">
                <c:v>0.5628411530824649</c:v>
              </c:pt>
              <c:pt idx="73">
                <c:v>0.5675457285157997</c:v>
              </c:pt>
              <c:pt idx="74">
                <c:v>0.5721996746866502</c:v>
              </c:pt>
              <c:pt idx="75">
                <c:v>0.5768035364523062</c:v>
              </c:pt>
              <c:pt idx="76">
                <c:v>0.5813578528064625</c:v>
              </c:pt>
              <c:pt idx="77">
                <c:v>0.5858631569423224</c:v>
              </c:pt>
              <c:pt idx="78">
                <c:v>0.5903199763150195</c:v>
              </c:pt>
              <c:pt idx="79">
                <c:v>0.5947288327033702</c:v>
              </c:pt>
              <c:pt idx="80">
                <c:v>0.5990902422709601</c:v>
              </c:pt>
              <c:pt idx="81">
                <c:v>0.6034047156265733</c:v>
              </c:pt>
              <c:pt idx="82">
                <c:v>0.6076727578839719</c:v>
              </c:pt>
              <c:pt idx="83">
                <c:v>0.6118948687210317</c:v>
              </c:pt>
              <c:pt idx="84">
                <c:v>0.6160715424382416</c:v>
              </c:pt>
              <c:pt idx="85">
                <c:v>0.6202032680165733</c:v>
              </c:pt>
              <c:pt idx="86">
                <c:v>0.6242905291747289</c:v>
              </c:pt>
              <c:pt idx="87">
                <c:v>0.6283338044257711</c:v>
              </c:pt>
              <c:pt idx="88">
                <c:v>0.6323335671331455</c:v>
              </c:pt>
              <c:pt idx="89">
                <c:v>0.636290285566099</c:v>
              </c:pt>
              <c:pt idx="90">
                <c:v>0.6402044229545018</c:v>
              </c:pt>
              <c:pt idx="91">
                <c:v>0.6440764375430801</c:v>
              </c:pt>
              <c:pt idx="92">
                <c:v>0.6479067826450648</c:v>
              </c:pt>
              <c:pt idx="93">
                <c:v>0.6516959066952623</c:v>
              </c:pt>
              <c:pt idx="94">
                <c:v>0.6554442533025553</c:v>
              </c:pt>
              <c:pt idx="95">
                <c:v>0.6591522613018375</c:v>
              </c:pt>
              <c:pt idx="96">
                <c:v>0.6628203648053899</c:v>
              </c:pt>
              <c:pt idx="97">
                <c:v>0.6664489932537045</c:v>
              </c:pt>
              <c:pt idx="98">
                <c:v>0.6700385714657605</c:v>
              </c:pt>
              <c:pt idx="99">
                <c:v>0.6735895196887598</c:v>
              </c:pt>
              <c:pt idx="100">
                <c:v>0.677102253647327</c:v>
              </c:pt>
              <c:pt idx="101">
                <c:v>0.68057718459218</c:v>
              </c:pt>
              <c:pt idx="102">
                <c:v>0.6840147193482771</c:v>
              </c:pt>
              <c:pt idx="103">
                <c:v>0.6874152603624452</c:v>
              </c:pt>
              <c:pt idx="104">
                <c:v>0.6907792057504968</c:v>
              </c:pt>
              <c:pt idx="105">
                <c:v>0.6941069493438385</c:v>
              </c:pt>
              <c:pt idx="106">
                <c:v>0.6973988807355789</c:v>
              </c:pt>
              <c:pt idx="107">
                <c:v>0.7006553853261392</c:v>
              </c:pt>
              <c:pt idx="108">
                <c:v>0.7038768443683748</c:v>
              </c:pt>
              <c:pt idx="109">
                <c:v>0.707063635012209</c:v>
              </c:pt>
              <c:pt idx="110">
                <c:v>0.7102161303487885</c:v>
              </c:pt>
              <c:pt idx="111">
                <c:v>0.7133346994541622</c:v>
              </c:pt>
              <c:pt idx="112">
                <c:v>0.7164197074324907</c:v>
              </c:pt>
              <c:pt idx="113">
                <c:v>0.7194715154587908</c:v>
              </c:pt>
              <c:pt idx="114">
                <c:v>0.7224904808212194</c:v>
              </c:pt>
              <c:pt idx="115">
                <c:v>0.7254769569629029</c:v>
              </c:pt>
              <c:pt idx="116">
                <c:v>0.7284312935233163</c:v>
              </c:pt>
              <c:pt idx="117">
                <c:v>0.7313538363792171</c:v>
              </c:pt>
              <c:pt idx="118">
                <c:v>0.7342449276851388</c:v>
              </c:pt>
              <c:pt idx="119">
                <c:v>0.7371049059134474</c:v>
              </c:pt>
              <c:pt idx="120">
                <c:v>0.7399341058939688</c:v>
              </c:pt>
              <c:pt idx="121">
                <c:v>0.7427328588531885</c:v>
              </c:pt>
              <c:pt idx="122">
                <c:v>0.7455014924530294</c:v>
              </c:pt>
              <c:pt idx="123">
                <c:v>0.7482403308292129</c:v>
              </c:pt>
              <c:pt idx="124">
                <c:v>0.7509496946292067</c:v>
              </c:pt>
              <c:pt idx="125">
                <c:v>0.7536299010497645</c:v>
              </c:pt>
              <c:pt idx="126">
                <c:v>0.7562812638740611</c:v>
              </c:pt>
              <c:pt idx="127">
                <c:v>0.7589040935084292</c:v>
              </c:pt>
              <c:pt idx="128">
                <c:v>0.7614986970186993</c:v>
              </c:pt>
              <c:pt idx="129">
                <c:v>0.7640653781661493</c:v>
              </c:pt>
              <c:pt idx="130">
                <c:v>0.7666044374430672</c:v>
              </c:pt>
              <c:pt idx="131">
                <c:v>0.7691161721079312</c:v>
              </c:pt>
              <c:pt idx="132">
                <c:v>0.7716008762202106</c:v>
              </c:pt>
              <c:pt idx="133">
                <c:v>0.7740588406747931</c:v>
              </c:pt>
              <c:pt idx="134">
                <c:v>0.7764903532360409</c:v>
              </c:pt>
              <c:pt idx="135">
                <c:v>0.7788956985714801</c:v>
              </c:pt>
              <c:pt idx="136">
                <c:v>0.7812751582851286</c:v>
              </c:pt>
              <c:pt idx="137">
                <c:v>0.7836290109504641</c:v>
              </c:pt>
              <c:pt idx="138">
                <c:v>0.7859575321430384</c:v>
              </c:pt>
              <c:pt idx="139">
                <c:v>0.7882609944727398</c:v>
              </c:pt>
              <c:pt idx="140">
                <c:v>0.7905396676157088</c:v>
              </c:pt>
              <c:pt idx="141">
                <c:v>0.7927938183459106</c:v>
              </c:pt>
              <c:pt idx="142">
                <c:v>0.7950237105663667</c:v>
              </c:pt>
              <c:pt idx="143">
                <c:v>0.7972296053400518</c:v>
              </c:pt>
              <c:pt idx="144">
                <c:v>0.7994117609204574</c:v>
              </c:pt>
              <c:pt idx="145">
                <c:v>0.8015704327818267</c:v>
              </c:pt>
              <c:pt idx="146">
                <c:v>0.8037058736490637</c:v>
              </c:pt>
              <c:pt idx="147">
                <c:v>0.805818333527321</c:v>
              </c:pt>
              <c:pt idx="148">
                <c:v>0.8079080597312693</c:v>
              </c:pt>
              <c:pt idx="149">
                <c:v>0.809975296914051</c:v>
              </c:pt>
              <c:pt idx="150">
                <c:v>0.8120202870959232</c:v>
              </c:pt>
              <c:pt idx="151">
                <c:v>0.8140432696925918</c:v>
              </c:pt>
              <c:pt idx="152">
                <c:v>0.8160444815432409</c:v>
              </c:pt>
              <c:pt idx="153">
                <c:v>0.8180241569382611</c:v>
              </c:pt>
              <c:pt idx="154">
                <c:v>0.8199825276466782</c:v>
              </c:pt>
              <c:pt idx="155">
                <c:v>0.8219198229432875</c:v>
              </c:pt>
              <c:pt idx="156">
                <c:v>0.8238362696354963</c:v>
              </c:pt>
              <c:pt idx="157">
                <c:v>0.8257320920898771</c:v>
              </c:pt>
              <c:pt idx="158">
                <c:v>0.827607512258435</c:v>
              </c:pt>
              <c:pt idx="159">
                <c:v>0.8294627497045924</c:v>
              </c:pt>
              <c:pt idx="160">
                <c:v>0.831298021628895</c:v>
              </c:pt>
              <c:pt idx="161">
                <c:v>0.8331135428944395</c:v>
              </c:pt>
              <c:pt idx="162">
                <c:v>0.834909526052029</c:v>
              </c:pt>
              <c:pt idx="163">
                <c:v>0.836686181365057</c:v>
              </c:pt>
              <c:pt idx="164">
                <c:v>0.8384437168341241</c:v>
              </c:pt>
              <c:pt idx="165">
                <c:v>0.8401823382213895</c:v>
              </c:pt>
              <c:pt idx="166">
                <c:v>0.8419022490746599</c:v>
              </c:pt>
              <c:pt idx="167">
                <c:v>0.8436036507512207</c:v>
              </c:pt>
              <c:pt idx="168">
                <c:v>0.8452867424414087</c:v>
              </c:pt>
              <c:pt idx="169">
                <c:v>0.846951721191933</c:v>
              </c:pt>
              <c:pt idx="170">
                <c:v>0.8485987819289433</c:v>
              </c:pt>
              <c:pt idx="171">
                <c:v>0.8502281174808518</c:v>
              </c:pt>
              <c:pt idx="172">
                <c:v>0.8518399186009075</c:v>
              </c:pt>
              <c:pt idx="173">
                <c:v>0.8534343739895286</c:v>
              </c:pt>
              <c:pt idx="174">
                <c:v>0.855011670316395</c:v>
              </c:pt>
              <c:pt idx="175">
                <c:v>0.8565719922423023</c:v>
              </c:pt>
              <c:pt idx="176">
                <c:v>0.8581155224407803</c:v>
              </c:pt>
              <c:pt idx="177">
                <c:v>0.85964244161948</c:v>
              </c:pt>
              <c:pt idx="178">
                <c:v>0.8611529285413299</c:v>
              </c:pt>
              <c:pt idx="179">
                <c:v>0.8626471600454635</c:v>
              </c:pt>
              <c:pt idx="180">
                <c:v>0.8641253110679242</c:v>
              </c:pt>
              <c:pt idx="181">
                <c:v>0.8655875546621445</c:v>
              </c:pt>
              <c:pt idx="182">
                <c:v>0.8670340620192064</c:v>
              </c:pt>
              <c:pt idx="183">
                <c:v>0.8684650024878842</c:v>
              </c:pt>
              <c:pt idx="184">
                <c:v>0.8698805435944695</c:v>
              </c:pt>
              <c:pt idx="185">
                <c:v>0.871280851062386</c:v>
              </c:pt>
              <c:pt idx="186">
                <c:v>0.8726660888315896</c:v>
              </c:pt>
              <c:pt idx="187">
                <c:v>0.874036419077763</c:v>
              </c:pt>
              <c:pt idx="188">
                <c:v>0.8753920022313012</c:v>
              </c:pt>
              <c:pt idx="189">
                <c:v>0.876732996996095</c:v>
              </c:pt>
              <c:pt idx="190">
                <c:v>0.8780595603681096</c:v>
              </c:pt>
              <c:pt idx="191">
                <c:v>0.8793718476537664</c:v>
              </c:pt>
              <c:pt idx="192">
                <c:v>0.880670012488124</c:v>
              </c:pt>
              <c:pt idx="193">
                <c:v>0.8819542068528659</c:v>
              </c:pt>
              <c:pt idx="194">
                <c:v>0.8832245810940929</c:v>
              </c:pt>
              <c:pt idx="195">
                <c:v>0.8844812839399254</c:v>
              </c:pt>
              <c:pt idx="196">
                <c:v>0.8857244625179151</c:v>
              </c:pt>
              <c:pt idx="197">
                <c:v>0.8869542623722706</c:v>
              </c:pt>
              <c:pt idx="198">
                <c:v>0.8881708274808957</c:v>
              </c:pt>
              <c:pt idx="199">
                <c:v>0.8893743002722465</c:v>
              </c:pt>
              <c:pt idx="200">
                <c:v>0.8905648216420058</c:v>
              </c:pt>
              <c:pt idx="201">
                <c:v>0.8917425309695783</c:v>
              </c:pt>
              <c:pt idx="202">
                <c:v>0.8929075661344085</c:v>
              </c:pt>
              <c:pt idx="203">
                <c:v>0.8940600635321224</c:v>
              </c:pt>
              <c:pt idx="204">
                <c:v>0.8952001580904967</c:v>
              </c:pt>
              <c:pt idx="205">
                <c:v>0.8963279832852544</c:v>
              </c:pt>
              <c:pt idx="206">
                <c:v>0.8974436711556922</c:v>
              </c:pt>
              <c:pt idx="207">
                <c:v>0.8985473523201386</c:v>
              </c:pt>
              <c:pt idx="208">
                <c:v>0.8996391559912456</c:v>
              </c:pt>
              <c:pt idx="209">
                <c:v>0.9007192099911167</c:v>
              </c:pt>
              <c:pt idx="210">
                <c:v>0.9017876407662714</c:v>
              </c:pt>
              <c:pt idx="211">
                <c:v>0.902844573402449</c:v>
              </c:pt>
              <c:pt idx="212">
                <c:v>0.9038901316392521</c:v>
              </c:pt>
              <c:pt idx="213">
                <c:v>0.9049244378846346</c:v>
              </c:pt>
              <c:pt idx="214">
                <c:v>0.9059476132292316</c:v>
              </c:pt>
              <c:pt idx="215">
                <c:v>0.9069597774605361</c:v>
              </c:pt>
              <c:pt idx="216">
                <c:v>0.9079610490769235</c:v>
              </c:pt>
              <c:pt idx="217">
                <c:v>0.9089515453015242</c:v>
              </c:pt>
              <c:pt idx="218">
                <c:v>0.9099313820959477</c:v>
              </c:pt>
              <c:pt idx="219">
                <c:v>0.9109006741738587</c:v>
              </c:pt>
              <c:pt idx="220">
                <c:v>0.9118595350144066</c:v>
              </c:pt>
              <c:pt idx="221">
                <c:v>0.9128080768755124</c:v>
              </c:pt>
              <c:pt idx="222">
                <c:v>0.913746410807009</c:v>
              </c:pt>
              <c:pt idx="223">
                <c:v>0.9146746466636445</c:v>
              </c:pt>
              <c:pt idx="224">
                <c:v>0.9155928931179421</c:v>
              </c:pt>
              <c:pt idx="225">
                <c:v>0.916501257672923</c:v>
              </c:pt>
              <c:pt idx="226">
                <c:v>0.9173998466746924</c:v>
              </c:pt>
              <c:pt idx="227">
                <c:v>0.9182887653248902</c:v>
              </c:pt>
              <c:pt idx="228">
                <c:v>0.9191681176930067</c:v>
              </c:pt>
              <c:pt idx="229">
                <c:v>0.9200380067285668</c:v>
              </c:pt>
              <c:pt idx="230">
                <c:v>0.9208985342731831</c:v>
              </c:pt>
              <c:pt idx="231">
                <c:v>0.9217498010724786</c:v>
              </c:pt>
              <c:pt idx="232">
                <c:v>0.922591906787881</c:v>
              </c:pt>
              <c:pt idx="233">
                <c:v>0.9234249500082913</c:v>
              </c:pt>
              <c:pt idx="234">
                <c:v>0.9242490282616255</c:v>
              </c:pt>
              <c:pt idx="235">
                <c:v>0.9250642380262327</c:v>
              </c:pt>
              <c:pt idx="236">
                <c:v>0.9258706747421903</c:v>
              </c:pt>
              <c:pt idx="237">
                <c:v>0.9266684328224777</c:v>
              </c:pt>
              <c:pt idx="238">
                <c:v>0.9274576056640293</c:v>
              </c:pt>
              <c:pt idx="239">
                <c:v>0.9282382856586691</c:v>
              </c:pt>
              <c:pt idx="240">
                <c:v>0.9290105642039272</c:v>
              </c:pt>
              <c:pt idx="241">
                <c:v>0.9297745317137407</c:v>
              </c:pt>
              <c:pt idx="242">
                <c:v>0.930530277629038</c:v>
              </c:pt>
              <c:pt idx="243">
                <c:v>0.9312778904282104</c:v>
              </c:pt>
              <c:pt idx="244">
                <c:v>0.932017457637471</c:v>
              </c:pt>
              <c:pt idx="245">
                <c:v>0.9327490658411013</c:v>
              </c:pt>
              <c:pt idx="246">
                <c:v>0.9334728006915879</c:v>
              </c:pt>
              <c:pt idx="247">
                <c:v>0.9341887469196508</c:v>
              </c:pt>
              <c:pt idx="248">
                <c:v>0.9348969883441626</c:v>
              </c:pt>
              <c:pt idx="249">
                <c:v>0.9355976078819617</c:v>
              </c:pt>
              <c:pt idx="250">
                <c:v>0.93629068755756</c:v>
              </c:pt>
              <c:pt idx="251">
                <c:v>0.9369763085127454</c:v>
              </c:pt>
              <c:pt idx="252">
                <c:v>0.9376545510160819</c:v>
              </c:pt>
              <c:pt idx="253">
                <c:v>0.9383254944723063</c:v>
              </c:pt>
              <c:pt idx="254">
                <c:v>0.9389892174316254</c:v>
              </c:pt>
              <c:pt idx="255">
                <c:v>0.9396457975989116</c:v>
              </c:pt>
              <c:pt idx="256">
                <c:v>0.9402953118427998</c:v>
              </c:pt>
              <c:pt idx="257">
                <c:v>0.9409378362046876</c:v>
              </c:pt>
              <c:pt idx="258">
                <c:v>0.9415734459076371</c:v>
              </c:pt>
              <c:pt idx="259">
                <c:v>0.9422022153651821</c:v>
              </c:pt>
              <c:pt idx="260">
                <c:v>0.9428242181900397</c:v>
              </c:pt>
              <c:pt idx="261">
                <c:v>0.9434395272027281</c:v>
              </c:pt>
              <c:pt idx="262">
                <c:v>0.944048214440093</c:v>
              </c:pt>
              <c:pt idx="263">
                <c:v>0.9446503511637403</c:v>
              </c:pt>
              <c:pt idx="264">
                <c:v>0.9452460078683795</c:v>
              </c:pt>
              <c:pt idx="265">
                <c:v>0.9458352542900768</c:v>
              </c:pt>
              <c:pt idx="266">
                <c:v>0.9464181594144189</c:v>
              </c:pt>
              <c:pt idx="267">
                <c:v>0.9469947914845903</c:v>
              </c:pt>
              <c:pt idx="268">
                <c:v>0.947565218009362</c:v>
              </c:pt>
              <c:pt idx="269">
                <c:v>0.9481295057709955</c:v>
              </c:pt>
              <c:pt idx="270">
                <c:v>0.9486877208330615</c:v>
              </c:pt>
              <c:pt idx="271">
                <c:v>0.9492399285481732</c:v>
              </c:pt>
              <c:pt idx="272">
                <c:v>0.9497861935656386</c:v>
              </c:pt>
              <c:pt idx="273">
                <c:v>0.9503265798390288</c:v>
              </c:pt>
              <c:pt idx="274">
                <c:v>0.9508611506336652</c:v>
              </c:pt>
              <c:pt idx="275">
                <c:v>0.9513899685340264</c:v>
              </c:pt>
              <c:pt idx="276">
                <c:v>0.9519130954510748</c:v>
              </c:pt>
              <c:pt idx="277">
                <c:v>0.9524305926295059</c:v>
              </c:pt>
              <c:pt idx="278">
                <c:v>0.952942520654917</c:v>
              </c:pt>
              <c:pt idx="279">
                <c:v>0.9534489394609016</c:v>
              </c:pt>
              <c:pt idx="280">
                <c:v>0.9539499083360647</c:v>
              </c:pt>
              <c:pt idx="281">
                <c:v>0.9544454859309655</c:v>
              </c:pt>
              <c:pt idx="282">
                <c:v>0.9549357302649825</c:v>
              </c:pt>
              <c:pt idx="283">
                <c:v>0.9554206987331066</c:v>
              </c:pt>
              <c:pt idx="284">
                <c:v>0.9559004481126612</c:v>
              </c:pt>
              <c:pt idx="285">
                <c:v>0.9563750345699481</c:v>
              </c:pt>
              <c:pt idx="286">
                <c:v>0.9568445136668243</c:v>
              </c:pt>
              <c:pt idx="287">
                <c:v>0.9573089403672063</c:v>
              </c:pt>
              <c:pt idx="288">
                <c:v>0.9577683690435047</c:v>
              </c:pt>
              <c:pt idx="289">
                <c:v>0.9582228534829906</c:v>
              </c:pt>
              <c:pt idx="290">
                <c:v>0.9586724468940918</c:v>
              </c:pt>
              <c:pt idx="291">
                <c:v>0.9591172019126231</c:v>
              </c:pt>
              <c:pt idx="292">
                <c:v>0.9595571706079475</c:v>
              </c:pt>
              <c:pt idx="293">
                <c:v>0.9599924044890734</c:v>
              </c:pt>
              <c:pt idx="294">
                <c:v>0.9604229545106837</c:v>
              </c:pt>
              <c:pt idx="295">
                <c:v>0.9608488710791026</c:v>
              </c:pt>
              <c:pt idx="296">
                <c:v>0.9612702040581954</c:v>
              </c:pt>
              <c:pt idx="297">
                <c:v>0.9616870027752079</c:v>
              </c:pt>
              <c:pt idx="298">
                <c:v>0.9620993160265401</c:v>
              </c:pt>
              <c:pt idx="299">
                <c:v>0.9625071920834594</c:v>
              </c:pt>
              <c:pt idx="300">
                <c:v>0.9629106786977522</c:v>
              </c:pt>
              <c:pt idx="301">
                <c:v>0.963309823107314</c:v>
              </c:pt>
              <c:pt idx="302">
                <c:v>0.96370467204168</c:v>
              </c:pt>
              <c:pt idx="303">
                <c:v>0.9640952717274957</c:v>
              </c:pt>
              <c:pt idx="304">
                <c:v>0.9644816678939291</c:v>
              </c:pt>
              <c:pt idx="305">
                <c:v>0.9648639057780243</c:v>
              </c:pt>
              <c:pt idx="306">
                <c:v>0.9652420301299974</c:v>
              </c:pt>
              <c:pt idx="307">
                <c:v>0.9656160852184762</c:v>
              </c:pt>
              <c:pt idx="308">
                <c:v>0.9659861148356821</c:v>
              </c:pt>
              <c:pt idx="309">
                <c:v>0.9663521623025574</c:v>
              </c:pt>
              <c:pt idx="310">
                <c:v>0.9667142704738375</c:v>
              </c:pt>
              <c:pt idx="311">
                <c:v>0.9670724817430675</c:v>
              </c:pt>
              <c:pt idx="312">
                <c:v>0.9674268380475654</c:v>
              </c:pt>
              <c:pt idx="313">
                <c:v>0.9677773808733322</c:v>
              </c:pt>
              <c:pt idx="314">
                <c:v>0.9681241512599089</c:v>
              </c:pt>
              <c:pt idx="315">
                <c:v>0.9684671898051808</c:v>
              </c:pt>
              <c:pt idx="316">
                <c:v>0.9688065366701307</c:v>
              </c:pt>
              <c:pt idx="317">
                <c:v>0.9691422315835405</c:v>
              </c:pt>
              <c:pt idx="318">
                <c:v>0.969474313846643</c:v>
              </c:pt>
              <c:pt idx="319">
                <c:v>0.9698028223377221</c:v>
              </c:pt>
              <c:pt idx="320">
                <c:v>0.9701277955166654</c:v>
              </c:pt>
              <c:pt idx="321">
                <c:v>0.9704492714294665</c:v>
              </c:pt>
              <c:pt idx="322">
                <c:v>0.9707672877126787</c:v>
              </c:pt>
              <c:pt idx="323">
                <c:v>0.9710818815978223</c:v>
              </c:pt>
              <c:pt idx="324">
                <c:v>0.9713930899157426</c:v>
              </c:pt>
              <c:pt idx="325">
                <c:v>0.971700949100922</c:v>
              </c:pt>
              <c:pt idx="326">
                <c:v>0.972005495195746</c:v>
              </c:pt>
              <c:pt idx="327">
                <c:v>0.9723067638547223</c:v>
              </c:pt>
              <c:pt idx="328">
                <c:v>0.9726047903486552</c:v>
              </c:pt>
              <c:pt idx="329">
                <c:v>0.9728996095687752</c:v>
              </c:pt>
              <c:pt idx="330">
                <c:v>0.9731912560308233</c:v>
              </c:pt>
              <c:pt idx="331">
                <c:v>0.9734797638790924</c:v>
              </c:pt>
              <c:pt idx="332">
                <c:v>0.9737651668904242</c:v>
              </c:pt>
              <c:pt idx="333">
                <c:v>0.9740474984781646</c:v>
              </c:pt>
              <c:pt idx="334">
                <c:v>0.9743267916960742</c:v>
              </c:pt>
              <c:pt idx="335">
                <c:v>0.9746030792421988</c:v>
              </c:pt>
              <c:pt idx="336">
                <c:v>0.9748763934626978</c:v>
              </c:pt>
              <c:pt idx="337">
                <c:v>0.9751467663556304</c:v>
              </c:pt>
              <c:pt idx="338">
                <c:v>0.975414229574702</c:v>
              </c:pt>
              <c:pt idx="339">
                <c:v>0.9756788144329704</c:v>
              </c:pt>
              <c:pt idx="340">
                <c:v>0.9759405519065113</c:v>
              </c:pt>
              <c:pt idx="341">
                <c:v>0.9761994726380449</c:v>
              </c:pt>
              <c:pt idx="342">
                <c:v>0.9764556069405232</c:v>
              </c:pt>
              <c:pt idx="343">
                <c:v>0.9767089848006796</c:v>
              </c:pt>
              <c:pt idx="344">
                <c:v>0.9769596358825386</c:v>
              </c:pt>
              <c:pt idx="345">
                <c:v>0.9772075895308896</c:v>
              </c:pt>
              <c:pt idx="346">
                <c:v>0.9774528747747215</c:v>
              </c:pt>
              <c:pt idx="347">
                <c:v>0.9776955203306221</c:v>
              </c:pt>
              <c:pt idx="348">
                <c:v>0.9779355546061396</c:v>
              </c:pt>
              <c:pt idx="349">
                <c:v>0.9781730057031082</c:v>
              </c:pt>
              <c:pt idx="350">
                <c:v>0.9784079014209388</c:v>
              </c:pt>
              <c:pt idx="351">
                <c:v>0.978640269259873</c:v>
              </c:pt>
              <c:pt idx="352">
                <c:v>0.9788701364242028</c:v>
              </c:pt>
              <c:pt idx="353">
                <c:v>0.9790975298254558</c:v>
              </c:pt>
              <c:pt idx="354">
                <c:v>0.9793224760855455</c:v>
              </c:pt>
              <c:pt idx="355">
                <c:v>0.9795450015398879</c:v>
              </c:pt>
              <c:pt idx="356">
                <c:v>0.9797651322404853</c:v>
              </c:pt>
              <c:pt idx="357">
                <c:v>0.9799828939589761</c:v>
              </c:pt>
              <c:pt idx="358">
                <c:v>0.9801983121896515</c:v>
              </c:pt>
              <c:pt idx="359">
                <c:v>0.9804114121524408</c:v>
              </c:pt>
              <c:pt idx="360">
                <c:v>0.9806222187958638</c:v>
              </c:pt>
              <c:pt idx="361">
                <c:v>0.9808307567999516</c:v>
              </c:pt>
              <c:pt idx="362">
                <c:v>0.9810370505791361</c:v>
              </c:pt>
              <c:pt idx="363">
                <c:v>0.9812411242851082</c:v>
              </c:pt>
              <c:pt idx="364">
                <c:v>0.9814430018096455</c:v>
              </c:pt>
              <c:pt idx="365">
                <c:v>0.981642706787409</c:v>
              </c:pt>
              <c:pt idx="366">
                <c:v>0.9818402625987106</c:v>
              </c:pt>
              <c:pt idx="367">
                <c:v>0.9820356923722502</c:v>
              </c:pt>
              <c:pt idx="368">
                <c:v>0.9822290189878232</c:v>
              </c:pt>
              <c:pt idx="369">
                <c:v>0.9824202650789996</c:v>
              </c:pt>
              <c:pt idx="370">
                <c:v>0.9826094530357733</c:v>
              </c:pt>
              <c:pt idx="371">
                <c:v>0.9827966050071838</c:v>
              </c:pt>
              <c:pt idx="372">
                <c:v>0.982981742903909</c:v>
              </c:pt>
              <c:pt idx="373">
                <c:v>0.9831648884008308</c:v>
              </c:pt>
              <c:pt idx="374">
                <c:v>0.983346062939572</c:v>
              </c:pt>
              <c:pt idx="375">
                <c:v>0.9835252877310071</c:v>
              </c:pt>
              <c:pt idx="376">
                <c:v>0.9837025837577453</c:v>
              </c:pt>
              <c:pt idx="377">
                <c:v>0.9838779717765874</c:v>
              </c:pt>
              <c:pt idx="378">
                <c:v>0.9840514723209552</c:v>
              </c:pt>
              <c:pt idx="379">
                <c:v>0.9842231057032961</c:v>
              </c:pt>
              <c:pt idx="380">
                <c:v>0.9843928920174607</c:v>
              </c:pt>
              <c:pt idx="381">
                <c:v>0.9845608511410557</c:v>
              </c:pt>
              <c:pt idx="382">
                <c:v>0.9847270027377706</c:v>
              </c:pt>
              <c:pt idx="383">
                <c:v>0.9848913662596801</c:v>
              </c:pt>
              <c:pt idx="384">
                <c:v>0.9850539609495215</c:v>
              </c:pt>
              <c:pt idx="385">
                <c:v>0.9852148058429472</c:v>
              </c:pt>
              <c:pt idx="386">
                <c:v>0.9853739197707536</c:v>
              </c:pt>
              <c:pt idx="387">
                <c:v>0.9855313213610856</c:v>
              </c:pt>
              <c:pt idx="388">
                <c:v>0.9856870290416172</c:v>
              </c:pt>
              <c:pt idx="389">
                <c:v>0.9858410610417098</c:v>
              </c:pt>
              <c:pt idx="390">
                <c:v>0.985993435394545</c:v>
              </c:pt>
              <c:pt idx="391">
                <c:v>0.9861441699392371</c:v>
              </c:pt>
              <c:pt idx="392">
                <c:v>0.9862932823229209</c:v>
              </c:pt>
              <c:pt idx="393">
                <c:v>0.9864407900028178</c:v>
              </c:pt>
              <c:pt idx="394">
                <c:v>0.98658671024828</c:v>
              </c:pt>
              <c:pt idx="395">
                <c:v>0.9867310601428118</c:v>
              </c:pt>
              <c:pt idx="396">
                <c:v>0.9868738565860696</c:v>
              </c:pt>
              <c:pt idx="397">
                <c:v>0.987015116295841</c:v>
              </c:pt>
              <c:pt idx="398">
                <c:v>0.9871548558100017</c:v>
              </c:pt>
              <c:pt idx="399">
                <c:v>0.9872930914884513</c:v>
              </c:pt>
              <c:pt idx="400">
                <c:v>0.9874298395150294</c:v>
              </c:pt>
            </c:numLit>
          </c:yVal>
          <c:smooth val="0"/>
        </c:ser>
        <c:axId val="3293595"/>
        <c:axId val="29642356"/>
      </c:scatterChart>
      <c:valAx>
        <c:axId val="329359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Chlorine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9642356"/>
        <c:crosses val="autoZero"/>
        <c:crossBetween val="midCat"/>
        <c:dispUnits/>
        <c:majorUnit val="200"/>
      </c:valAx>
      <c:valAx>
        <c:axId val="296423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Hg Removed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9359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Fabric Filter/FBC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Lit>
              <c:ptCount val="5"/>
              <c:pt idx="0">
                <c:v>45.666666666666664</c:v>
              </c:pt>
              <c:pt idx="1">
                <c:v>133.33333333333334</c:v>
              </c:pt>
              <c:pt idx="2">
                <c:v>266.6666666666667</c:v>
              </c:pt>
              <c:pt idx="3">
                <c:v>583.3333333333334</c:v>
              </c:pt>
              <c:pt idx="4">
                <c:v>600</c:v>
              </c:pt>
            </c:numLit>
          </c:xVal>
          <c:yVal>
            <c:numLit>
              <c:ptCount val="5"/>
              <c:pt idx="0">
                <c:v>0.7448616162466241</c:v>
              </c:pt>
              <c:pt idx="1">
                <c:v>0.8435050621485073</c:v>
              </c:pt>
              <c:pt idx="2">
                <c:v>5.991464547108003</c:v>
              </c:pt>
              <c:pt idx="3">
                <c:v>2.503478035373436</c:v>
              </c:pt>
              <c:pt idx="4">
                <c:v>6.812445099177822</c:v>
              </c:pt>
            </c:numLit>
          </c:yVal>
          <c:smooth val="0"/>
        </c:ser>
        <c:axId val="65454613"/>
        <c:axId val="52220606"/>
      </c:scatterChart>
      <c:valAx>
        <c:axId val="6545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Chlorine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20606"/>
        <c:crosses val="autoZero"/>
        <c:crossBetween val="midCat"/>
        <c:dispUnits/>
      </c:valAx>
      <c:valAx>
        <c:axId val="52220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-LN(1-F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removed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54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Fabric Filter/FBC
F</a:t>
            </a:r>
            <a:r>
              <a:rPr lang="en-US" cap="none" sz="1025" b="1" i="0" u="none" baseline="-25000">
                <a:latin typeface="Arial"/>
                <a:ea typeface="Arial"/>
                <a:cs typeface="Arial"/>
              </a:rPr>
              <a:t>removed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= 1 - 0.3185721*exp(- 0.00686079*Cl(ppm)); R</a:t>
            </a:r>
            <a:r>
              <a:rPr lang="en-US" cap="none" sz="1025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=0.819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425"/>
          <c:w val="0.923"/>
          <c:h val="0.7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5"/>
              <c:pt idx="0">
                <c:v>45.666666666666664</c:v>
              </c:pt>
              <c:pt idx="1">
                <c:v>133.33333333333334</c:v>
              </c:pt>
              <c:pt idx="2">
                <c:v>266.6666666666667</c:v>
              </c:pt>
              <c:pt idx="3">
                <c:v>583.3333333333334</c:v>
              </c:pt>
              <c:pt idx="4">
                <c:v>600</c:v>
              </c:pt>
            </c:numLit>
          </c:xVal>
          <c:yVal>
            <c:numLit>
              <c:ptCount val="5"/>
              <c:pt idx="0">
                <c:v>0.5252</c:v>
              </c:pt>
              <c:pt idx="1">
                <c:v>0.5698</c:v>
              </c:pt>
              <c:pt idx="2">
                <c:v>0.9975</c:v>
              </c:pt>
              <c:pt idx="3">
                <c:v>0.9182</c:v>
              </c:pt>
              <c:pt idx="4">
                <c:v>0.9989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  <c:pt idx="11">
                <c:v>110</c:v>
              </c:pt>
              <c:pt idx="12">
                <c:v>120</c:v>
              </c:pt>
              <c:pt idx="13">
                <c:v>130</c:v>
              </c:pt>
              <c:pt idx="14">
                <c:v>140</c:v>
              </c:pt>
              <c:pt idx="15">
                <c:v>150</c:v>
              </c:pt>
              <c:pt idx="16">
                <c:v>160</c:v>
              </c:pt>
              <c:pt idx="17">
                <c:v>170</c:v>
              </c:pt>
              <c:pt idx="18">
                <c:v>180</c:v>
              </c:pt>
              <c:pt idx="19">
                <c:v>190</c:v>
              </c:pt>
              <c:pt idx="20">
                <c:v>200</c:v>
              </c:pt>
              <c:pt idx="21">
                <c:v>210</c:v>
              </c:pt>
              <c:pt idx="22">
                <c:v>220</c:v>
              </c:pt>
              <c:pt idx="23">
                <c:v>230</c:v>
              </c:pt>
              <c:pt idx="24">
                <c:v>240</c:v>
              </c:pt>
              <c:pt idx="25">
                <c:v>250</c:v>
              </c:pt>
              <c:pt idx="26">
                <c:v>260</c:v>
              </c:pt>
              <c:pt idx="27">
                <c:v>270</c:v>
              </c:pt>
              <c:pt idx="28">
                <c:v>280</c:v>
              </c:pt>
              <c:pt idx="29">
                <c:v>290</c:v>
              </c:pt>
              <c:pt idx="30">
                <c:v>300</c:v>
              </c:pt>
              <c:pt idx="31">
                <c:v>310</c:v>
              </c:pt>
              <c:pt idx="32">
                <c:v>320</c:v>
              </c:pt>
              <c:pt idx="33">
                <c:v>330</c:v>
              </c:pt>
              <c:pt idx="34">
                <c:v>340</c:v>
              </c:pt>
              <c:pt idx="35">
                <c:v>350</c:v>
              </c:pt>
              <c:pt idx="36">
                <c:v>360</c:v>
              </c:pt>
              <c:pt idx="37">
                <c:v>370</c:v>
              </c:pt>
              <c:pt idx="38">
                <c:v>380</c:v>
              </c:pt>
              <c:pt idx="39">
                <c:v>390</c:v>
              </c:pt>
              <c:pt idx="40">
                <c:v>400</c:v>
              </c:pt>
              <c:pt idx="41">
                <c:v>410</c:v>
              </c:pt>
              <c:pt idx="42">
                <c:v>420</c:v>
              </c:pt>
              <c:pt idx="43">
                <c:v>430</c:v>
              </c:pt>
              <c:pt idx="44">
                <c:v>440</c:v>
              </c:pt>
              <c:pt idx="45">
                <c:v>450</c:v>
              </c:pt>
              <c:pt idx="46">
                <c:v>460</c:v>
              </c:pt>
              <c:pt idx="47">
                <c:v>470</c:v>
              </c:pt>
              <c:pt idx="48">
                <c:v>480</c:v>
              </c:pt>
              <c:pt idx="49">
                <c:v>490</c:v>
              </c:pt>
              <c:pt idx="50">
                <c:v>500</c:v>
              </c:pt>
              <c:pt idx="51">
                <c:v>510</c:v>
              </c:pt>
              <c:pt idx="52">
                <c:v>520</c:v>
              </c:pt>
              <c:pt idx="53">
                <c:v>530</c:v>
              </c:pt>
              <c:pt idx="54">
                <c:v>540</c:v>
              </c:pt>
              <c:pt idx="55">
                <c:v>550</c:v>
              </c:pt>
              <c:pt idx="56">
                <c:v>560</c:v>
              </c:pt>
              <c:pt idx="57">
                <c:v>570</c:v>
              </c:pt>
              <c:pt idx="58">
                <c:v>580</c:v>
              </c:pt>
              <c:pt idx="59">
                <c:v>590</c:v>
              </c:pt>
              <c:pt idx="60">
                <c:v>600</c:v>
              </c:pt>
            </c:numLit>
          </c:xVal>
          <c:yVal>
            <c:numLit>
              <c:ptCount val="61"/>
              <c:pt idx="0">
                <c:v>0.6814279109169384</c:v>
              </c:pt>
              <c:pt idx="1">
                <c:v>0.7025515539288447</c:v>
              </c:pt>
              <c:pt idx="2">
                <c:v>0.7222745460068329</c:v>
              </c:pt>
              <c:pt idx="3">
                <c:v>0.7406897604795035</c:v>
              </c:pt>
              <c:pt idx="4">
                <c:v>0.7578839124993144</c:v>
              </c:pt>
              <c:pt idx="5">
                <c:v>0.7739379673743806</c:v>
              </c:pt>
              <c:pt idx="6">
                <c:v>0.7889275218249102</c:v>
              </c:pt>
              <c:pt idx="7">
                <c:v>0.8029231599595695</c:v>
              </c:pt>
              <c:pt idx="8">
                <c:v>0.815990785648031</c:v>
              </c:pt>
              <c:pt idx="9">
                <c:v>0.8281919328548062</c:v>
              </c:pt>
              <c:pt idx="10">
                <c:v>0.8395840553956935</c:v>
              </c:pt>
              <c:pt idx="11">
                <c:v>0.8502207974812678</c:v>
              </c:pt>
              <c:pt idx="12">
                <c:v>0.8601522463213724</c:v>
              </c:pt>
              <c:pt idx="13">
                <c:v>0.8694251679800998</c:v>
              </c:pt>
              <c:pt idx="14">
                <c:v>0.8780832275918723</c:v>
              </c:pt>
              <c:pt idx="15">
                <c:v>0.8861671949755989</c:v>
              </c:pt>
              <c:pt idx="16">
                <c:v>0.8937151366151204</c:v>
              </c:pt>
              <c:pt idx="17">
                <c:v>0.9007625949099557</c:v>
              </c:pt>
              <c:pt idx="18">
                <c:v>0.9073427555404228</c:v>
              </c:pt>
              <c:pt idx="19">
                <c:v>0.9134866037352367</c:v>
              </c:pt>
              <c:pt idx="20">
                <c:v>0.9192230701774301</c:v>
              </c:pt>
              <c:pt idx="21">
                <c:v>0.9245791672356533</c:v>
              </c:pt>
              <c:pt idx="22">
                <c:v>0.9295801161623477</c:v>
              </c:pt>
              <c:pt idx="23">
                <c:v>0.9342494658577588</c:v>
              </c:pt>
              <c:pt idx="24">
                <c:v>0.938609203759031</c:v>
              </c:pt>
              <c:pt idx="25">
                <c:v>0.9426798593765505</c:v>
              </c:pt>
              <c:pt idx="26">
                <c:v>0.9464806009650778</c:v>
              </c:pt>
              <c:pt idx="27">
                <c:v>0.9500293257848805</c:v>
              </c:pt>
              <c:pt idx="28">
                <c:v>0.9533427443778987</c:v>
              </c:pt>
              <c:pt idx="29">
                <c:v>0.956436459255788</c:v>
              </c:pt>
              <c:pt idx="30">
                <c:v>0.959325038370374</c:v>
              </c:pt>
              <c:pt idx="31">
                <c:v>0.9620220837124824</c:v>
              </c:pt>
              <c:pt idx="32">
                <c:v>0.9645402953621678</c:v>
              </c:pt>
              <c:pt idx="33">
                <c:v>0.9668915312919479</c:v>
              </c:pt>
              <c:pt idx="34">
                <c:v>0.9690868632046485</c:v>
              </c:pt>
              <c:pt idx="35">
                <c:v>0.9711366286687944</c:v>
              </c:pt>
              <c:pt idx="36">
                <c:v>0.9730504797970441</c:v>
              </c:pt>
              <c:pt idx="37">
                <c:v>0.9748374286968925</c:v>
              </c:pt>
              <c:pt idx="38">
                <c:v>0.9765058899076607</c:v>
              </c:pt>
              <c:pt idx="39">
                <c:v>0.9780637200236054</c:v>
              </c:pt>
              <c:pt idx="40">
                <c:v>0.9795182546897285</c:v>
              </c:pt>
              <c:pt idx="41">
                <c:v>0.9808763431444963</c:v>
              </c:pt>
              <c:pt idx="42">
                <c:v>0.9821443804721246</c:v>
              </c:pt>
              <c:pt idx="43">
                <c:v>0.9833283377163041</c:v>
              </c:pt>
              <c:pt idx="44">
                <c:v>0.9844337899971661</c:v>
              </c:pt>
              <c:pt idx="45">
                <c:v>0.9854659427638904</c:v>
              </c:pt>
              <c:pt idx="46">
                <c:v>0.9864296563065735</c:v>
              </c:pt>
              <c:pt idx="47">
                <c:v>0.9873294686427826</c:v>
              </c:pt>
              <c:pt idx="48">
                <c:v>0.9881696168865644</c:v>
              </c:pt>
              <c:pt idx="49">
                <c:v>0.988954057200534</c:v>
              </c:pt>
              <c:pt idx="50">
                <c:v>0.9896864834249953</c:v>
              </c:pt>
              <c:pt idx="51">
                <c:v>0.9903703444718147</c:v>
              </c:pt>
              <c:pt idx="52">
                <c:v>0.9910088605649555</c:v>
              </c:pt>
              <c:pt idx="53">
                <c:v>0.9916050384041467</c:v>
              </c:pt>
              <c:pt idx="54">
                <c:v>0.9921616853230901</c:v>
              </c:pt>
              <c:pt idx="55">
                <c:v>0.9926814225088763</c:v>
              </c:pt>
              <c:pt idx="56">
                <c:v>0.9931666973448559</c:v>
              </c:pt>
              <c:pt idx="57">
                <c:v>0.9936197949350906</c:v>
              </c:pt>
              <c:pt idx="58">
                <c:v>0.994042848864648</c:v>
              </c:pt>
              <c:pt idx="59">
                <c:v>0.9944378512464114</c:v>
              </c:pt>
              <c:pt idx="60">
                <c:v>0.994806662101713</c:v>
              </c:pt>
            </c:numLit>
          </c:yVal>
          <c:smooth val="0"/>
        </c:ser>
        <c:axId val="223407"/>
        <c:axId val="2010664"/>
      </c:scatterChart>
      <c:valAx>
        <c:axId val="22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Chlorine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010664"/>
        <c:crosses val="autoZero"/>
        <c:crossBetween val="midCat"/>
        <c:dispUnits/>
      </c:valAx>
      <c:valAx>
        <c:axId val="20106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Fraction Hg Removed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3407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Dwayne Collier 2B: 97.5th Percentile = 1.2376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DwayneCollier!$G$5:$G$58</c:f>
              <c:numCache>
                <c:ptCount val="54"/>
                <c:pt idx="0">
                  <c:v>0.031061870388486058</c:v>
                </c:pt>
                <c:pt idx="1">
                  <c:v>0.04605608886869753</c:v>
                </c:pt>
                <c:pt idx="2">
                  <c:v>0.0475681952462172</c:v>
                </c:pt>
                <c:pt idx="3">
                  <c:v>0.05613535069506436</c:v>
                </c:pt>
                <c:pt idx="4">
                  <c:v>0.0729766688268199</c:v>
                </c:pt>
                <c:pt idx="5">
                  <c:v>0.07383242891822997</c:v>
                </c:pt>
                <c:pt idx="6">
                  <c:v>0.0828906972550585</c:v>
                </c:pt>
                <c:pt idx="7">
                  <c:v>0.09047922188440631</c:v>
                </c:pt>
                <c:pt idx="8">
                  <c:v>0.0937456806151875</c:v>
                </c:pt>
                <c:pt idx="9">
                  <c:v>0.10688549336975374</c:v>
                </c:pt>
                <c:pt idx="10">
                  <c:v>0.110023353892628</c:v>
                </c:pt>
                <c:pt idx="11">
                  <c:v>0.11561780874093705</c:v>
                </c:pt>
                <c:pt idx="12">
                  <c:v>0.133930010161512</c:v>
                </c:pt>
                <c:pt idx="13">
                  <c:v>0.14188364386843114</c:v>
                </c:pt>
                <c:pt idx="14">
                  <c:v>0.1458666394118138</c:v>
                </c:pt>
                <c:pt idx="15">
                  <c:v>0.1772370068099426</c:v>
                </c:pt>
                <c:pt idx="16">
                  <c:v>0.17755031128723361</c:v>
                </c:pt>
                <c:pt idx="17">
                  <c:v>0.17914059638848664</c:v>
                </c:pt>
                <c:pt idx="18">
                  <c:v>0.2033613487077892</c:v>
                </c:pt>
                <c:pt idx="19">
                  <c:v>0.21549232299978396</c:v>
                </c:pt>
                <c:pt idx="20">
                  <c:v>0.22118676937732407</c:v>
                </c:pt>
                <c:pt idx="21">
                  <c:v>0.22911657063845534</c:v>
                </c:pt>
                <c:pt idx="22">
                  <c:v>0.24948993186551346</c:v>
                </c:pt>
                <c:pt idx="23">
                  <c:v>0.24979794412707582</c:v>
                </c:pt>
                <c:pt idx="24">
                  <c:v>0.2509826844677004</c:v>
                </c:pt>
                <c:pt idx="25">
                  <c:v>0.2544514721107691</c:v>
                </c:pt>
                <c:pt idx="26">
                  <c:v>0.25872972512961545</c:v>
                </c:pt>
                <c:pt idx="27">
                  <c:v>0.2599570957421848</c:v>
                </c:pt>
                <c:pt idx="28">
                  <c:v>0.26700548651139266</c:v>
                </c:pt>
                <c:pt idx="29">
                  <c:v>0.2721134378996302</c:v>
                </c:pt>
                <c:pt idx="30">
                  <c:v>0.2779442975067845</c:v>
                </c:pt>
                <c:pt idx="31">
                  <c:v>0.31087150653295426</c:v>
                </c:pt>
                <c:pt idx="32">
                  <c:v>0.3202617259516931</c:v>
                </c:pt>
                <c:pt idx="33">
                  <c:v>0.3746186887058266</c:v>
                </c:pt>
                <c:pt idx="34">
                  <c:v>0.3853048771235964</c:v>
                </c:pt>
                <c:pt idx="35">
                  <c:v>0.3885888322576582</c:v>
                </c:pt>
                <c:pt idx="36">
                  <c:v>0.39492004505764783</c:v>
                </c:pt>
                <c:pt idx="37">
                  <c:v>0.4016470447085629</c:v>
                </c:pt>
                <c:pt idx="38">
                  <c:v>0.42922655812676386</c:v>
                </c:pt>
                <c:pt idx="39">
                  <c:v>0.4367582050816324</c:v>
                </c:pt>
                <c:pt idx="40">
                  <c:v>0.4386590740065092</c:v>
                </c:pt>
                <c:pt idx="41">
                  <c:v>0.4413425902993172</c:v>
                </c:pt>
                <c:pt idx="42">
                  <c:v>0.44316665699029</c:v>
                </c:pt>
                <c:pt idx="43">
                  <c:v>0.4600350813582832</c:v>
                </c:pt>
                <c:pt idx="44">
                  <c:v>0.4695239248691004</c:v>
                </c:pt>
                <c:pt idx="45">
                  <c:v>0.47208263835612546</c:v>
                </c:pt>
                <c:pt idx="46">
                  <c:v>0.5165976051876728</c:v>
                </c:pt>
                <c:pt idx="47">
                  <c:v>0.5297977729104171</c:v>
                </c:pt>
                <c:pt idx="48">
                  <c:v>0.572380013417062</c:v>
                </c:pt>
                <c:pt idx="49">
                  <c:v>0.5835850944726005</c:v>
                </c:pt>
                <c:pt idx="50">
                  <c:v>0.6070671188019012</c:v>
                </c:pt>
                <c:pt idx="51">
                  <c:v>0.6258036855131526</c:v>
                </c:pt>
                <c:pt idx="52">
                  <c:v>1.5669585600351785</c:v>
                </c:pt>
                <c:pt idx="53">
                  <c:v>1.8719457176386494</c:v>
                </c:pt>
              </c:numCache>
            </c:numRef>
          </c:xVal>
          <c:yVal>
            <c:numRef>
              <c:f>DwayneCollier!$E$5:$E$58</c:f>
              <c:numCache>
                <c:ptCount val="54"/>
                <c:pt idx="0">
                  <c:v>0.018518518518518517</c:v>
                </c:pt>
                <c:pt idx="1">
                  <c:v>0.037037037037037035</c:v>
                </c:pt>
                <c:pt idx="2">
                  <c:v>0.05555555555555555</c:v>
                </c:pt>
                <c:pt idx="3">
                  <c:v>0.07407407407407407</c:v>
                </c:pt>
                <c:pt idx="4">
                  <c:v>0.09259259259259259</c:v>
                </c:pt>
                <c:pt idx="5">
                  <c:v>0.1111111111111111</c:v>
                </c:pt>
                <c:pt idx="6">
                  <c:v>0.12962962962962962</c:v>
                </c:pt>
                <c:pt idx="7">
                  <c:v>0.14814814814814814</c:v>
                </c:pt>
                <c:pt idx="8">
                  <c:v>0.16666666666666666</c:v>
                </c:pt>
                <c:pt idx="9">
                  <c:v>0.18518518518518517</c:v>
                </c:pt>
                <c:pt idx="10">
                  <c:v>0.2037037037037037</c:v>
                </c:pt>
                <c:pt idx="11">
                  <c:v>0.2222222222222222</c:v>
                </c:pt>
                <c:pt idx="12">
                  <c:v>0.24074074074074073</c:v>
                </c:pt>
                <c:pt idx="13">
                  <c:v>0.25925925925925924</c:v>
                </c:pt>
                <c:pt idx="14">
                  <c:v>0.2777777777777778</c:v>
                </c:pt>
                <c:pt idx="15">
                  <c:v>0.2962962962962963</c:v>
                </c:pt>
                <c:pt idx="16">
                  <c:v>0.3148148148148148</c:v>
                </c:pt>
                <c:pt idx="17">
                  <c:v>0.3333333333333333</c:v>
                </c:pt>
                <c:pt idx="18">
                  <c:v>0.35185185185185186</c:v>
                </c:pt>
                <c:pt idx="19">
                  <c:v>0.37037037037037035</c:v>
                </c:pt>
                <c:pt idx="20">
                  <c:v>0.3888888888888889</c:v>
                </c:pt>
                <c:pt idx="21">
                  <c:v>0.4074074074074074</c:v>
                </c:pt>
                <c:pt idx="22">
                  <c:v>0.42592592592592593</c:v>
                </c:pt>
                <c:pt idx="23">
                  <c:v>0.4444444444444444</c:v>
                </c:pt>
                <c:pt idx="24">
                  <c:v>0.46296296296296297</c:v>
                </c:pt>
                <c:pt idx="25">
                  <c:v>0.48148148148148145</c:v>
                </c:pt>
                <c:pt idx="26">
                  <c:v>0.5</c:v>
                </c:pt>
                <c:pt idx="27">
                  <c:v>0.5185185185185185</c:v>
                </c:pt>
                <c:pt idx="28">
                  <c:v>0.5370370370370371</c:v>
                </c:pt>
                <c:pt idx="29">
                  <c:v>0.5555555555555556</c:v>
                </c:pt>
                <c:pt idx="30">
                  <c:v>0.5740740740740741</c:v>
                </c:pt>
                <c:pt idx="31">
                  <c:v>0.5925925925925926</c:v>
                </c:pt>
                <c:pt idx="32">
                  <c:v>0.6111111111111112</c:v>
                </c:pt>
                <c:pt idx="33">
                  <c:v>0.6296296296296297</c:v>
                </c:pt>
                <c:pt idx="34">
                  <c:v>0.6481481481481481</c:v>
                </c:pt>
                <c:pt idx="35">
                  <c:v>0.6666666666666666</c:v>
                </c:pt>
                <c:pt idx="36">
                  <c:v>0.6851851851851852</c:v>
                </c:pt>
                <c:pt idx="37">
                  <c:v>0.7037037037037037</c:v>
                </c:pt>
                <c:pt idx="38">
                  <c:v>0.7222222222222222</c:v>
                </c:pt>
                <c:pt idx="39">
                  <c:v>0.7407407407407407</c:v>
                </c:pt>
                <c:pt idx="40">
                  <c:v>0.7592592592592593</c:v>
                </c:pt>
                <c:pt idx="41">
                  <c:v>0.7777777777777778</c:v>
                </c:pt>
                <c:pt idx="42">
                  <c:v>0.7962962962962963</c:v>
                </c:pt>
                <c:pt idx="43">
                  <c:v>0.8148148148148148</c:v>
                </c:pt>
                <c:pt idx="44">
                  <c:v>0.8333333333333334</c:v>
                </c:pt>
                <c:pt idx="45">
                  <c:v>0.8518518518518519</c:v>
                </c:pt>
                <c:pt idx="46">
                  <c:v>0.8703703703703703</c:v>
                </c:pt>
                <c:pt idx="47">
                  <c:v>0.8888888888888888</c:v>
                </c:pt>
                <c:pt idx="48">
                  <c:v>0.9074074074074074</c:v>
                </c:pt>
                <c:pt idx="49">
                  <c:v>0.9259259259259259</c:v>
                </c:pt>
                <c:pt idx="50">
                  <c:v>0.9444444444444444</c:v>
                </c:pt>
                <c:pt idx="51">
                  <c:v>0.9629629629629629</c:v>
                </c:pt>
                <c:pt idx="52">
                  <c:v>0.9814814814814815</c:v>
                </c:pt>
                <c:pt idx="53">
                  <c:v>1</c:v>
                </c:pt>
              </c:numCache>
            </c:numRef>
          </c:yVal>
          <c:smooth val="0"/>
        </c:ser>
        <c:axId val="39700583"/>
        <c:axId val="21760928"/>
      </c:scatterChart>
      <c:valAx>
        <c:axId val="39700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60928"/>
        <c:crosses val="autoZero"/>
        <c:crossBetween val="midCat"/>
        <c:dispUnits/>
      </c:valAx>
      <c:valAx>
        <c:axId val="217609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0058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Valmont 5: 97.5th Percentile = 0.6944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Valmont!$G$5:$G$23</c:f>
              <c:numCache>
                <c:ptCount val="19"/>
                <c:pt idx="0">
                  <c:v>0.1290055028311668</c:v>
                </c:pt>
                <c:pt idx="1">
                  <c:v>0.19196202531645573</c:v>
                </c:pt>
                <c:pt idx="2">
                  <c:v>0.21555928679939237</c:v>
                </c:pt>
                <c:pt idx="3">
                  <c:v>0.2895004772510341</c:v>
                </c:pt>
                <c:pt idx="4">
                  <c:v>0.30089285714285724</c:v>
                </c:pt>
                <c:pt idx="5">
                  <c:v>0.3080778627157381</c:v>
                </c:pt>
                <c:pt idx="6">
                  <c:v>0.32346824508078714</c:v>
                </c:pt>
                <c:pt idx="7">
                  <c:v>0.36694955964771825</c:v>
                </c:pt>
                <c:pt idx="8">
                  <c:v>0.3724050832741338</c:v>
                </c:pt>
                <c:pt idx="9">
                  <c:v>0.3738640998450119</c:v>
                </c:pt>
                <c:pt idx="10">
                  <c:v>0.4011590570913933</c:v>
                </c:pt>
                <c:pt idx="11">
                  <c:v>0.4123319649038076</c:v>
                </c:pt>
                <c:pt idx="12">
                  <c:v>0.41790143084260745</c:v>
                </c:pt>
                <c:pt idx="13">
                  <c:v>0.550688881768664</c:v>
                </c:pt>
                <c:pt idx="14">
                  <c:v>0.5690481879729192</c:v>
                </c:pt>
                <c:pt idx="15">
                  <c:v>0.6317388493859083</c:v>
                </c:pt>
                <c:pt idx="16">
                  <c:v>0.6779817978604504</c:v>
                </c:pt>
                <c:pt idx="17">
                  <c:v>0.6805932470810984</c:v>
                </c:pt>
                <c:pt idx="18">
                  <c:v>0.7068638960632389</c:v>
                </c:pt>
              </c:numCache>
            </c:numRef>
          </c:xVal>
          <c:yVal>
            <c:numRef>
              <c:f>Valmont!$E$5:$E$23</c:f>
              <c:numCache>
                <c:ptCount val="19"/>
                <c:pt idx="0">
                  <c:v>0.05263157894736842</c:v>
                </c:pt>
                <c:pt idx="1">
                  <c:v>0.10526315789473684</c:v>
                </c:pt>
                <c:pt idx="2">
                  <c:v>0.15789473684210525</c:v>
                </c:pt>
                <c:pt idx="3">
                  <c:v>0.21052631578947367</c:v>
                </c:pt>
                <c:pt idx="4">
                  <c:v>0.2631578947368421</c:v>
                </c:pt>
                <c:pt idx="5">
                  <c:v>0.3157894736842105</c:v>
                </c:pt>
                <c:pt idx="6">
                  <c:v>0.3684210526315789</c:v>
                </c:pt>
                <c:pt idx="7">
                  <c:v>0.42105263157894735</c:v>
                </c:pt>
                <c:pt idx="8">
                  <c:v>0.47368421052631576</c:v>
                </c:pt>
                <c:pt idx="9">
                  <c:v>0.5263157894736842</c:v>
                </c:pt>
                <c:pt idx="10">
                  <c:v>0.5789473684210527</c:v>
                </c:pt>
                <c:pt idx="11">
                  <c:v>0.631578947368421</c:v>
                </c:pt>
                <c:pt idx="12">
                  <c:v>0.6842105263157895</c:v>
                </c:pt>
                <c:pt idx="13">
                  <c:v>0.7368421052631579</c:v>
                </c:pt>
                <c:pt idx="14">
                  <c:v>0.7894736842105263</c:v>
                </c:pt>
                <c:pt idx="15">
                  <c:v>0.8421052631578947</c:v>
                </c:pt>
                <c:pt idx="16">
                  <c:v>0.8947368421052632</c:v>
                </c:pt>
                <c:pt idx="17">
                  <c:v>0.9473684210526315</c:v>
                </c:pt>
                <c:pt idx="18">
                  <c:v>1</c:v>
                </c:pt>
              </c:numCache>
            </c:numRef>
          </c:yVal>
          <c:smooth val="0"/>
        </c:ser>
        <c:axId val="61630625"/>
        <c:axId val="17804714"/>
      </c:scatterChart>
      <c:valAx>
        <c:axId val="61630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04714"/>
        <c:crosses val="autoZero"/>
        <c:crossBetween val="midCat"/>
        <c:dispUnits/>
      </c:valAx>
      <c:valAx>
        <c:axId val="178047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3062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Stockton Cogen 1: 97.5th Percentile = 0.6095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Stockton!$G$5:$G$44</c:f>
              <c:numCache>
                <c:ptCount val="40"/>
                <c:pt idx="0">
                  <c:v>0.005123539446177322</c:v>
                </c:pt>
                <c:pt idx="1">
                  <c:v>0.008590201590026164</c:v>
                </c:pt>
                <c:pt idx="2">
                  <c:v>0.009613870186904938</c:v>
                </c:pt>
                <c:pt idx="3">
                  <c:v>0.009967619979749825</c:v>
                </c:pt>
                <c:pt idx="4">
                  <c:v>0.011654739795970884</c:v>
                </c:pt>
                <c:pt idx="5">
                  <c:v>0.01210933330783036</c:v>
                </c:pt>
                <c:pt idx="6">
                  <c:v>0.012450573815548607</c:v>
                </c:pt>
                <c:pt idx="7">
                  <c:v>0.015206988457767035</c:v>
                </c:pt>
                <c:pt idx="8">
                  <c:v>0.019066297269585558</c:v>
                </c:pt>
                <c:pt idx="9">
                  <c:v>0.022354760374184136</c:v>
                </c:pt>
                <c:pt idx="10">
                  <c:v>0.023118957206755303</c:v>
                </c:pt>
                <c:pt idx="11">
                  <c:v>0.03472356186581437</c:v>
                </c:pt>
                <c:pt idx="12">
                  <c:v>0.03716116129610582</c:v>
                </c:pt>
                <c:pt idx="13">
                  <c:v>0.03897735420315101</c:v>
                </c:pt>
                <c:pt idx="14">
                  <c:v>0.041635680071521616</c:v>
                </c:pt>
                <c:pt idx="15">
                  <c:v>0.041998518538368924</c:v>
                </c:pt>
                <c:pt idx="16">
                  <c:v>0.04534265413651127</c:v>
                </c:pt>
                <c:pt idx="17">
                  <c:v>0.05035891784712103</c:v>
                </c:pt>
                <c:pt idx="18">
                  <c:v>0.05065615431489349</c:v>
                </c:pt>
                <c:pt idx="19">
                  <c:v>0.059396076942332995</c:v>
                </c:pt>
                <c:pt idx="20">
                  <c:v>0.06313505018868233</c:v>
                </c:pt>
                <c:pt idx="21">
                  <c:v>0.06511808386736931</c:v>
                </c:pt>
                <c:pt idx="22">
                  <c:v>0.06654471975654945</c:v>
                </c:pt>
                <c:pt idx="23">
                  <c:v>0.07141212433983024</c:v>
                </c:pt>
                <c:pt idx="24">
                  <c:v>0.08967993842909985</c:v>
                </c:pt>
                <c:pt idx="25">
                  <c:v>0.12919136366507247</c:v>
                </c:pt>
                <c:pt idx="26">
                  <c:v>0.14199875526518044</c:v>
                </c:pt>
                <c:pt idx="27">
                  <c:v>0.19945031136002708</c:v>
                </c:pt>
                <c:pt idx="28">
                  <c:v>0.2013577920386824</c:v>
                </c:pt>
                <c:pt idx="29">
                  <c:v>0.2511073519398901</c:v>
                </c:pt>
                <c:pt idx="30">
                  <c:v>0.2570204958903675</c:v>
                </c:pt>
                <c:pt idx="31">
                  <c:v>0.27128574998619726</c:v>
                </c:pt>
                <c:pt idx="32">
                  <c:v>0.3056546803208614</c:v>
                </c:pt>
                <c:pt idx="33">
                  <c:v>0.30929362338844635</c:v>
                </c:pt>
                <c:pt idx="34">
                  <c:v>0.34221570917193433</c:v>
                </c:pt>
                <c:pt idx="35">
                  <c:v>0.36196488079118216</c:v>
                </c:pt>
                <c:pt idx="36">
                  <c:v>0.42155769317739417</c:v>
                </c:pt>
                <c:pt idx="37">
                  <c:v>0.5642375722744545</c:v>
                </c:pt>
                <c:pt idx="38">
                  <c:v>0.609453005011771</c:v>
                </c:pt>
                <c:pt idx="39">
                  <c:v>0.6297164287199185</c:v>
                </c:pt>
              </c:numCache>
            </c:numRef>
          </c:xVal>
          <c:yVal>
            <c:numRef>
              <c:f>Stockton!$E$5:$E$44</c:f>
              <c:numCache>
                <c:ptCount val="40"/>
                <c:pt idx="0">
                  <c:v>0.025</c:v>
                </c:pt>
                <c:pt idx="1">
                  <c:v>0.05</c:v>
                </c:pt>
                <c:pt idx="2">
                  <c:v>0.075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</c:v>
                </c:pt>
                <c:pt idx="7">
                  <c:v>0.2</c:v>
                </c:pt>
                <c:pt idx="8">
                  <c:v>0.225</c:v>
                </c:pt>
                <c:pt idx="9">
                  <c:v>0.25</c:v>
                </c:pt>
                <c:pt idx="10">
                  <c:v>0.275</c:v>
                </c:pt>
                <c:pt idx="11">
                  <c:v>0.3</c:v>
                </c:pt>
                <c:pt idx="12">
                  <c:v>0.325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0.425</c:v>
                </c:pt>
                <c:pt idx="17">
                  <c:v>0.45</c:v>
                </c:pt>
                <c:pt idx="18">
                  <c:v>0.475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</c:v>
                </c:pt>
                <c:pt idx="28">
                  <c:v>0.725</c:v>
                </c:pt>
                <c:pt idx="29">
                  <c:v>0.75</c:v>
                </c:pt>
                <c:pt idx="30">
                  <c:v>0.775</c:v>
                </c:pt>
                <c:pt idx="31">
                  <c:v>0.8</c:v>
                </c:pt>
                <c:pt idx="32">
                  <c:v>0.825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</c:v>
                </c:pt>
                <c:pt idx="37">
                  <c:v>0.95</c:v>
                </c:pt>
                <c:pt idx="38">
                  <c:v>0.975</c:v>
                </c:pt>
                <c:pt idx="39">
                  <c:v>1</c:v>
                </c:pt>
              </c:numCache>
            </c:numRef>
          </c:yVal>
          <c:smooth val="0"/>
        </c:ser>
        <c:axId val="26024699"/>
        <c:axId val="32895700"/>
      </c:scatterChart>
      <c:valAx>
        <c:axId val="2602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95700"/>
        <c:crosses val="autoZero"/>
        <c:crossBetween val="midCat"/>
        <c:dispUnits/>
      </c:valAx>
      <c:valAx>
        <c:axId val="328957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24699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AES Hawaii A: 97.5th Percentile = 2.1349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AESHawaii!$G$5:$G$46</c:f>
              <c:numCache>
                <c:ptCount val="42"/>
                <c:pt idx="0">
                  <c:v>0.7324334747396838</c:v>
                </c:pt>
                <c:pt idx="1">
                  <c:v>0.7351552218007277</c:v>
                </c:pt>
                <c:pt idx="2">
                  <c:v>0.7372098439562146</c:v>
                </c:pt>
                <c:pt idx="3">
                  <c:v>0.7384711097285948</c:v>
                </c:pt>
                <c:pt idx="4">
                  <c:v>0.7390458401432018</c:v>
                </c:pt>
                <c:pt idx="5">
                  <c:v>0.7403711211601435</c:v>
                </c:pt>
                <c:pt idx="6">
                  <c:v>0.7443756369052285</c:v>
                </c:pt>
                <c:pt idx="7">
                  <c:v>0.747893203118847</c:v>
                </c:pt>
                <c:pt idx="8">
                  <c:v>0.7520392809059951</c:v>
                </c:pt>
                <c:pt idx="9">
                  <c:v>0.755689957026898</c:v>
                </c:pt>
                <c:pt idx="10">
                  <c:v>0.7595584706446968</c:v>
                </c:pt>
                <c:pt idx="11">
                  <c:v>0.7599231754161332</c:v>
                </c:pt>
                <c:pt idx="12">
                  <c:v>0.761446556009943</c:v>
                </c:pt>
                <c:pt idx="13">
                  <c:v>0.7638967098383075</c:v>
                </c:pt>
                <c:pt idx="14">
                  <c:v>0.768160491829801</c:v>
                </c:pt>
                <c:pt idx="15">
                  <c:v>0.7747409643469038</c:v>
                </c:pt>
                <c:pt idx="16">
                  <c:v>1.0826176179980238</c:v>
                </c:pt>
                <c:pt idx="17">
                  <c:v>1.110643274853801</c:v>
                </c:pt>
                <c:pt idx="18">
                  <c:v>1.1170888557760175</c:v>
                </c:pt>
                <c:pt idx="19">
                  <c:v>1.120251671254424</c:v>
                </c:pt>
                <c:pt idx="20">
                  <c:v>1.1229895931882687</c:v>
                </c:pt>
                <c:pt idx="21">
                  <c:v>1.125918899691724</c:v>
                </c:pt>
                <c:pt idx="22">
                  <c:v>1.1280589213589927</c:v>
                </c:pt>
                <c:pt idx="23">
                  <c:v>1.13272365805169</c:v>
                </c:pt>
                <c:pt idx="24">
                  <c:v>1.133534935540347</c:v>
                </c:pt>
                <c:pt idx="25">
                  <c:v>1.1357040344442673</c:v>
                </c:pt>
                <c:pt idx="26">
                  <c:v>1.1370639418855273</c:v>
                </c:pt>
                <c:pt idx="27">
                  <c:v>1.1385181040684198</c:v>
                </c:pt>
                <c:pt idx="28">
                  <c:v>1.1463983903420523</c:v>
                </c:pt>
                <c:pt idx="29">
                  <c:v>1.1464906632324534</c:v>
                </c:pt>
                <c:pt idx="30">
                  <c:v>1.146675253582354</c:v>
                </c:pt>
                <c:pt idx="31">
                  <c:v>1.1516817593790427</c:v>
                </c:pt>
                <c:pt idx="32">
                  <c:v>1.153827460510328</c:v>
                </c:pt>
                <c:pt idx="33">
                  <c:v>1.1552311435523115</c:v>
                </c:pt>
                <c:pt idx="34">
                  <c:v>1.1609748145733148</c:v>
                </c:pt>
                <c:pt idx="35">
                  <c:v>1.161542852483079</c:v>
                </c:pt>
                <c:pt idx="36">
                  <c:v>1.1739882963817687</c:v>
                </c:pt>
                <c:pt idx="37">
                  <c:v>1.1819765994523277</c:v>
                </c:pt>
                <c:pt idx="38">
                  <c:v>1.5450699642043606</c:v>
                </c:pt>
                <c:pt idx="39">
                  <c:v>2.099027409372237</c:v>
                </c:pt>
                <c:pt idx="40">
                  <c:v>2.1368136813681367</c:v>
                </c:pt>
                <c:pt idx="41">
                  <c:v>2.190036900369004</c:v>
                </c:pt>
              </c:numCache>
            </c:numRef>
          </c:xVal>
          <c:yVal>
            <c:numRef>
              <c:f>AESHawaii!$E$5:$E$46</c:f>
              <c:numCache>
                <c:ptCount val="42"/>
                <c:pt idx="0">
                  <c:v>0.023809523809523808</c:v>
                </c:pt>
                <c:pt idx="1">
                  <c:v>0.047619047619047616</c:v>
                </c:pt>
                <c:pt idx="2">
                  <c:v>0.07142857142857142</c:v>
                </c:pt>
                <c:pt idx="3">
                  <c:v>0.09523809523809523</c:v>
                </c:pt>
                <c:pt idx="4">
                  <c:v>0.11904761904761904</c:v>
                </c:pt>
                <c:pt idx="5">
                  <c:v>0.14285714285714285</c:v>
                </c:pt>
                <c:pt idx="6">
                  <c:v>0.16666666666666666</c:v>
                </c:pt>
                <c:pt idx="7">
                  <c:v>0.19047619047619047</c:v>
                </c:pt>
                <c:pt idx="8">
                  <c:v>0.21428571428571427</c:v>
                </c:pt>
                <c:pt idx="9">
                  <c:v>0.23809523809523808</c:v>
                </c:pt>
                <c:pt idx="10">
                  <c:v>0.2619047619047619</c:v>
                </c:pt>
                <c:pt idx="11">
                  <c:v>0.2857142857142857</c:v>
                </c:pt>
                <c:pt idx="12">
                  <c:v>0.30952380952380953</c:v>
                </c:pt>
                <c:pt idx="13">
                  <c:v>0.3333333333333333</c:v>
                </c:pt>
                <c:pt idx="14">
                  <c:v>0.35714285714285715</c:v>
                </c:pt>
                <c:pt idx="15">
                  <c:v>0.38095238095238093</c:v>
                </c:pt>
                <c:pt idx="16">
                  <c:v>0.40476190476190477</c:v>
                </c:pt>
                <c:pt idx="17">
                  <c:v>0.42857142857142855</c:v>
                </c:pt>
                <c:pt idx="18">
                  <c:v>0.4523809523809524</c:v>
                </c:pt>
                <c:pt idx="19">
                  <c:v>0.47619047619047616</c:v>
                </c:pt>
                <c:pt idx="20">
                  <c:v>0.5</c:v>
                </c:pt>
                <c:pt idx="21">
                  <c:v>0.5238095238095238</c:v>
                </c:pt>
                <c:pt idx="22">
                  <c:v>0.5476190476190477</c:v>
                </c:pt>
                <c:pt idx="23">
                  <c:v>0.5714285714285714</c:v>
                </c:pt>
                <c:pt idx="24">
                  <c:v>0.5952380952380952</c:v>
                </c:pt>
                <c:pt idx="25">
                  <c:v>0.6190476190476191</c:v>
                </c:pt>
                <c:pt idx="26">
                  <c:v>0.6428571428571429</c:v>
                </c:pt>
                <c:pt idx="27">
                  <c:v>0.6666666666666666</c:v>
                </c:pt>
                <c:pt idx="28">
                  <c:v>0.6904761904761905</c:v>
                </c:pt>
                <c:pt idx="29">
                  <c:v>0.7142857142857143</c:v>
                </c:pt>
                <c:pt idx="30">
                  <c:v>0.7380952380952381</c:v>
                </c:pt>
                <c:pt idx="31">
                  <c:v>0.7619047619047619</c:v>
                </c:pt>
                <c:pt idx="32">
                  <c:v>0.7857142857142857</c:v>
                </c:pt>
                <c:pt idx="33">
                  <c:v>0.8095238095238095</c:v>
                </c:pt>
                <c:pt idx="34">
                  <c:v>0.8333333333333334</c:v>
                </c:pt>
                <c:pt idx="35">
                  <c:v>0.8571428571428571</c:v>
                </c:pt>
                <c:pt idx="36">
                  <c:v>0.8809523809523809</c:v>
                </c:pt>
                <c:pt idx="37">
                  <c:v>0.9047619047619048</c:v>
                </c:pt>
                <c:pt idx="38">
                  <c:v>0.9285714285714286</c:v>
                </c:pt>
                <c:pt idx="39">
                  <c:v>0.9523809523809523</c:v>
                </c:pt>
                <c:pt idx="40">
                  <c:v>0.9761904761904762</c:v>
                </c:pt>
                <c:pt idx="41">
                  <c:v>1</c:v>
                </c:pt>
              </c:numCache>
            </c:numRef>
          </c:yVal>
          <c:smooth val="0"/>
        </c:ser>
        <c:axId val="27625845"/>
        <c:axId val="47306014"/>
      </c:scatterChart>
      <c:valAx>
        <c:axId val="2762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06014"/>
        <c:crosses val="autoZero"/>
        <c:crossBetween val="midCat"/>
        <c:dispUnits/>
      </c:valAx>
      <c:valAx>
        <c:axId val="473060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2584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Clay Boswell 2: 97.5th Percentile = 1.9912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ClayBoswell!$G$5:$G$53</c:f>
              <c:numCache>
                <c:ptCount val="49"/>
                <c:pt idx="0">
                  <c:v>0.18049227337900273</c:v>
                </c:pt>
                <c:pt idx="1">
                  <c:v>0.19598425829250665</c:v>
                </c:pt>
                <c:pt idx="2">
                  <c:v>0.20857598723573992</c:v>
                </c:pt>
                <c:pt idx="3">
                  <c:v>0.3203276068717539</c:v>
                </c:pt>
                <c:pt idx="4">
                  <c:v>0.4183869419107057</c:v>
                </c:pt>
                <c:pt idx="5">
                  <c:v>0.48944961489088573</c:v>
                </c:pt>
                <c:pt idx="6">
                  <c:v>0.5209709992729623</c:v>
                </c:pt>
                <c:pt idx="7">
                  <c:v>0.5313171827370448</c:v>
                </c:pt>
                <c:pt idx="8">
                  <c:v>0.5368728215935803</c:v>
                </c:pt>
                <c:pt idx="9">
                  <c:v>0.5952191235059762</c:v>
                </c:pt>
                <c:pt idx="10">
                  <c:v>0.6019033087054289</c:v>
                </c:pt>
                <c:pt idx="11">
                  <c:v>0.6680339231835604</c:v>
                </c:pt>
                <c:pt idx="12">
                  <c:v>0.6767836919592298</c:v>
                </c:pt>
                <c:pt idx="13">
                  <c:v>0.7494037478705282</c:v>
                </c:pt>
                <c:pt idx="14">
                  <c:v>0.7784352819204085</c:v>
                </c:pt>
                <c:pt idx="15">
                  <c:v>0.8267969126869272</c:v>
                </c:pt>
                <c:pt idx="16">
                  <c:v>0.8808052816040427</c:v>
                </c:pt>
                <c:pt idx="17">
                  <c:v>0.9281628446276733</c:v>
                </c:pt>
                <c:pt idx="18">
                  <c:v>0.9290101522842641</c:v>
                </c:pt>
                <c:pt idx="19">
                  <c:v>0.9470555333599682</c:v>
                </c:pt>
                <c:pt idx="20">
                  <c:v>0.962656130512363</c:v>
                </c:pt>
                <c:pt idx="21">
                  <c:v>1.0081901249056922</c:v>
                </c:pt>
                <c:pt idx="22">
                  <c:v>1.0315259117082534</c:v>
                </c:pt>
                <c:pt idx="23">
                  <c:v>1.033020066040132</c:v>
                </c:pt>
                <c:pt idx="24">
                  <c:v>1.034379318754573</c:v>
                </c:pt>
                <c:pt idx="25">
                  <c:v>1.0365440991707848</c:v>
                </c:pt>
                <c:pt idx="26">
                  <c:v>1.0601115053218448</c:v>
                </c:pt>
                <c:pt idx="27">
                  <c:v>1.081964285714286</c:v>
                </c:pt>
                <c:pt idx="28">
                  <c:v>1.0998233215547704</c:v>
                </c:pt>
                <c:pt idx="29">
                  <c:v>1.1165542818610925</c:v>
                </c:pt>
                <c:pt idx="30">
                  <c:v>1.1324781341107872</c:v>
                </c:pt>
                <c:pt idx="31">
                  <c:v>1.1462392108508015</c:v>
                </c:pt>
                <c:pt idx="32">
                  <c:v>1.1470786516853932</c:v>
                </c:pt>
                <c:pt idx="33">
                  <c:v>1.2145357316480312</c:v>
                </c:pt>
                <c:pt idx="34">
                  <c:v>1.2412449731903485</c:v>
                </c:pt>
                <c:pt idx="35">
                  <c:v>1.2472009428403064</c:v>
                </c:pt>
                <c:pt idx="36">
                  <c:v>1.250073349633252</c:v>
                </c:pt>
                <c:pt idx="37">
                  <c:v>1.2876522162688748</c:v>
                </c:pt>
                <c:pt idx="38">
                  <c:v>1.3007462686567164</c:v>
                </c:pt>
                <c:pt idx="39">
                  <c:v>1.3009644414625965</c:v>
                </c:pt>
                <c:pt idx="40">
                  <c:v>1.312941742126773</c:v>
                </c:pt>
                <c:pt idx="41">
                  <c:v>1.319391206313416</c:v>
                </c:pt>
                <c:pt idx="42">
                  <c:v>1.3336420747422681</c:v>
                </c:pt>
                <c:pt idx="43">
                  <c:v>1.4753855179349646</c:v>
                </c:pt>
                <c:pt idx="44">
                  <c:v>1.513702155033773</c:v>
                </c:pt>
                <c:pt idx="45">
                  <c:v>1.6144374575118967</c:v>
                </c:pt>
                <c:pt idx="46">
                  <c:v>1.7517587939698493</c:v>
                </c:pt>
                <c:pt idx="47">
                  <c:v>2.060732852590978</c:v>
                </c:pt>
                <c:pt idx="48">
                  <c:v>2.169768005820063</c:v>
                </c:pt>
              </c:numCache>
            </c:numRef>
          </c:xVal>
          <c:yVal>
            <c:numRef>
              <c:f>ClayBoswell!$E$5:$E$53</c:f>
              <c:numCache>
                <c:ptCount val="49"/>
                <c:pt idx="0">
                  <c:v>0.02040816326530612</c:v>
                </c:pt>
                <c:pt idx="1">
                  <c:v>0.04081632653061224</c:v>
                </c:pt>
                <c:pt idx="2">
                  <c:v>0.061224489795918366</c:v>
                </c:pt>
                <c:pt idx="3">
                  <c:v>0.08163265306122448</c:v>
                </c:pt>
                <c:pt idx="4">
                  <c:v>0.10204081632653061</c:v>
                </c:pt>
                <c:pt idx="5">
                  <c:v>0.12244897959183673</c:v>
                </c:pt>
                <c:pt idx="6">
                  <c:v>0.14285714285714285</c:v>
                </c:pt>
                <c:pt idx="7">
                  <c:v>0.16326530612244897</c:v>
                </c:pt>
                <c:pt idx="8">
                  <c:v>0.1836734693877551</c:v>
                </c:pt>
                <c:pt idx="9">
                  <c:v>0.20408163265306123</c:v>
                </c:pt>
                <c:pt idx="10">
                  <c:v>0.22448979591836735</c:v>
                </c:pt>
                <c:pt idx="11">
                  <c:v>0.24489795918367346</c:v>
                </c:pt>
                <c:pt idx="12">
                  <c:v>0.2653061224489796</c:v>
                </c:pt>
                <c:pt idx="13">
                  <c:v>0.2857142857142857</c:v>
                </c:pt>
                <c:pt idx="14">
                  <c:v>0.30612244897959184</c:v>
                </c:pt>
                <c:pt idx="15">
                  <c:v>0.32653061224489793</c:v>
                </c:pt>
                <c:pt idx="16">
                  <c:v>0.3469387755102041</c:v>
                </c:pt>
                <c:pt idx="17">
                  <c:v>0.3673469387755102</c:v>
                </c:pt>
                <c:pt idx="18">
                  <c:v>0.3877551020408163</c:v>
                </c:pt>
                <c:pt idx="19">
                  <c:v>0.40816326530612246</c:v>
                </c:pt>
                <c:pt idx="20">
                  <c:v>0.42857142857142855</c:v>
                </c:pt>
                <c:pt idx="21">
                  <c:v>0.4489795918367347</c:v>
                </c:pt>
                <c:pt idx="22">
                  <c:v>0.46938775510204084</c:v>
                </c:pt>
                <c:pt idx="23">
                  <c:v>0.4897959183673469</c:v>
                </c:pt>
                <c:pt idx="24">
                  <c:v>0.5102040816326531</c:v>
                </c:pt>
                <c:pt idx="25">
                  <c:v>0.5306122448979592</c:v>
                </c:pt>
                <c:pt idx="26">
                  <c:v>0.5510204081632653</c:v>
                </c:pt>
                <c:pt idx="27">
                  <c:v>0.5714285714285714</c:v>
                </c:pt>
                <c:pt idx="28">
                  <c:v>0.5918367346938775</c:v>
                </c:pt>
                <c:pt idx="29">
                  <c:v>0.6122448979591837</c:v>
                </c:pt>
                <c:pt idx="30">
                  <c:v>0.6326530612244898</c:v>
                </c:pt>
                <c:pt idx="31">
                  <c:v>0.6530612244897959</c:v>
                </c:pt>
                <c:pt idx="32">
                  <c:v>0.673469387755102</c:v>
                </c:pt>
                <c:pt idx="33">
                  <c:v>0.6938775510204082</c:v>
                </c:pt>
                <c:pt idx="34">
                  <c:v>0.7142857142857143</c:v>
                </c:pt>
                <c:pt idx="35">
                  <c:v>0.7346938775510204</c:v>
                </c:pt>
                <c:pt idx="36">
                  <c:v>0.7551020408163265</c:v>
                </c:pt>
                <c:pt idx="37">
                  <c:v>0.7755102040816326</c:v>
                </c:pt>
                <c:pt idx="38">
                  <c:v>0.7959183673469388</c:v>
                </c:pt>
                <c:pt idx="39">
                  <c:v>0.8163265306122449</c:v>
                </c:pt>
                <c:pt idx="40">
                  <c:v>0.8367346938775511</c:v>
                </c:pt>
                <c:pt idx="41">
                  <c:v>0.8571428571428571</c:v>
                </c:pt>
                <c:pt idx="42">
                  <c:v>0.8775510204081632</c:v>
                </c:pt>
                <c:pt idx="43">
                  <c:v>0.8979591836734694</c:v>
                </c:pt>
                <c:pt idx="44">
                  <c:v>0.9183673469387755</c:v>
                </c:pt>
                <c:pt idx="45">
                  <c:v>0.9387755102040817</c:v>
                </c:pt>
                <c:pt idx="46">
                  <c:v>0.9591836734693877</c:v>
                </c:pt>
                <c:pt idx="47">
                  <c:v>0.9795918367346939</c:v>
                </c:pt>
                <c:pt idx="48">
                  <c:v>1</c:v>
                </c:pt>
              </c:numCache>
            </c:numRef>
          </c:yVal>
          <c:smooth val="0"/>
        </c:ser>
        <c:axId val="23100943"/>
        <c:axId val="6581896"/>
      </c:scatterChart>
      <c:valAx>
        <c:axId val="23100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1896"/>
        <c:crosses val="autoZero"/>
        <c:crossBetween val="midCat"/>
        <c:dispUnits/>
      </c:valAx>
      <c:valAx>
        <c:axId val="65818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0094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Craig C3: 97.5th Percentile = 2.6351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Craig!$G$5:$G$86</c:f>
              <c:numCache>
                <c:ptCount val="82"/>
                <c:pt idx="0">
                  <c:v>1.0353161300382006</c:v>
                </c:pt>
                <c:pt idx="1">
                  <c:v>1.0371758825367072</c:v>
                </c:pt>
                <c:pt idx="2">
                  <c:v>1.0388797621841508</c:v>
                </c:pt>
                <c:pt idx="3">
                  <c:v>1.0416503255157266</c:v>
                </c:pt>
                <c:pt idx="4">
                  <c:v>1.045916358194849</c:v>
                </c:pt>
                <c:pt idx="5">
                  <c:v>1.0468232697461768</c:v>
                </c:pt>
                <c:pt idx="6">
                  <c:v>1.0495534655812848</c:v>
                </c:pt>
                <c:pt idx="7">
                  <c:v>1.049802371541502</c:v>
                </c:pt>
                <c:pt idx="8">
                  <c:v>1.0507160376612072</c:v>
                </c:pt>
                <c:pt idx="9">
                  <c:v>1.0507991770849816</c:v>
                </c:pt>
                <c:pt idx="10">
                  <c:v>1.0524647329212236</c:v>
                </c:pt>
                <c:pt idx="11">
                  <c:v>1.0554760769353042</c:v>
                </c:pt>
                <c:pt idx="12">
                  <c:v>1.0582516535182085</c:v>
                </c:pt>
                <c:pt idx="13">
                  <c:v>1.0589267203572281</c:v>
                </c:pt>
                <c:pt idx="14">
                  <c:v>1.0596872007660387</c:v>
                </c:pt>
                <c:pt idx="15">
                  <c:v>1.060872343824892</c:v>
                </c:pt>
                <c:pt idx="16">
                  <c:v>1.0609570983462489</c:v>
                </c:pt>
                <c:pt idx="17">
                  <c:v>1.0623999999999998</c:v>
                </c:pt>
                <c:pt idx="18">
                  <c:v>1.0629952773553188</c:v>
                </c:pt>
                <c:pt idx="19">
                  <c:v>1.0640173063055844</c:v>
                </c:pt>
                <c:pt idx="20">
                  <c:v>1.0641878355637469</c:v>
                </c:pt>
                <c:pt idx="21">
                  <c:v>1.0681251508083325</c:v>
                </c:pt>
                <c:pt idx="22">
                  <c:v>1.0682110682110681</c:v>
                </c:pt>
                <c:pt idx="23">
                  <c:v>1.0682969994368916</c:v>
                </c:pt>
                <c:pt idx="24">
                  <c:v>1.0691570726994604</c:v>
                </c:pt>
                <c:pt idx="25">
                  <c:v>1.0694153647930422</c:v>
                </c:pt>
                <c:pt idx="26">
                  <c:v>1.0700185319474658</c:v>
                </c:pt>
                <c:pt idx="27">
                  <c:v>1.0707086995081834</c:v>
                </c:pt>
                <c:pt idx="28">
                  <c:v>1.074259828506714</c:v>
                </c:pt>
                <c:pt idx="29">
                  <c:v>1.0780095786995696</c:v>
                </c:pt>
                <c:pt idx="30">
                  <c:v>1.0784472957609224</c:v>
                </c:pt>
                <c:pt idx="31">
                  <c:v>1.078973025674358</c:v>
                </c:pt>
                <c:pt idx="32">
                  <c:v>1.083109044939238</c:v>
                </c:pt>
                <c:pt idx="33">
                  <c:v>1.0843471870662202</c:v>
                </c:pt>
                <c:pt idx="34">
                  <c:v>1.0843471870662202</c:v>
                </c:pt>
                <c:pt idx="35">
                  <c:v>1.0853220006538082</c:v>
                </c:pt>
                <c:pt idx="36">
                  <c:v>1.0873659215589944</c:v>
                </c:pt>
                <c:pt idx="37">
                  <c:v>1.0877221721680725</c:v>
                </c:pt>
                <c:pt idx="38">
                  <c:v>1.0885245901639342</c:v>
                </c:pt>
                <c:pt idx="39">
                  <c:v>1.0904910494334044</c:v>
                </c:pt>
                <c:pt idx="40">
                  <c:v>1.091387245233399</c:v>
                </c:pt>
                <c:pt idx="41">
                  <c:v>1.093724262889145</c:v>
                </c:pt>
                <c:pt idx="42">
                  <c:v>1.09417483727445</c:v>
                </c:pt>
                <c:pt idx="43">
                  <c:v>1.096071310663585</c:v>
                </c:pt>
                <c:pt idx="44">
                  <c:v>1.0977928412002975</c:v>
                </c:pt>
                <c:pt idx="45">
                  <c:v>1.0986101919258768</c:v>
                </c:pt>
                <c:pt idx="46">
                  <c:v>1.0992467510967634</c:v>
                </c:pt>
                <c:pt idx="47">
                  <c:v>1.1009782788923892</c:v>
                </c:pt>
                <c:pt idx="48">
                  <c:v>1.101069563054473</c:v>
                </c:pt>
                <c:pt idx="49">
                  <c:v>1.1018918021905078</c:v>
                </c:pt>
                <c:pt idx="50">
                  <c:v>1.1036316795479097</c:v>
                </c:pt>
                <c:pt idx="51">
                  <c:v>1.1055611055611054</c:v>
                </c:pt>
                <c:pt idx="52">
                  <c:v>1.1084216676404306</c:v>
                </c:pt>
                <c:pt idx="53">
                  <c:v>1.108884435537742</c:v>
                </c:pt>
                <c:pt idx="54">
                  <c:v>1.108884435537742</c:v>
                </c:pt>
                <c:pt idx="55">
                  <c:v>1.1190696890536782</c:v>
                </c:pt>
                <c:pt idx="56">
                  <c:v>1.5550351288056203</c:v>
                </c:pt>
                <c:pt idx="57">
                  <c:v>1.570358691367757</c:v>
                </c:pt>
                <c:pt idx="58">
                  <c:v>1.573584011375306</c:v>
                </c:pt>
                <c:pt idx="59">
                  <c:v>1.5769474350854968</c:v>
                </c:pt>
                <c:pt idx="60">
                  <c:v>1.5791977168225777</c:v>
                </c:pt>
                <c:pt idx="61">
                  <c:v>1.5823337834617521</c:v>
                </c:pt>
                <c:pt idx="62">
                  <c:v>1.60878694879664</c:v>
                </c:pt>
                <c:pt idx="63">
                  <c:v>1.6129554655870442</c:v>
                </c:pt>
                <c:pt idx="64">
                  <c:v>1.6270521930899287</c:v>
                </c:pt>
                <c:pt idx="65">
                  <c:v>1.637484586929716</c:v>
                </c:pt>
                <c:pt idx="66">
                  <c:v>1.638292622748581</c:v>
                </c:pt>
                <c:pt idx="67">
                  <c:v>1.643022104915869</c:v>
                </c:pt>
                <c:pt idx="68">
                  <c:v>1.643157634248948</c:v>
                </c:pt>
                <c:pt idx="69">
                  <c:v>1.6435643564356432</c:v>
                </c:pt>
                <c:pt idx="70">
                  <c:v>1.6700201207243457</c:v>
                </c:pt>
                <c:pt idx="71">
                  <c:v>1.671421379426078</c:v>
                </c:pt>
                <c:pt idx="72">
                  <c:v>2.0751621220407843</c:v>
                </c:pt>
                <c:pt idx="73">
                  <c:v>2.093481516512966</c:v>
                </c:pt>
                <c:pt idx="74">
                  <c:v>2.109610802223987</c:v>
                </c:pt>
                <c:pt idx="75">
                  <c:v>2.14418341809962</c:v>
                </c:pt>
                <c:pt idx="76">
                  <c:v>2.1600520494469744</c:v>
                </c:pt>
                <c:pt idx="77">
                  <c:v>2.190876845665264</c:v>
                </c:pt>
                <c:pt idx="78">
                  <c:v>2.6035131744040143</c:v>
                </c:pt>
                <c:pt idx="79">
                  <c:v>2.636804066396632</c:v>
                </c:pt>
                <c:pt idx="80">
                  <c:v>3.3445265278710536</c:v>
                </c:pt>
                <c:pt idx="81">
                  <c:v>4.222575516693163</c:v>
                </c:pt>
              </c:numCache>
            </c:numRef>
          </c:xVal>
          <c:yVal>
            <c:numRef>
              <c:f>Craig!$E$5:$E$86</c:f>
              <c:numCache>
                <c:ptCount val="82"/>
                <c:pt idx="0">
                  <c:v>0.012195121951219513</c:v>
                </c:pt>
                <c:pt idx="1">
                  <c:v>0.024390243902439025</c:v>
                </c:pt>
                <c:pt idx="2">
                  <c:v>0.036585365853658534</c:v>
                </c:pt>
                <c:pt idx="3">
                  <c:v>0.04878048780487805</c:v>
                </c:pt>
                <c:pt idx="4">
                  <c:v>0.06097560975609756</c:v>
                </c:pt>
                <c:pt idx="5">
                  <c:v>0.07317073170731707</c:v>
                </c:pt>
                <c:pt idx="6">
                  <c:v>0.08536585365853659</c:v>
                </c:pt>
                <c:pt idx="7">
                  <c:v>0.0975609756097561</c:v>
                </c:pt>
                <c:pt idx="8">
                  <c:v>0.10975609756097561</c:v>
                </c:pt>
                <c:pt idx="9">
                  <c:v>0.12195121951219512</c:v>
                </c:pt>
                <c:pt idx="10">
                  <c:v>0.13414634146341464</c:v>
                </c:pt>
                <c:pt idx="11">
                  <c:v>0.14634146341463414</c:v>
                </c:pt>
                <c:pt idx="12">
                  <c:v>0.15853658536585366</c:v>
                </c:pt>
                <c:pt idx="13">
                  <c:v>0.17073170731707318</c:v>
                </c:pt>
                <c:pt idx="14">
                  <c:v>0.18292682926829268</c:v>
                </c:pt>
                <c:pt idx="15">
                  <c:v>0.1951219512195122</c:v>
                </c:pt>
                <c:pt idx="16">
                  <c:v>0.2073170731707317</c:v>
                </c:pt>
                <c:pt idx="17">
                  <c:v>0.21951219512195122</c:v>
                </c:pt>
                <c:pt idx="18">
                  <c:v>0.23170731707317074</c:v>
                </c:pt>
                <c:pt idx="19">
                  <c:v>0.24390243902439024</c:v>
                </c:pt>
                <c:pt idx="20">
                  <c:v>0.25609756097560976</c:v>
                </c:pt>
                <c:pt idx="21">
                  <c:v>0.2682926829268293</c:v>
                </c:pt>
                <c:pt idx="22">
                  <c:v>0.2804878048780488</c:v>
                </c:pt>
                <c:pt idx="23">
                  <c:v>0.2926829268292683</c:v>
                </c:pt>
                <c:pt idx="24">
                  <c:v>0.3048780487804878</c:v>
                </c:pt>
                <c:pt idx="25">
                  <c:v>0.3170731707317073</c:v>
                </c:pt>
                <c:pt idx="26">
                  <c:v>0.32926829268292684</c:v>
                </c:pt>
                <c:pt idx="27">
                  <c:v>0.34146341463414637</c:v>
                </c:pt>
                <c:pt idx="28">
                  <c:v>0.35365853658536583</c:v>
                </c:pt>
                <c:pt idx="29">
                  <c:v>0.36585365853658536</c:v>
                </c:pt>
                <c:pt idx="30">
                  <c:v>0.3780487804878049</c:v>
                </c:pt>
                <c:pt idx="31">
                  <c:v>0.3902439024390244</c:v>
                </c:pt>
                <c:pt idx="32">
                  <c:v>0.4024390243902439</c:v>
                </c:pt>
                <c:pt idx="33">
                  <c:v>0.4146341463414634</c:v>
                </c:pt>
                <c:pt idx="34">
                  <c:v>0.4268292682926829</c:v>
                </c:pt>
                <c:pt idx="35">
                  <c:v>0.43902439024390244</c:v>
                </c:pt>
                <c:pt idx="36">
                  <c:v>0.45121951219512196</c:v>
                </c:pt>
                <c:pt idx="37">
                  <c:v>0.4634146341463415</c:v>
                </c:pt>
                <c:pt idx="38">
                  <c:v>0.47560975609756095</c:v>
                </c:pt>
                <c:pt idx="39">
                  <c:v>0.4878048780487805</c:v>
                </c:pt>
                <c:pt idx="40">
                  <c:v>0.5</c:v>
                </c:pt>
                <c:pt idx="41">
                  <c:v>0.5121951219512195</c:v>
                </c:pt>
                <c:pt idx="42">
                  <c:v>0.524390243902439</c:v>
                </c:pt>
                <c:pt idx="43">
                  <c:v>0.5365853658536586</c:v>
                </c:pt>
                <c:pt idx="44">
                  <c:v>0.5487804878048781</c:v>
                </c:pt>
                <c:pt idx="45">
                  <c:v>0.5609756097560976</c:v>
                </c:pt>
                <c:pt idx="46">
                  <c:v>0.573170731707317</c:v>
                </c:pt>
                <c:pt idx="47">
                  <c:v>0.5853658536585366</c:v>
                </c:pt>
                <c:pt idx="48">
                  <c:v>0.5975609756097561</c:v>
                </c:pt>
                <c:pt idx="49">
                  <c:v>0.6097560975609756</c:v>
                </c:pt>
                <c:pt idx="50">
                  <c:v>0.6219512195121951</c:v>
                </c:pt>
                <c:pt idx="51">
                  <c:v>0.6341463414634146</c:v>
                </c:pt>
                <c:pt idx="52">
                  <c:v>0.6463414634146342</c:v>
                </c:pt>
                <c:pt idx="53">
                  <c:v>0.6585365853658537</c:v>
                </c:pt>
                <c:pt idx="54">
                  <c:v>0.6707317073170732</c:v>
                </c:pt>
                <c:pt idx="55">
                  <c:v>0.6829268292682927</c:v>
                </c:pt>
                <c:pt idx="56">
                  <c:v>0.6951219512195121</c:v>
                </c:pt>
                <c:pt idx="57">
                  <c:v>0.7073170731707317</c:v>
                </c:pt>
                <c:pt idx="58">
                  <c:v>0.7195121951219512</c:v>
                </c:pt>
                <c:pt idx="59">
                  <c:v>0.7317073170731707</c:v>
                </c:pt>
                <c:pt idx="60">
                  <c:v>0.7439024390243902</c:v>
                </c:pt>
                <c:pt idx="61">
                  <c:v>0.7560975609756098</c:v>
                </c:pt>
                <c:pt idx="62">
                  <c:v>0.7682926829268293</c:v>
                </c:pt>
                <c:pt idx="63">
                  <c:v>0.7804878048780488</c:v>
                </c:pt>
                <c:pt idx="64">
                  <c:v>0.7926829268292683</c:v>
                </c:pt>
                <c:pt idx="65">
                  <c:v>0.8048780487804879</c:v>
                </c:pt>
                <c:pt idx="66">
                  <c:v>0.8170731707317073</c:v>
                </c:pt>
                <c:pt idx="67">
                  <c:v>0.8292682926829268</c:v>
                </c:pt>
                <c:pt idx="68">
                  <c:v>0.8414634146341463</c:v>
                </c:pt>
                <c:pt idx="69">
                  <c:v>0.8536585365853658</c:v>
                </c:pt>
                <c:pt idx="70">
                  <c:v>0.8658536585365854</c:v>
                </c:pt>
                <c:pt idx="71">
                  <c:v>0.8780487804878049</c:v>
                </c:pt>
                <c:pt idx="72">
                  <c:v>0.8902439024390244</c:v>
                </c:pt>
                <c:pt idx="73">
                  <c:v>0.9024390243902439</c:v>
                </c:pt>
                <c:pt idx="74">
                  <c:v>0.9146341463414634</c:v>
                </c:pt>
                <c:pt idx="75">
                  <c:v>0.926829268292683</c:v>
                </c:pt>
                <c:pt idx="76">
                  <c:v>0.9390243902439024</c:v>
                </c:pt>
                <c:pt idx="77">
                  <c:v>0.9512195121951219</c:v>
                </c:pt>
                <c:pt idx="78">
                  <c:v>0.9634146341463414</c:v>
                </c:pt>
                <c:pt idx="79">
                  <c:v>0.975609756097561</c:v>
                </c:pt>
                <c:pt idx="80">
                  <c:v>0.9878048780487805</c:v>
                </c:pt>
                <c:pt idx="81">
                  <c:v>1</c:v>
                </c:pt>
              </c:numCache>
            </c:numRef>
          </c:yVal>
          <c:smooth val="0"/>
        </c:ser>
        <c:axId val="59237065"/>
        <c:axId val="63371538"/>
      </c:scatterChart>
      <c:valAx>
        <c:axId val="5923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71538"/>
        <c:crosses val="autoZero"/>
        <c:crossBetween val="midCat"/>
        <c:dispUnits/>
      </c:valAx>
      <c:valAx>
        <c:axId val="633715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3706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Cholla 3: 97.5th Percentile = 5.5830 lb Hg/TBtu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Cholla!$G$5:$G$83</c:f>
              <c:numCache>
                <c:ptCount val="79"/>
                <c:pt idx="0">
                  <c:v>0.892990770765777</c:v>
                </c:pt>
                <c:pt idx="1">
                  <c:v>0.9207029575653665</c:v>
                </c:pt>
                <c:pt idx="2">
                  <c:v>0.9249849280854362</c:v>
                </c:pt>
                <c:pt idx="3">
                  <c:v>0.9305146421763992</c:v>
                </c:pt>
                <c:pt idx="4">
                  <c:v>0.9475077194530216</c:v>
                </c:pt>
                <c:pt idx="5">
                  <c:v>1.0509834621782954</c:v>
                </c:pt>
                <c:pt idx="6">
                  <c:v>1.1827868175435698</c:v>
                </c:pt>
                <c:pt idx="7">
                  <c:v>1.2017455521987244</c:v>
                </c:pt>
                <c:pt idx="8">
                  <c:v>1.2135593220338983</c:v>
                </c:pt>
                <c:pt idx="9">
                  <c:v>1.2219472651250107</c:v>
                </c:pt>
                <c:pt idx="10">
                  <c:v>1.2235133287764868</c:v>
                </c:pt>
                <c:pt idx="11">
                  <c:v>1.231404248000688</c:v>
                </c:pt>
                <c:pt idx="12">
                  <c:v>1.231722002408395</c:v>
                </c:pt>
                <c:pt idx="13">
                  <c:v>1.2376836646499567</c:v>
                </c:pt>
                <c:pt idx="14">
                  <c:v>1.2381117067266125</c:v>
                </c:pt>
                <c:pt idx="15">
                  <c:v>1.2405787057090878</c:v>
                </c:pt>
                <c:pt idx="16">
                  <c:v>1.2430555555555556</c:v>
                </c:pt>
                <c:pt idx="17">
                  <c:v>1.2454339885197425</c:v>
                </c:pt>
                <c:pt idx="18">
                  <c:v>1.2530626531326565</c:v>
                </c:pt>
                <c:pt idx="19">
                  <c:v>1.2536111354285213</c:v>
                </c:pt>
                <c:pt idx="20">
                  <c:v>1.25514944342186</c:v>
                </c:pt>
                <c:pt idx="21">
                  <c:v>1.2566915313734095</c:v>
                </c:pt>
                <c:pt idx="22">
                  <c:v>1.2673687936985574</c:v>
                </c:pt>
                <c:pt idx="23">
                  <c:v>1.269166001949836</c:v>
                </c:pt>
                <c:pt idx="24">
                  <c:v>1.2695035460992907</c:v>
                </c:pt>
                <c:pt idx="25">
                  <c:v>1.2774308652988404</c:v>
                </c:pt>
                <c:pt idx="26">
                  <c:v>1.278913994820041</c:v>
                </c:pt>
                <c:pt idx="27">
                  <c:v>1.2976891708201177</c:v>
                </c:pt>
                <c:pt idx="28">
                  <c:v>1.3135204549623922</c:v>
                </c:pt>
                <c:pt idx="29">
                  <c:v>1.3906963193163058</c:v>
                </c:pt>
                <c:pt idx="30">
                  <c:v>1.452922077922078</c:v>
                </c:pt>
                <c:pt idx="31">
                  <c:v>1.4601815030080554</c:v>
                </c:pt>
                <c:pt idx="32">
                  <c:v>1.4609263415629463</c:v>
                </c:pt>
                <c:pt idx="33">
                  <c:v>1.462537789035052</c:v>
                </c:pt>
                <c:pt idx="34">
                  <c:v>1.4850150368142694</c:v>
                </c:pt>
                <c:pt idx="35">
                  <c:v>1.4938451909034007</c:v>
                </c:pt>
                <c:pt idx="36">
                  <c:v>1.5096567428523235</c:v>
                </c:pt>
                <c:pt idx="37">
                  <c:v>1.5360851282931434</c:v>
                </c:pt>
                <c:pt idx="38">
                  <c:v>1.5424386040499785</c:v>
                </c:pt>
                <c:pt idx="39">
                  <c:v>1.5435026299905148</c:v>
                </c:pt>
                <c:pt idx="40">
                  <c:v>1.54430161332068</c:v>
                </c:pt>
                <c:pt idx="41">
                  <c:v>1.5497835497835497</c:v>
                </c:pt>
                <c:pt idx="42">
                  <c:v>1.5541567180377687</c:v>
                </c:pt>
                <c:pt idx="43">
                  <c:v>1.5567924856496782</c:v>
                </c:pt>
                <c:pt idx="44">
                  <c:v>1.5612734409071085</c:v>
                </c:pt>
                <c:pt idx="45">
                  <c:v>1.5687992988606485</c:v>
                </c:pt>
                <c:pt idx="46">
                  <c:v>1.5856494297419998</c:v>
                </c:pt>
                <c:pt idx="47">
                  <c:v>1.6537324464153733</c:v>
                </c:pt>
                <c:pt idx="48">
                  <c:v>1.7143951728761613</c:v>
                </c:pt>
                <c:pt idx="49">
                  <c:v>1.7766749379652604</c:v>
                </c:pt>
                <c:pt idx="50">
                  <c:v>1.7869621643206548</c:v>
                </c:pt>
                <c:pt idx="51">
                  <c:v>1.8516602875762904</c:v>
                </c:pt>
                <c:pt idx="52">
                  <c:v>1.8560763168809622</c:v>
                </c:pt>
                <c:pt idx="53">
                  <c:v>1.8800875273522977</c:v>
                </c:pt>
                <c:pt idx="54">
                  <c:v>1.8878537528563895</c:v>
                </c:pt>
                <c:pt idx="55">
                  <c:v>1.9340896812533765</c:v>
                </c:pt>
                <c:pt idx="56">
                  <c:v>1.9605695509309966</c:v>
                </c:pt>
                <c:pt idx="57">
                  <c:v>2.1411483253588517</c:v>
                </c:pt>
                <c:pt idx="58">
                  <c:v>2.2044334975369457</c:v>
                </c:pt>
                <c:pt idx="59">
                  <c:v>2.251336337910072</c:v>
                </c:pt>
                <c:pt idx="60">
                  <c:v>2.2802547770700636</c:v>
                </c:pt>
                <c:pt idx="61">
                  <c:v>2.371384411569883</c:v>
                </c:pt>
                <c:pt idx="62">
                  <c:v>2.3784741446129996</c:v>
                </c:pt>
                <c:pt idx="63">
                  <c:v>2.4378617637044604</c:v>
                </c:pt>
                <c:pt idx="64">
                  <c:v>2.466838931955211</c:v>
                </c:pt>
                <c:pt idx="65">
                  <c:v>2.5928608380755302</c:v>
                </c:pt>
                <c:pt idx="66">
                  <c:v>2.6713925939744425</c:v>
                </c:pt>
                <c:pt idx="67">
                  <c:v>2.8356435643564355</c:v>
                </c:pt>
                <c:pt idx="68">
                  <c:v>3.161845882093177</c:v>
                </c:pt>
                <c:pt idx="69">
                  <c:v>3.3192541464922223</c:v>
                </c:pt>
                <c:pt idx="70">
                  <c:v>3.5557562076749436</c:v>
                </c:pt>
                <c:pt idx="71">
                  <c:v>3.838456040028592</c:v>
                </c:pt>
                <c:pt idx="72">
                  <c:v>4.618438027190632</c:v>
                </c:pt>
                <c:pt idx="73">
                  <c:v>4.771212794313638</c:v>
                </c:pt>
                <c:pt idx="74">
                  <c:v>4.825798423890502</c:v>
                </c:pt>
                <c:pt idx="75">
                  <c:v>5.451974328293266</c:v>
                </c:pt>
                <c:pt idx="76">
                  <c:v>5.566414926699244</c:v>
                </c:pt>
                <c:pt idx="77">
                  <c:v>6.2308278037637335</c:v>
                </c:pt>
                <c:pt idx="78">
                  <c:v>6.605166051660516</c:v>
                </c:pt>
              </c:numCache>
            </c:numRef>
          </c:xVal>
          <c:yVal>
            <c:numRef>
              <c:f>Cholla!$E$5:$E$83</c:f>
              <c:numCache>
                <c:ptCount val="79"/>
                <c:pt idx="0">
                  <c:v>0.012658227848101266</c:v>
                </c:pt>
                <c:pt idx="1">
                  <c:v>0.02531645569620253</c:v>
                </c:pt>
                <c:pt idx="2">
                  <c:v>0.0379746835443038</c:v>
                </c:pt>
                <c:pt idx="3">
                  <c:v>0.05063291139240506</c:v>
                </c:pt>
                <c:pt idx="4">
                  <c:v>0.06329113924050633</c:v>
                </c:pt>
                <c:pt idx="5">
                  <c:v>0.0759493670886076</c:v>
                </c:pt>
                <c:pt idx="6">
                  <c:v>0.08860759493670886</c:v>
                </c:pt>
                <c:pt idx="7">
                  <c:v>0.10126582278481013</c:v>
                </c:pt>
                <c:pt idx="8">
                  <c:v>0.11392405063291139</c:v>
                </c:pt>
                <c:pt idx="9">
                  <c:v>0.12658227848101267</c:v>
                </c:pt>
                <c:pt idx="10">
                  <c:v>0.13924050632911392</c:v>
                </c:pt>
                <c:pt idx="11">
                  <c:v>0.1518987341772152</c:v>
                </c:pt>
                <c:pt idx="12">
                  <c:v>0.16455696202531644</c:v>
                </c:pt>
                <c:pt idx="13">
                  <c:v>0.17721518987341772</c:v>
                </c:pt>
                <c:pt idx="14">
                  <c:v>0.189873417721519</c:v>
                </c:pt>
                <c:pt idx="15">
                  <c:v>0.20253164556962025</c:v>
                </c:pt>
                <c:pt idx="16">
                  <c:v>0.21518987341772153</c:v>
                </c:pt>
                <c:pt idx="17">
                  <c:v>0.22784810126582278</c:v>
                </c:pt>
                <c:pt idx="18">
                  <c:v>0.24050632911392406</c:v>
                </c:pt>
                <c:pt idx="19">
                  <c:v>0.25316455696202533</c:v>
                </c:pt>
                <c:pt idx="20">
                  <c:v>0.26582278481012656</c:v>
                </c:pt>
                <c:pt idx="21">
                  <c:v>0.27848101265822783</c:v>
                </c:pt>
                <c:pt idx="22">
                  <c:v>0.2911392405063291</c:v>
                </c:pt>
                <c:pt idx="23">
                  <c:v>0.3037974683544304</c:v>
                </c:pt>
                <c:pt idx="24">
                  <c:v>0.31645569620253167</c:v>
                </c:pt>
                <c:pt idx="25">
                  <c:v>0.3291139240506329</c:v>
                </c:pt>
                <c:pt idx="26">
                  <c:v>0.34177215189873417</c:v>
                </c:pt>
                <c:pt idx="27">
                  <c:v>0.35443037974683544</c:v>
                </c:pt>
                <c:pt idx="28">
                  <c:v>0.3670886075949367</c:v>
                </c:pt>
                <c:pt idx="29">
                  <c:v>0.379746835443038</c:v>
                </c:pt>
                <c:pt idx="30">
                  <c:v>0.3924050632911392</c:v>
                </c:pt>
                <c:pt idx="31">
                  <c:v>0.4050632911392405</c:v>
                </c:pt>
                <c:pt idx="32">
                  <c:v>0.4177215189873418</c:v>
                </c:pt>
                <c:pt idx="33">
                  <c:v>0.43037974683544306</c:v>
                </c:pt>
                <c:pt idx="34">
                  <c:v>0.4430379746835443</c:v>
                </c:pt>
                <c:pt idx="35">
                  <c:v>0.45569620253164556</c:v>
                </c:pt>
                <c:pt idx="36">
                  <c:v>0.46835443037974683</c:v>
                </c:pt>
                <c:pt idx="37">
                  <c:v>0.4810126582278481</c:v>
                </c:pt>
                <c:pt idx="38">
                  <c:v>0.4936708860759494</c:v>
                </c:pt>
                <c:pt idx="39">
                  <c:v>0.5063291139240507</c:v>
                </c:pt>
                <c:pt idx="40">
                  <c:v>0.5189873417721519</c:v>
                </c:pt>
                <c:pt idx="41">
                  <c:v>0.5316455696202531</c:v>
                </c:pt>
                <c:pt idx="42">
                  <c:v>0.5443037974683544</c:v>
                </c:pt>
                <c:pt idx="43">
                  <c:v>0.5569620253164557</c:v>
                </c:pt>
                <c:pt idx="44">
                  <c:v>0.569620253164557</c:v>
                </c:pt>
                <c:pt idx="45">
                  <c:v>0.5822784810126582</c:v>
                </c:pt>
                <c:pt idx="46">
                  <c:v>0.5949367088607594</c:v>
                </c:pt>
                <c:pt idx="47">
                  <c:v>0.6075949367088608</c:v>
                </c:pt>
                <c:pt idx="48">
                  <c:v>0.620253164556962</c:v>
                </c:pt>
                <c:pt idx="49">
                  <c:v>0.6329113924050633</c:v>
                </c:pt>
                <c:pt idx="50">
                  <c:v>0.6455696202531646</c:v>
                </c:pt>
                <c:pt idx="51">
                  <c:v>0.6582278481012658</c:v>
                </c:pt>
                <c:pt idx="52">
                  <c:v>0.6708860759493671</c:v>
                </c:pt>
                <c:pt idx="53">
                  <c:v>0.6835443037974683</c:v>
                </c:pt>
                <c:pt idx="54">
                  <c:v>0.6962025316455697</c:v>
                </c:pt>
                <c:pt idx="55">
                  <c:v>0.7088607594936709</c:v>
                </c:pt>
                <c:pt idx="56">
                  <c:v>0.7215189873417721</c:v>
                </c:pt>
                <c:pt idx="57">
                  <c:v>0.7341772151898734</c:v>
                </c:pt>
                <c:pt idx="58">
                  <c:v>0.7468354430379747</c:v>
                </c:pt>
                <c:pt idx="59">
                  <c:v>0.759493670886076</c:v>
                </c:pt>
                <c:pt idx="60">
                  <c:v>0.7721518987341772</c:v>
                </c:pt>
                <c:pt idx="61">
                  <c:v>0.7848101265822784</c:v>
                </c:pt>
                <c:pt idx="62">
                  <c:v>0.7974683544303798</c:v>
                </c:pt>
                <c:pt idx="63">
                  <c:v>0.810126582278481</c:v>
                </c:pt>
                <c:pt idx="64">
                  <c:v>0.8227848101265823</c:v>
                </c:pt>
                <c:pt idx="65">
                  <c:v>0.8354430379746836</c:v>
                </c:pt>
                <c:pt idx="66">
                  <c:v>0.8481012658227848</c:v>
                </c:pt>
                <c:pt idx="67">
                  <c:v>0.8607594936708861</c:v>
                </c:pt>
                <c:pt idx="68">
                  <c:v>0.8734177215189873</c:v>
                </c:pt>
                <c:pt idx="69">
                  <c:v>0.8860759493670886</c:v>
                </c:pt>
                <c:pt idx="70">
                  <c:v>0.8987341772151899</c:v>
                </c:pt>
                <c:pt idx="71">
                  <c:v>0.9113924050632911</c:v>
                </c:pt>
                <c:pt idx="72">
                  <c:v>0.9240506329113924</c:v>
                </c:pt>
                <c:pt idx="73">
                  <c:v>0.9367088607594937</c:v>
                </c:pt>
                <c:pt idx="74">
                  <c:v>0.9493670886075949</c:v>
                </c:pt>
                <c:pt idx="75">
                  <c:v>0.9620253164556962</c:v>
                </c:pt>
                <c:pt idx="76">
                  <c:v>0.9746835443037974</c:v>
                </c:pt>
                <c:pt idx="77">
                  <c:v>0.9873417721518988</c:v>
                </c:pt>
                <c:pt idx="78">
                  <c:v>1</c:v>
                </c:pt>
              </c:numCache>
            </c:numRef>
          </c:yVal>
          <c:smooth val="0"/>
        </c:ser>
        <c:axId val="33472931"/>
        <c:axId val="32820924"/>
      </c:scatterChart>
      <c:valAx>
        <c:axId val="33472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lb Hg/TBtu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20924"/>
        <c:crosses val="autoZero"/>
        <c:crossBetween val="midCat"/>
        <c:dispUnits/>
      </c:valAx>
      <c:valAx>
        <c:axId val="328209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7293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9</xdr:col>
      <xdr:colOff>142875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1571625" y="1304925"/>
        <a:ext cx="5476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21</xdr:row>
      <xdr:rowOff>0</xdr:rowOff>
    </xdr:from>
    <xdr:to>
      <xdr:col>27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7383125" y="4257675"/>
        <a:ext cx="6391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600075</xdr:colOff>
      <xdr:row>2</xdr:row>
      <xdr:rowOff>0</xdr:rowOff>
    </xdr:from>
    <xdr:to>
      <xdr:col>27</xdr:col>
      <xdr:colOff>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17364075" y="723900"/>
        <a:ext cx="64103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40</xdr:row>
      <xdr:rowOff>0</xdr:rowOff>
    </xdr:from>
    <xdr:to>
      <xdr:col>27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17373600" y="7734300"/>
        <a:ext cx="6400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7516475" y="733425"/>
        <a:ext cx="6296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24</xdr:row>
      <xdr:rowOff>9525</xdr:rowOff>
    </xdr:from>
    <xdr:to>
      <xdr:col>23</xdr:col>
      <xdr:colOff>28575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17506950" y="4381500"/>
        <a:ext cx="63341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171450"/>
        <a:ext cx="6715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"/>
  <sheetViews>
    <sheetView workbookViewId="0" topLeftCell="B1">
      <selection activeCell="J9" sqref="J9"/>
    </sheetView>
  </sheetViews>
  <sheetFormatPr defaultColWidth="9.140625" defaultRowHeight="12.75"/>
  <cols>
    <col min="1" max="1" width="24.421875" style="0" bestFit="1" customWidth="1"/>
    <col min="2" max="2" width="6.28125" style="0" bestFit="1" customWidth="1"/>
    <col min="3" max="3" width="14.8515625" style="0" bestFit="1" customWidth="1"/>
    <col min="4" max="4" width="3.28125" style="0" bestFit="1" customWidth="1"/>
    <col min="5" max="5" width="19.7109375" style="0" bestFit="1" customWidth="1"/>
    <col min="6" max="6" width="3.28125" style="0" bestFit="1" customWidth="1"/>
    <col min="7" max="7" width="25.7109375" style="0" bestFit="1" customWidth="1"/>
    <col min="8" max="8" width="5.7109375" style="0" bestFit="1" customWidth="1"/>
    <col min="9" max="9" width="28.421875" style="0" bestFit="1" customWidth="1"/>
    <col min="10" max="10" width="6.421875" style="0" customWidth="1"/>
  </cols>
  <sheetData>
    <row r="1" ht="13.5" thickBot="1"/>
    <row r="2" spans="1:18" ht="39.75" customHeight="1" thickBot="1" thickTop="1">
      <c r="A2" s="67" t="s">
        <v>37</v>
      </c>
      <c r="B2" s="66"/>
      <c r="C2" s="65" t="s">
        <v>38</v>
      </c>
      <c r="D2" s="66"/>
      <c r="E2" s="65" t="s">
        <v>44</v>
      </c>
      <c r="F2" s="66"/>
      <c r="G2" s="65" t="s">
        <v>151</v>
      </c>
      <c r="H2" s="66"/>
      <c r="I2" s="65" t="s">
        <v>150</v>
      </c>
      <c r="J2" s="66"/>
      <c r="K2" s="14"/>
      <c r="L2" s="14"/>
      <c r="M2" s="14"/>
      <c r="N2" s="14"/>
      <c r="O2" s="14"/>
      <c r="P2" s="14"/>
      <c r="Q2" s="14"/>
      <c r="R2" s="14"/>
    </row>
    <row r="3" spans="1:18" ht="12.75">
      <c r="A3" s="60" t="s">
        <v>40</v>
      </c>
      <c r="B3" s="9" t="s">
        <v>5</v>
      </c>
      <c r="C3" s="17" t="s">
        <v>42</v>
      </c>
      <c r="D3" s="13" t="s">
        <v>43</v>
      </c>
      <c r="E3" s="19" t="s">
        <v>45</v>
      </c>
      <c r="F3" s="44" t="s">
        <v>46</v>
      </c>
      <c r="G3" s="16" t="s">
        <v>2</v>
      </c>
      <c r="H3" s="44" t="s">
        <v>3</v>
      </c>
      <c r="I3" t="s">
        <v>146</v>
      </c>
      <c r="J3" s="44" t="s">
        <v>147</v>
      </c>
      <c r="K3" s="16"/>
      <c r="L3" s="13"/>
      <c r="M3" s="16"/>
      <c r="N3" s="13"/>
      <c r="O3" s="14"/>
      <c r="P3" s="14"/>
      <c r="Q3" s="14"/>
      <c r="R3" s="13"/>
    </row>
    <row r="4" spans="1:18" ht="12.75">
      <c r="A4" s="60" t="s">
        <v>41</v>
      </c>
      <c r="B4" s="9" t="s">
        <v>7</v>
      </c>
      <c r="C4" s="18" t="s">
        <v>23</v>
      </c>
      <c r="D4" s="13">
        <v>2</v>
      </c>
      <c r="E4" s="20" t="s">
        <v>29</v>
      </c>
      <c r="F4" s="9" t="s">
        <v>30</v>
      </c>
      <c r="G4" s="16" t="s">
        <v>39</v>
      </c>
      <c r="H4" s="9" t="s">
        <v>3</v>
      </c>
      <c r="I4" t="s">
        <v>149</v>
      </c>
      <c r="J4" s="9">
        <v>1</v>
      </c>
      <c r="K4" s="16"/>
      <c r="L4" s="13"/>
      <c r="M4" s="16"/>
      <c r="N4" s="13"/>
      <c r="O4" s="14"/>
      <c r="P4" s="14"/>
      <c r="Q4" s="14"/>
      <c r="R4" s="13"/>
    </row>
    <row r="5" spans="1:18" ht="12.75">
      <c r="A5" s="61" t="s">
        <v>8</v>
      </c>
      <c r="B5" s="9">
        <v>5</v>
      </c>
      <c r="C5" s="18" t="s">
        <v>24</v>
      </c>
      <c r="D5" s="13" t="s">
        <v>25</v>
      </c>
      <c r="E5" s="20" t="s">
        <v>31</v>
      </c>
      <c r="F5" s="9">
        <v>2</v>
      </c>
      <c r="H5" s="10"/>
      <c r="I5" s="14"/>
      <c r="J5" s="9"/>
      <c r="K5" s="16"/>
      <c r="L5" s="13"/>
      <c r="M5" s="16"/>
      <c r="N5" s="13"/>
      <c r="O5" s="14"/>
      <c r="P5" s="14"/>
      <c r="Q5" s="14"/>
      <c r="R5" s="13"/>
    </row>
    <row r="6" spans="1:18" ht="12.75">
      <c r="A6" s="61" t="s">
        <v>47</v>
      </c>
      <c r="B6" s="9">
        <v>1</v>
      </c>
      <c r="C6" s="18" t="s">
        <v>26</v>
      </c>
      <c r="D6" s="13">
        <v>3</v>
      </c>
      <c r="E6" s="20" t="s">
        <v>32</v>
      </c>
      <c r="F6" s="9">
        <v>10</v>
      </c>
      <c r="H6" s="10"/>
      <c r="I6" s="14"/>
      <c r="J6" s="9"/>
      <c r="K6" s="16"/>
      <c r="L6" s="13"/>
      <c r="M6" s="16"/>
      <c r="N6" s="13"/>
      <c r="O6" s="14"/>
      <c r="P6" s="14"/>
      <c r="Q6" s="14"/>
      <c r="R6" s="13"/>
    </row>
    <row r="7" spans="1:18" ht="12.75">
      <c r="A7" s="60"/>
      <c r="B7" s="9"/>
      <c r="C7" s="8"/>
      <c r="D7" s="10"/>
      <c r="E7" s="20" t="s">
        <v>32</v>
      </c>
      <c r="F7" s="13">
        <v>1</v>
      </c>
      <c r="G7" s="8"/>
      <c r="H7" s="10"/>
      <c r="I7" s="14"/>
      <c r="J7" s="10"/>
      <c r="K7" s="16"/>
      <c r="L7" s="13"/>
      <c r="M7" s="16"/>
      <c r="N7" s="13"/>
      <c r="O7" s="14"/>
      <c r="P7" s="14"/>
      <c r="Q7" s="14"/>
      <c r="R7" s="13"/>
    </row>
    <row r="8" spans="1:18" ht="12.75">
      <c r="A8" s="62"/>
      <c r="B8" s="9"/>
      <c r="C8" s="8"/>
      <c r="D8" s="10"/>
      <c r="E8" s="14"/>
      <c r="F8" s="14"/>
      <c r="G8" s="8"/>
      <c r="H8" s="10"/>
      <c r="I8" s="14"/>
      <c r="J8" s="10"/>
      <c r="K8" s="14"/>
      <c r="L8" s="14"/>
      <c r="M8" s="14"/>
      <c r="N8" s="14"/>
      <c r="O8" s="14"/>
      <c r="P8" s="14"/>
      <c r="Q8" s="14"/>
      <c r="R8" s="14"/>
    </row>
    <row r="9" spans="1:18" ht="12.75">
      <c r="A9" s="62"/>
      <c r="B9" s="9"/>
      <c r="C9" s="8"/>
      <c r="D9" s="10"/>
      <c r="E9" s="14"/>
      <c r="F9" s="14"/>
      <c r="G9" s="8"/>
      <c r="H9" s="10"/>
      <c r="I9" s="14"/>
      <c r="J9" s="10"/>
      <c r="K9" s="14"/>
      <c r="L9" s="14"/>
      <c r="M9" s="14"/>
      <c r="N9" s="14"/>
      <c r="O9" s="14"/>
      <c r="P9" s="14"/>
      <c r="Q9" s="14"/>
      <c r="R9" s="14"/>
    </row>
    <row r="10" spans="1:18" ht="12.75">
      <c r="A10" s="62"/>
      <c r="B10" s="9"/>
      <c r="C10" s="8"/>
      <c r="D10" s="10"/>
      <c r="E10" s="14"/>
      <c r="F10" s="14"/>
      <c r="G10" s="8"/>
      <c r="H10" s="10"/>
      <c r="I10" s="14"/>
      <c r="J10" s="10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61"/>
      <c r="B11" s="10"/>
      <c r="C11" s="8"/>
      <c r="D11" s="10"/>
      <c r="E11" s="14"/>
      <c r="F11" s="14"/>
      <c r="G11" s="8"/>
      <c r="H11" s="10"/>
      <c r="I11" s="14"/>
      <c r="J11" s="10"/>
      <c r="K11" s="14"/>
      <c r="L11" s="14"/>
      <c r="M11" s="14"/>
      <c r="N11" s="14"/>
      <c r="O11" s="14"/>
      <c r="P11" s="14"/>
      <c r="Q11" s="14"/>
      <c r="R11" s="14"/>
    </row>
    <row r="12" spans="1:18" ht="13.5" thickBot="1">
      <c r="A12" s="63"/>
      <c r="B12" s="12"/>
      <c r="C12" s="11"/>
      <c r="D12" s="12"/>
      <c r="E12" s="15"/>
      <c r="F12" s="15"/>
      <c r="G12" s="11"/>
      <c r="H12" s="12"/>
      <c r="I12" s="58"/>
      <c r="J12" s="59"/>
      <c r="K12" s="14"/>
      <c r="L12" s="14"/>
      <c r="M12" s="14"/>
      <c r="N12" s="14"/>
      <c r="O12" s="14"/>
      <c r="P12" s="14"/>
      <c r="Q12" s="14"/>
      <c r="R12" s="14"/>
    </row>
    <row r="13" ht="13.5" thickTop="1"/>
  </sheetData>
  <mergeCells count="5">
    <mergeCell ref="G2:H2"/>
    <mergeCell ref="I2:J2"/>
    <mergeCell ref="C2:D2"/>
    <mergeCell ref="A2:B2"/>
    <mergeCell ref="E2:F2"/>
  </mergeCells>
  <printOptions horizontalCentered="1"/>
  <pageMargins left="0.75" right="0.75" top="1" bottom="1" header="0.5" footer="0.5"/>
  <pageSetup fitToHeight="1" fitToWidth="1" horizontalDpi="200" verticalDpi="2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7" sqref="A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A7" sqref="A7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75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0.002164007</v>
      </c>
      <c r="B3">
        <v>0.818815299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13792</v>
      </c>
      <c r="B5">
        <v>0.03</v>
      </c>
      <c r="C5">
        <v>1300</v>
      </c>
      <c r="D5">
        <f aca="true" t="shared" si="0" ref="D5:D58">1000000*B5*$B$3*EXP(-$A$3*C5)/A5</f>
        <v>0.10688549336975374</v>
      </c>
      <c r="E5">
        <f aca="true" t="shared" si="1" ref="E5:E36">F5/MAX(Collierindex)</f>
        <v>0.018518518518518517</v>
      </c>
      <c r="F5">
        <v>1</v>
      </c>
      <c r="G5">
        <v>0.031061870388486058</v>
      </c>
      <c r="I5">
        <f>VLOOKUP(0.975,Collier_freqtab,3)</f>
        <v>0.6258036855131526</v>
      </c>
      <c r="J5">
        <f>VLOOKUP(0.975,Collier_freqtab,2)</f>
        <v>52</v>
      </c>
      <c r="K5">
        <f>J5/MAX(Collierindex)</f>
        <v>0.9629629629629629</v>
      </c>
    </row>
    <row r="6" spans="1:11" ht="13.5" thickBot="1">
      <c r="A6">
        <v>14072</v>
      </c>
      <c r="B6">
        <v>0.04</v>
      </c>
      <c r="C6">
        <v>1600</v>
      </c>
      <c r="D6">
        <f t="shared" si="0"/>
        <v>0.0729766688268199</v>
      </c>
      <c r="E6">
        <f t="shared" si="1"/>
        <v>0.037037037037037035</v>
      </c>
      <c r="F6">
        <f>F5+1</f>
        <v>2</v>
      </c>
      <c r="G6">
        <v>0.04605608886869753</v>
      </c>
      <c r="I6">
        <f>VLOOKUP(J6,Collier_freqindex,2)</f>
        <v>1.5669585600351785</v>
      </c>
      <c r="J6">
        <f>J5+1</f>
        <v>53</v>
      </c>
      <c r="K6">
        <f>J6/MAX(Collierindex)</f>
        <v>0.9814814814814815</v>
      </c>
    </row>
    <row r="7" spans="1:10" ht="15.75" thickBot="1">
      <c r="A7">
        <v>13710</v>
      </c>
      <c r="B7">
        <v>0.06</v>
      </c>
      <c r="C7">
        <v>1200</v>
      </c>
      <c r="D7">
        <f t="shared" si="0"/>
        <v>0.26700548651139266</v>
      </c>
      <c r="E7">
        <f t="shared" si="1"/>
        <v>0.05555555555555555</v>
      </c>
      <c r="F7">
        <f aca="true" t="shared" si="2" ref="F7:F58">F6+1</f>
        <v>3</v>
      </c>
      <c r="G7">
        <v>0.0475681952462172</v>
      </c>
      <c r="I7" s="46" t="s">
        <v>74</v>
      </c>
      <c r="J7" s="47">
        <f>$I$5+((0.975-$K$5)/($K$6-$K$5))*($I$6-$I$5)</f>
        <v>1.2375543539524683</v>
      </c>
    </row>
    <row r="8" spans="1:7" ht="12.75">
      <c r="A8">
        <v>13738</v>
      </c>
      <c r="B8">
        <v>0.07</v>
      </c>
      <c r="C8">
        <v>1200</v>
      </c>
      <c r="D8">
        <f t="shared" si="0"/>
        <v>0.31087150653295426</v>
      </c>
      <c r="E8">
        <f t="shared" si="1"/>
        <v>0.07407407407407407</v>
      </c>
      <c r="F8">
        <f t="shared" si="2"/>
        <v>4</v>
      </c>
      <c r="G8">
        <v>0.05613535069506436</v>
      </c>
    </row>
    <row r="9" spans="1:10" ht="12.75">
      <c r="A9">
        <v>13699</v>
      </c>
      <c r="B9">
        <v>0.04</v>
      </c>
      <c r="C9">
        <v>1100</v>
      </c>
      <c r="D9">
        <f t="shared" si="0"/>
        <v>0.22118676937732407</v>
      </c>
      <c r="E9">
        <f t="shared" si="1"/>
        <v>0.09259259259259259</v>
      </c>
      <c r="F9">
        <f t="shared" si="2"/>
        <v>5</v>
      </c>
      <c r="G9">
        <v>0.0729766688268199</v>
      </c>
      <c r="I9" s="1" t="s">
        <v>73</v>
      </c>
      <c r="J9" s="48" t="str">
        <f>A1&amp;": 97.5th Percentile = "&amp;TEXT($J$7,"0.0000")&amp;" lb Hg/TBtu"</f>
        <v>Dwayne Collier 2B: 97.5th Percentile = 1.2376 lb Hg/TBtu</v>
      </c>
    </row>
    <row r="10" spans="1:7" ht="12.75">
      <c r="A10">
        <v>13946</v>
      </c>
      <c r="B10">
        <v>0.07</v>
      </c>
      <c r="C10">
        <v>1000</v>
      </c>
      <c r="D10">
        <f t="shared" si="0"/>
        <v>0.47208263835612546</v>
      </c>
      <c r="E10">
        <f t="shared" si="1"/>
        <v>0.1111111111111111</v>
      </c>
      <c r="F10">
        <f t="shared" si="2"/>
        <v>6</v>
      </c>
      <c r="G10">
        <v>0.07383242891822997</v>
      </c>
    </row>
    <row r="11" spans="1:7" ht="12.75">
      <c r="A11">
        <v>13767</v>
      </c>
      <c r="B11">
        <v>0.17</v>
      </c>
      <c r="C11">
        <v>2400</v>
      </c>
      <c r="D11">
        <f t="shared" si="0"/>
        <v>0.05613535069506436</v>
      </c>
      <c r="E11">
        <f t="shared" si="1"/>
        <v>0.12962962962962962</v>
      </c>
      <c r="F11">
        <f t="shared" si="2"/>
        <v>7</v>
      </c>
      <c r="G11">
        <v>0.0828906972550585</v>
      </c>
    </row>
    <row r="12" spans="1:13" ht="12.75">
      <c r="A12">
        <v>14099</v>
      </c>
      <c r="B12">
        <v>0.05</v>
      </c>
      <c r="C12">
        <v>1900</v>
      </c>
      <c r="D12">
        <f t="shared" si="0"/>
        <v>0.0475681952462172</v>
      </c>
      <c r="E12">
        <f t="shared" si="1"/>
        <v>0.14814814814814814</v>
      </c>
      <c r="F12">
        <f t="shared" si="2"/>
        <v>8</v>
      </c>
      <c r="G12">
        <v>0.09047922188440631</v>
      </c>
      <c r="I12" s="14"/>
      <c r="J12" s="14"/>
      <c r="K12" s="14"/>
      <c r="L12" s="14"/>
      <c r="M12" s="14"/>
    </row>
    <row r="13" spans="1:13" ht="12.75">
      <c r="A13">
        <v>13786</v>
      </c>
      <c r="B13">
        <v>0.12</v>
      </c>
      <c r="C13">
        <v>700</v>
      </c>
      <c r="D13">
        <f t="shared" si="0"/>
        <v>1.5669585600351785</v>
      </c>
      <c r="E13">
        <f t="shared" si="1"/>
        <v>0.16666666666666666</v>
      </c>
      <c r="F13">
        <f t="shared" si="2"/>
        <v>9</v>
      </c>
      <c r="G13">
        <v>0.0937456806151875</v>
      </c>
      <c r="I13" s="14"/>
      <c r="J13" s="14"/>
      <c r="K13" s="14"/>
      <c r="L13" s="14"/>
      <c r="M13" s="14"/>
    </row>
    <row r="14" spans="1:13" ht="15">
      <c r="A14">
        <v>13736</v>
      </c>
      <c r="B14">
        <v>0.16</v>
      </c>
      <c r="C14">
        <v>1300</v>
      </c>
      <c r="D14">
        <f t="shared" si="0"/>
        <v>0.572380013417062</v>
      </c>
      <c r="E14">
        <f t="shared" si="1"/>
        <v>0.18518518518518517</v>
      </c>
      <c r="F14">
        <f t="shared" si="2"/>
        <v>10</v>
      </c>
      <c r="G14">
        <v>0.10688549336975374</v>
      </c>
      <c r="I14" s="49"/>
      <c r="J14" s="50"/>
      <c r="K14" s="14"/>
      <c r="L14" s="14"/>
      <c r="M14" s="14"/>
    </row>
    <row r="15" spans="1:13" ht="12.75">
      <c r="A15">
        <v>13731</v>
      </c>
      <c r="B15">
        <v>0.08</v>
      </c>
      <c r="C15">
        <v>1100</v>
      </c>
      <c r="D15">
        <f t="shared" si="0"/>
        <v>0.4413425902993172</v>
      </c>
      <c r="E15">
        <f t="shared" si="1"/>
        <v>0.2037037037037037</v>
      </c>
      <c r="F15">
        <f t="shared" si="2"/>
        <v>11</v>
      </c>
      <c r="G15">
        <v>0.110023353892628</v>
      </c>
      <c r="I15" s="14"/>
      <c r="J15" s="14"/>
      <c r="K15" s="14"/>
      <c r="L15" s="14"/>
      <c r="M15" s="14"/>
    </row>
    <row r="16" spans="1:13" ht="12.75">
      <c r="A16">
        <v>13780</v>
      </c>
      <c r="B16">
        <v>0.11</v>
      </c>
      <c r="C16">
        <v>1500</v>
      </c>
      <c r="D16">
        <f t="shared" si="0"/>
        <v>0.2544514721107691</v>
      </c>
      <c r="E16">
        <f t="shared" si="1"/>
        <v>0.2222222222222222</v>
      </c>
      <c r="F16">
        <f t="shared" si="2"/>
        <v>12</v>
      </c>
      <c r="G16">
        <v>0.11561780874093705</v>
      </c>
      <c r="I16" s="51"/>
      <c r="J16" s="52"/>
      <c r="K16" s="14"/>
      <c r="L16" s="14"/>
      <c r="M16" s="14"/>
    </row>
    <row r="17" spans="1:13" ht="12.75">
      <c r="A17">
        <v>14074</v>
      </c>
      <c r="B17">
        <v>0.06</v>
      </c>
      <c r="C17">
        <v>2000</v>
      </c>
      <c r="D17">
        <f t="shared" si="0"/>
        <v>0.04605608886869753</v>
      </c>
      <c r="E17">
        <f t="shared" si="1"/>
        <v>0.24074074074074073</v>
      </c>
      <c r="F17">
        <f t="shared" si="2"/>
        <v>13</v>
      </c>
      <c r="G17">
        <v>0.133930010161512</v>
      </c>
      <c r="I17" s="14"/>
      <c r="J17" s="14"/>
      <c r="K17" s="14"/>
      <c r="L17" s="14"/>
      <c r="M17" s="14"/>
    </row>
    <row r="18" spans="1:13" ht="12.75">
      <c r="A18">
        <v>13815</v>
      </c>
      <c r="B18">
        <v>0.08</v>
      </c>
      <c r="C18">
        <v>1100</v>
      </c>
      <c r="D18">
        <f t="shared" si="0"/>
        <v>0.4386590740065092</v>
      </c>
      <c r="E18">
        <f t="shared" si="1"/>
        <v>0.25925925925925924</v>
      </c>
      <c r="F18">
        <f t="shared" si="2"/>
        <v>14</v>
      </c>
      <c r="G18">
        <v>0.14188364386843114</v>
      </c>
      <c r="I18" s="14"/>
      <c r="J18" s="14"/>
      <c r="K18" s="14"/>
      <c r="L18" s="14"/>
      <c r="M18" s="14"/>
    </row>
    <row r="19" spans="1:13" ht="12.75">
      <c r="A19">
        <v>13785</v>
      </c>
      <c r="B19">
        <v>0.05</v>
      </c>
      <c r="C19">
        <v>1500</v>
      </c>
      <c r="D19">
        <f t="shared" si="0"/>
        <v>0.11561780874093705</v>
      </c>
      <c r="E19">
        <f t="shared" si="1"/>
        <v>0.2777777777777778</v>
      </c>
      <c r="F19">
        <f t="shared" si="2"/>
        <v>15</v>
      </c>
      <c r="G19">
        <v>0.1458666394118138</v>
      </c>
      <c r="I19" s="14"/>
      <c r="J19" s="14"/>
      <c r="K19" s="14"/>
      <c r="L19" s="14"/>
      <c r="M19" s="14"/>
    </row>
    <row r="20" spans="1:13" ht="12.75">
      <c r="A20">
        <v>13693</v>
      </c>
      <c r="B20">
        <v>0.05</v>
      </c>
      <c r="C20">
        <v>1600</v>
      </c>
      <c r="D20">
        <f t="shared" si="0"/>
        <v>0.0937456806151875</v>
      </c>
      <c r="E20">
        <f t="shared" si="1"/>
        <v>0.2962962962962963</v>
      </c>
      <c r="F20">
        <f t="shared" si="2"/>
        <v>16</v>
      </c>
      <c r="G20">
        <v>0.1772370068099426</v>
      </c>
      <c r="I20" s="14"/>
      <c r="J20" s="14"/>
      <c r="K20" s="14"/>
      <c r="L20" s="14"/>
      <c r="M20" s="14"/>
    </row>
    <row r="21" spans="1:13" ht="15">
      <c r="A21">
        <v>13398</v>
      </c>
      <c r="B21">
        <v>0.06</v>
      </c>
      <c r="C21">
        <v>1400</v>
      </c>
      <c r="D21">
        <f t="shared" si="0"/>
        <v>0.1772370068099426</v>
      </c>
      <c r="E21">
        <f t="shared" si="1"/>
        <v>0.3148148148148148</v>
      </c>
      <c r="F21">
        <f t="shared" si="2"/>
        <v>17</v>
      </c>
      <c r="G21">
        <v>0.17755031128723361</v>
      </c>
      <c r="I21" s="49"/>
      <c r="J21" s="50"/>
      <c r="K21" s="14"/>
      <c r="L21" s="14"/>
      <c r="M21" s="14"/>
    </row>
    <row r="22" spans="1:13" ht="12.75">
      <c r="A22">
        <v>13770</v>
      </c>
      <c r="B22">
        <v>0.07</v>
      </c>
      <c r="C22">
        <v>1300</v>
      </c>
      <c r="D22">
        <f t="shared" si="0"/>
        <v>0.24979794412707582</v>
      </c>
      <c r="E22">
        <f t="shared" si="1"/>
        <v>0.3333333333333333</v>
      </c>
      <c r="F22">
        <f t="shared" si="2"/>
        <v>18</v>
      </c>
      <c r="G22">
        <v>0.17914059638848664</v>
      </c>
      <c r="I22" s="14"/>
      <c r="J22" s="14"/>
      <c r="K22" s="14"/>
      <c r="L22" s="14"/>
      <c r="M22" s="14"/>
    </row>
    <row r="23" spans="1:13" ht="12.75">
      <c r="A23">
        <v>13838</v>
      </c>
      <c r="B23">
        <v>0.05</v>
      </c>
      <c r="C23">
        <v>1300</v>
      </c>
      <c r="D23">
        <f t="shared" si="0"/>
        <v>0.17755031128723361</v>
      </c>
      <c r="E23">
        <f t="shared" si="1"/>
        <v>0.35185185185185186</v>
      </c>
      <c r="F23">
        <f t="shared" si="2"/>
        <v>19</v>
      </c>
      <c r="G23">
        <v>0.2033613487077892</v>
      </c>
      <c r="I23" s="51"/>
      <c r="J23" s="52"/>
      <c r="K23" s="14"/>
      <c r="L23" s="14"/>
      <c r="M23" s="14"/>
    </row>
    <row r="24" spans="1:7" ht="12.75">
      <c r="A24">
        <v>13819</v>
      </c>
      <c r="B24">
        <v>0.08</v>
      </c>
      <c r="C24">
        <v>1400</v>
      </c>
      <c r="D24">
        <f t="shared" si="0"/>
        <v>0.22911657063845534</v>
      </c>
      <c r="E24">
        <f t="shared" si="1"/>
        <v>0.37037037037037035</v>
      </c>
      <c r="F24">
        <f t="shared" si="2"/>
        <v>20</v>
      </c>
      <c r="G24">
        <v>0.21549232299978396</v>
      </c>
    </row>
    <row r="25" spans="1:7" ht="12.75">
      <c r="A25">
        <v>13687</v>
      </c>
      <c r="B25">
        <v>0.11</v>
      </c>
      <c r="C25">
        <v>1300</v>
      </c>
      <c r="D25">
        <f t="shared" si="0"/>
        <v>0.39492004505764783</v>
      </c>
      <c r="E25">
        <f t="shared" si="1"/>
        <v>0.3888888888888889</v>
      </c>
      <c r="F25">
        <f t="shared" si="2"/>
        <v>21</v>
      </c>
      <c r="G25">
        <v>0.22118676937732407</v>
      </c>
    </row>
    <row r="26" spans="1:7" ht="12.75">
      <c r="A26">
        <v>14235</v>
      </c>
      <c r="B26">
        <v>0.08</v>
      </c>
      <c r="C26">
        <v>1500</v>
      </c>
      <c r="D26">
        <f t="shared" si="0"/>
        <v>0.17914059638848664</v>
      </c>
      <c r="E26">
        <f t="shared" si="1"/>
        <v>0.4074074074074074</v>
      </c>
      <c r="F26">
        <f t="shared" si="2"/>
        <v>22</v>
      </c>
      <c r="G26">
        <v>0.22911657063845534</v>
      </c>
    </row>
    <row r="27" spans="1:7" ht="12.75">
      <c r="A27">
        <v>13726</v>
      </c>
      <c r="B27">
        <v>0.11</v>
      </c>
      <c r="C27">
        <v>1100</v>
      </c>
      <c r="D27">
        <f t="shared" si="0"/>
        <v>0.6070671188019012</v>
      </c>
      <c r="E27">
        <f t="shared" si="1"/>
        <v>0.42592592592592593</v>
      </c>
      <c r="F27">
        <f t="shared" si="2"/>
        <v>23</v>
      </c>
      <c r="G27">
        <v>0.24948993186551346</v>
      </c>
    </row>
    <row r="28" spans="1:7" ht="12.75">
      <c r="A28">
        <v>13475</v>
      </c>
      <c r="B28">
        <v>0.04</v>
      </c>
      <c r="C28">
        <v>1300</v>
      </c>
      <c r="D28">
        <f t="shared" si="0"/>
        <v>0.1458666394118138</v>
      </c>
      <c r="E28">
        <f t="shared" si="1"/>
        <v>0.4444444444444444</v>
      </c>
      <c r="F28">
        <f t="shared" si="2"/>
        <v>24</v>
      </c>
      <c r="G28">
        <v>0.24979794412707582</v>
      </c>
    </row>
    <row r="29" spans="1:7" ht="12.75">
      <c r="A29">
        <v>13767</v>
      </c>
      <c r="B29">
        <v>0.1</v>
      </c>
      <c r="C29">
        <v>1200</v>
      </c>
      <c r="D29">
        <f t="shared" si="0"/>
        <v>0.44316665699029</v>
      </c>
      <c r="E29">
        <f t="shared" si="1"/>
        <v>0.46296296296296297</v>
      </c>
      <c r="F29">
        <f t="shared" si="2"/>
        <v>25</v>
      </c>
      <c r="G29">
        <v>0.2509826844677004</v>
      </c>
    </row>
    <row r="30" spans="1:7" ht="12.75">
      <c r="A30">
        <v>13886</v>
      </c>
      <c r="B30">
        <v>0.13</v>
      </c>
      <c r="C30">
        <v>1300</v>
      </c>
      <c r="D30">
        <f t="shared" si="0"/>
        <v>0.4600350813582832</v>
      </c>
      <c r="E30">
        <f t="shared" si="1"/>
        <v>0.48148148148148145</v>
      </c>
      <c r="F30">
        <f t="shared" si="2"/>
        <v>26</v>
      </c>
      <c r="G30">
        <v>0.2544514721107691</v>
      </c>
    </row>
    <row r="31" spans="1:7" ht="12.75">
      <c r="A31">
        <v>13734</v>
      </c>
      <c r="B31">
        <v>0.13</v>
      </c>
      <c r="C31">
        <v>1400</v>
      </c>
      <c r="D31">
        <f t="shared" si="0"/>
        <v>0.3746186887058266</v>
      </c>
      <c r="E31">
        <f t="shared" si="1"/>
        <v>0.5</v>
      </c>
      <c r="F31">
        <f t="shared" si="2"/>
        <v>27</v>
      </c>
      <c r="G31">
        <v>0.25872972512961545</v>
      </c>
    </row>
    <row r="32" spans="1:7" ht="12.75">
      <c r="A32">
        <v>14202</v>
      </c>
      <c r="B32">
        <v>0.08</v>
      </c>
      <c r="C32">
        <v>1000</v>
      </c>
      <c r="D32">
        <f t="shared" si="0"/>
        <v>0.5297977729104171</v>
      </c>
      <c r="E32">
        <f t="shared" si="1"/>
        <v>0.5185185185185185</v>
      </c>
      <c r="F32">
        <f t="shared" si="2"/>
        <v>28</v>
      </c>
      <c r="G32">
        <v>0.2599570957421848</v>
      </c>
    </row>
    <row r="33" spans="1:7" ht="12.75">
      <c r="A33">
        <v>13724</v>
      </c>
      <c r="B33">
        <v>0.22</v>
      </c>
      <c r="C33">
        <v>900</v>
      </c>
      <c r="D33">
        <f t="shared" si="0"/>
        <v>1.8719457176386494</v>
      </c>
      <c r="E33">
        <f t="shared" si="1"/>
        <v>0.5370370370370371</v>
      </c>
      <c r="F33">
        <f t="shared" si="2"/>
        <v>29</v>
      </c>
      <c r="G33">
        <v>0.26700548651139266</v>
      </c>
    </row>
    <row r="34" spans="1:7" ht="12.75">
      <c r="A34">
        <v>14033</v>
      </c>
      <c r="B34">
        <v>0.05</v>
      </c>
      <c r="C34">
        <v>800</v>
      </c>
      <c r="D34">
        <f t="shared" si="0"/>
        <v>0.5165976051876728</v>
      </c>
      <c r="E34">
        <f t="shared" si="1"/>
        <v>0.5555555555555556</v>
      </c>
      <c r="F34">
        <f t="shared" si="2"/>
        <v>30</v>
      </c>
      <c r="G34">
        <v>0.2721134378996302</v>
      </c>
    </row>
    <row r="35" spans="1:7" ht="12.75">
      <c r="A35">
        <v>13702</v>
      </c>
      <c r="B35">
        <v>0.09</v>
      </c>
      <c r="C35">
        <v>1400</v>
      </c>
      <c r="D35">
        <f t="shared" si="0"/>
        <v>0.2599570957421848</v>
      </c>
      <c r="E35">
        <f t="shared" si="1"/>
        <v>0.5740740740740741</v>
      </c>
      <c r="F35">
        <f t="shared" si="2"/>
        <v>31</v>
      </c>
      <c r="G35">
        <v>0.2779442975067845</v>
      </c>
    </row>
    <row r="36" spans="1:7" ht="12.75">
      <c r="A36">
        <v>13787</v>
      </c>
      <c r="B36">
        <v>0.07</v>
      </c>
      <c r="C36">
        <v>1300</v>
      </c>
      <c r="D36">
        <f t="shared" si="0"/>
        <v>0.24948993186551346</v>
      </c>
      <c r="E36">
        <f t="shared" si="1"/>
        <v>0.5925925925925926</v>
      </c>
      <c r="F36">
        <f t="shared" si="2"/>
        <v>32</v>
      </c>
      <c r="G36">
        <v>0.31087150653295426</v>
      </c>
    </row>
    <row r="37" spans="1:7" ht="12.75">
      <c r="A37">
        <v>14063</v>
      </c>
      <c r="B37">
        <v>0.1</v>
      </c>
      <c r="C37">
        <v>1834</v>
      </c>
      <c r="D37">
        <f t="shared" si="0"/>
        <v>0.110023353892628</v>
      </c>
      <c r="E37">
        <f aca="true" t="shared" si="3" ref="E37:E58">F37/MAX(Collierindex)</f>
        <v>0.6111111111111112</v>
      </c>
      <c r="F37">
        <f t="shared" si="2"/>
        <v>33</v>
      </c>
      <c r="G37">
        <v>0.3202617259516931</v>
      </c>
    </row>
    <row r="38" spans="1:7" ht="12.75">
      <c r="A38">
        <v>13762</v>
      </c>
      <c r="B38">
        <v>0.07</v>
      </c>
      <c r="C38">
        <v>1100</v>
      </c>
      <c r="D38">
        <f t="shared" si="0"/>
        <v>0.3853048771235964</v>
      </c>
      <c r="E38">
        <f t="shared" si="3"/>
        <v>0.6296296296296297</v>
      </c>
      <c r="F38">
        <f t="shared" si="2"/>
        <v>34</v>
      </c>
      <c r="G38">
        <v>0.3746186887058266</v>
      </c>
    </row>
    <row r="39" spans="1:7" ht="12.75">
      <c r="A39">
        <v>14092</v>
      </c>
      <c r="B39">
        <v>0.04</v>
      </c>
      <c r="C39">
        <v>1500</v>
      </c>
      <c r="D39">
        <f t="shared" si="0"/>
        <v>0.09047922188440631</v>
      </c>
      <c r="E39">
        <f t="shared" si="3"/>
        <v>0.6481481481481481</v>
      </c>
      <c r="F39">
        <f t="shared" si="2"/>
        <v>35</v>
      </c>
      <c r="G39">
        <v>0.3853048771235964</v>
      </c>
    </row>
    <row r="40" spans="1:7" ht="12.75">
      <c r="A40">
        <v>14022</v>
      </c>
      <c r="B40">
        <v>0.07</v>
      </c>
      <c r="C40">
        <v>1000</v>
      </c>
      <c r="D40">
        <f t="shared" si="0"/>
        <v>0.4695239248691004</v>
      </c>
      <c r="E40">
        <f t="shared" si="3"/>
        <v>0.6666666666666666</v>
      </c>
      <c r="F40">
        <f t="shared" si="2"/>
        <v>36</v>
      </c>
      <c r="G40">
        <v>0.3885888322576582</v>
      </c>
    </row>
    <row r="41" spans="1:7" ht="12.75">
      <c r="A41">
        <v>14006</v>
      </c>
      <c r="B41">
        <v>0.05</v>
      </c>
      <c r="C41">
        <v>2100</v>
      </c>
      <c r="D41">
        <f t="shared" si="0"/>
        <v>0.031061870388486058</v>
      </c>
      <c r="E41">
        <f t="shared" si="3"/>
        <v>0.6851851851851852</v>
      </c>
      <c r="F41">
        <f t="shared" si="2"/>
        <v>37</v>
      </c>
      <c r="G41">
        <v>0.39492004505764783</v>
      </c>
    </row>
    <row r="42" spans="1:7" ht="12.75">
      <c r="A42">
        <v>13969</v>
      </c>
      <c r="B42">
        <v>0.1</v>
      </c>
      <c r="C42">
        <v>1200</v>
      </c>
      <c r="D42">
        <f t="shared" si="0"/>
        <v>0.4367582050816324</v>
      </c>
      <c r="E42">
        <f t="shared" si="3"/>
        <v>0.7037037037037037</v>
      </c>
      <c r="F42">
        <f t="shared" si="2"/>
        <v>38</v>
      </c>
      <c r="G42">
        <v>0.4016470447085629</v>
      </c>
    </row>
    <row r="43" spans="1:7" ht="12.75">
      <c r="A43">
        <v>14061</v>
      </c>
      <c r="B43">
        <v>0.04</v>
      </c>
      <c r="C43">
        <v>1100</v>
      </c>
      <c r="D43">
        <f t="shared" si="0"/>
        <v>0.21549232299978396</v>
      </c>
      <c r="E43">
        <f t="shared" si="3"/>
        <v>0.7222222222222222</v>
      </c>
      <c r="F43">
        <f t="shared" si="2"/>
        <v>39</v>
      </c>
      <c r="G43">
        <v>0.42922655812676386</v>
      </c>
    </row>
    <row r="44" spans="1:7" ht="12.75">
      <c r="A44">
        <v>13627</v>
      </c>
      <c r="B44">
        <v>0.05</v>
      </c>
      <c r="C44">
        <v>1100</v>
      </c>
      <c r="D44">
        <f t="shared" si="0"/>
        <v>0.2779442975067845</v>
      </c>
      <c r="E44">
        <f t="shared" si="3"/>
        <v>0.7407407407407407</v>
      </c>
      <c r="F44">
        <f t="shared" si="2"/>
        <v>40</v>
      </c>
      <c r="G44">
        <v>0.4367582050816324</v>
      </c>
    </row>
    <row r="45" spans="1:7" ht="12.75">
      <c r="A45">
        <v>14003</v>
      </c>
      <c r="B45">
        <v>0.05</v>
      </c>
      <c r="C45">
        <v>1700</v>
      </c>
      <c r="D45">
        <f t="shared" si="0"/>
        <v>0.07383242891822997</v>
      </c>
      <c r="E45">
        <f t="shared" si="3"/>
        <v>0.7592592592592593</v>
      </c>
      <c r="F45">
        <f t="shared" si="2"/>
        <v>41</v>
      </c>
      <c r="G45">
        <v>0.4386590740065092</v>
      </c>
    </row>
    <row r="46" spans="1:7" ht="12.75">
      <c r="A46">
        <v>14007</v>
      </c>
      <c r="B46">
        <v>0.07</v>
      </c>
      <c r="C46">
        <v>900</v>
      </c>
      <c r="D46">
        <f t="shared" si="0"/>
        <v>0.5835850944726005</v>
      </c>
      <c r="E46">
        <f t="shared" si="3"/>
        <v>0.7777777777777778</v>
      </c>
      <c r="F46">
        <f t="shared" si="2"/>
        <v>42</v>
      </c>
      <c r="G46">
        <v>0.4413425902993172</v>
      </c>
    </row>
    <row r="47" spans="1:7" ht="12.75">
      <c r="A47">
        <v>13623</v>
      </c>
      <c r="B47">
        <v>0.07</v>
      </c>
      <c r="C47">
        <v>1400</v>
      </c>
      <c r="D47">
        <f t="shared" si="0"/>
        <v>0.2033613487077892</v>
      </c>
      <c r="E47">
        <f t="shared" si="3"/>
        <v>0.7962962962962963</v>
      </c>
      <c r="F47">
        <f t="shared" si="2"/>
        <v>43</v>
      </c>
      <c r="G47">
        <v>0.44316665699029</v>
      </c>
    </row>
    <row r="48" spans="1:7" ht="12.75">
      <c r="A48">
        <v>13901</v>
      </c>
      <c r="B48">
        <v>0.06</v>
      </c>
      <c r="C48">
        <v>800</v>
      </c>
      <c r="D48">
        <f t="shared" si="0"/>
        <v>0.6258036855131526</v>
      </c>
      <c r="E48">
        <f t="shared" si="3"/>
        <v>0.8148148148148148</v>
      </c>
      <c r="F48">
        <f t="shared" si="2"/>
        <v>44</v>
      </c>
      <c r="G48">
        <v>0.4600350813582832</v>
      </c>
    </row>
    <row r="49" spans="1:7" ht="12.75">
      <c r="A49">
        <v>14064</v>
      </c>
      <c r="B49">
        <v>0.07</v>
      </c>
      <c r="C49">
        <v>1800</v>
      </c>
      <c r="D49">
        <f t="shared" si="0"/>
        <v>0.0828906972550585</v>
      </c>
      <c r="E49">
        <f t="shared" si="3"/>
        <v>0.8333333333333334</v>
      </c>
      <c r="F49">
        <f t="shared" si="2"/>
        <v>45</v>
      </c>
      <c r="G49">
        <v>0.4695239248691004</v>
      </c>
    </row>
    <row r="50" spans="1:7" ht="12.75">
      <c r="A50">
        <v>13705</v>
      </c>
      <c r="B50">
        <v>0.07</v>
      </c>
      <c r="C50">
        <v>1300</v>
      </c>
      <c r="D50">
        <f t="shared" si="0"/>
        <v>0.2509826844677004</v>
      </c>
      <c r="E50">
        <f t="shared" si="3"/>
        <v>0.8518518518518519</v>
      </c>
      <c r="F50">
        <f t="shared" si="2"/>
        <v>46</v>
      </c>
      <c r="G50">
        <v>0.47208263835612546</v>
      </c>
    </row>
    <row r="51" spans="1:7" ht="12.75">
      <c r="A51">
        <v>13910</v>
      </c>
      <c r="B51">
        <v>0.11</v>
      </c>
      <c r="C51">
        <v>1300</v>
      </c>
      <c r="D51">
        <f t="shared" si="0"/>
        <v>0.3885888322576582</v>
      </c>
      <c r="E51">
        <f t="shared" si="3"/>
        <v>0.8703703703703703</v>
      </c>
      <c r="F51">
        <f t="shared" si="2"/>
        <v>47</v>
      </c>
      <c r="G51">
        <v>0.5165976051876728</v>
      </c>
    </row>
    <row r="52" spans="1:7" ht="12.75">
      <c r="A52">
        <v>14050</v>
      </c>
      <c r="B52">
        <v>0.06</v>
      </c>
      <c r="C52">
        <v>1000</v>
      </c>
      <c r="D52">
        <f t="shared" si="0"/>
        <v>0.4016470447085629</v>
      </c>
      <c r="E52">
        <f t="shared" si="3"/>
        <v>0.8888888888888888</v>
      </c>
      <c r="F52">
        <f t="shared" si="2"/>
        <v>48</v>
      </c>
      <c r="G52">
        <v>0.5297977729104171</v>
      </c>
    </row>
    <row r="53" spans="1:7" ht="12.75">
      <c r="A53">
        <v>13947</v>
      </c>
      <c r="B53">
        <v>0.05</v>
      </c>
      <c r="C53">
        <v>1400</v>
      </c>
      <c r="D53">
        <f t="shared" si="0"/>
        <v>0.14188364386843114</v>
      </c>
      <c r="E53">
        <f t="shared" si="3"/>
        <v>0.9074074074074074</v>
      </c>
      <c r="F53">
        <f t="shared" si="2"/>
        <v>49</v>
      </c>
      <c r="G53">
        <v>0.572380013417062</v>
      </c>
    </row>
    <row r="54" spans="1:7" ht="12.75">
      <c r="A54">
        <v>13809</v>
      </c>
      <c r="B54">
        <v>0.09</v>
      </c>
      <c r="C54">
        <v>1300</v>
      </c>
      <c r="D54">
        <f t="shared" si="0"/>
        <v>0.3202617259516931</v>
      </c>
      <c r="E54">
        <f t="shared" si="3"/>
        <v>0.9259259259259259</v>
      </c>
      <c r="F54">
        <f t="shared" si="2"/>
        <v>50</v>
      </c>
      <c r="G54">
        <v>0.5835850944726005</v>
      </c>
    </row>
    <row r="55" spans="1:7" ht="12.75">
      <c r="A55">
        <v>13919</v>
      </c>
      <c r="B55">
        <v>0.05</v>
      </c>
      <c r="C55">
        <v>1100</v>
      </c>
      <c r="D55">
        <f t="shared" si="0"/>
        <v>0.2721134378996302</v>
      </c>
      <c r="E55">
        <f t="shared" si="3"/>
        <v>0.9444444444444444</v>
      </c>
      <c r="F55">
        <f t="shared" si="2"/>
        <v>51</v>
      </c>
      <c r="G55">
        <v>0.6070671188019012</v>
      </c>
    </row>
    <row r="56" spans="1:7" ht="12.75">
      <c r="A56">
        <v>13603</v>
      </c>
      <c r="B56">
        <v>0.05</v>
      </c>
      <c r="C56">
        <v>900</v>
      </c>
      <c r="D56">
        <f t="shared" si="0"/>
        <v>0.42922655812676386</v>
      </c>
      <c r="E56">
        <f t="shared" si="3"/>
        <v>0.9629629629629629</v>
      </c>
      <c r="F56">
        <f t="shared" si="2"/>
        <v>52</v>
      </c>
      <c r="G56">
        <v>0.6258036855131526</v>
      </c>
    </row>
    <row r="57" spans="1:7" ht="12.75">
      <c r="A57">
        <v>13767</v>
      </c>
      <c r="B57">
        <v>0.09</v>
      </c>
      <c r="C57">
        <v>1400</v>
      </c>
      <c r="D57">
        <f t="shared" si="0"/>
        <v>0.25872972512961545</v>
      </c>
      <c r="E57">
        <f t="shared" si="3"/>
        <v>0.9814814814814815</v>
      </c>
      <c r="F57">
        <f t="shared" si="2"/>
        <v>53</v>
      </c>
      <c r="G57">
        <v>1.5669585600351785</v>
      </c>
    </row>
    <row r="58" spans="1:7" ht="12.75">
      <c r="A58">
        <v>14045</v>
      </c>
      <c r="B58">
        <v>0.02</v>
      </c>
      <c r="C58">
        <v>1000</v>
      </c>
      <c r="D58">
        <f t="shared" si="0"/>
        <v>0.133930010161512</v>
      </c>
      <c r="E58">
        <f t="shared" si="3"/>
        <v>1</v>
      </c>
      <c r="F58">
        <f t="shared" si="2"/>
        <v>54</v>
      </c>
      <c r="G58">
        <v>1.8719457176386494</v>
      </c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5" sqref="M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25" sqref="A25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76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0.13480000000000003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12376</v>
      </c>
      <c r="B5">
        <v>0.058</v>
      </c>
      <c r="C5">
        <v>447</v>
      </c>
      <c r="D5">
        <f aca="true" t="shared" si="0" ref="D5:D23">1000000*B5*$B$3*EXP(-$A$3*C5)/A5</f>
        <v>0.6317388493859083</v>
      </c>
      <c r="E5">
        <f aca="true" t="shared" si="1" ref="E5:E23">F5/MAX(Valmont_index)</f>
        <v>0.05263157894736842</v>
      </c>
      <c r="F5">
        <v>1</v>
      </c>
      <c r="G5">
        <v>0.1290055028311668</v>
      </c>
      <c r="I5">
        <f>VLOOKUP(0.975,Valmont_freqtab,3)</f>
        <v>0.6805932470810984</v>
      </c>
      <c r="J5">
        <f>VLOOKUP(0.975,Valmont_freqtab,2)</f>
        <v>18</v>
      </c>
      <c r="K5">
        <f>J5/MAX(Valmont_index)</f>
        <v>0.9473684210526315</v>
      </c>
    </row>
    <row r="6" spans="1:11" ht="13.5" thickBot="1">
      <c r="A6">
        <v>12539</v>
      </c>
      <c r="B6">
        <v>0.012</v>
      </c>
      <c r="C6">
        <v>491</v>
      </c>
      <c r="D6">
        <f t="shared" si="0"/>
        <v>0.1290055028311668</v>
      </c>
      <c r="E6">
        <f t="shared" si="1"/>
        <v>0.10526315789473684</v>
      </c>
      <c r="F6">
        <f aca="true" t="shared" si="2" ref="F6:F23">F5+1</f>
        <v>2</v>
      </c>
      <c r="G6">
        <v>0.19196202531645573</v>
      </c>
      <c r="I6">
        <f>VLOOKUP(J6,Valmont_freqindex,2)</f>
        <v>0.7068638960632389</v>
      </c>
      <c r="J6">
        <f>J5+1</f>
        <v>19</v>
      </c>
      <c r="K6">
        <f>J6/MAX(Valmont_index)</f>
        <v>1</v>
      </c>
    </row>
    <row r="7" spans="1:10" ht="15.75" thickBot="1">
      <c r="A7">
        <v>12484</v>
      </c>
      <c r="B7">
        <v>0.051</v>
      </c>
      <c r="C7">
        <v>449</v>
      </c>
      <c r="D7">
        <f t="shared" si="0"/>
        <v>0.550688881768664</v>
      </c>
      <c r="E7">
        <f t="shared" si="1"/>
        <v>0.15789473684210525</v>
      </c>
      <c r="F7">
        <f t="shared" si="2"/>
        <v>3</v>
      </c>
      <c r="G7">
        <v>0.21555928679939237</v>
      </c>
      <c r="I7" s="46" t="s">
        <v>74</v>
      </c>
      <c r="J7" s="47">
        <f>$I$5+((0.975-$K$5)/($K$6-$K$5))*($I$6-$I$5)</f>
        <v>0.6943853377967221</v>
      </c>
    </row>
    <row r="8" spans="1:7" ht="12.75">
      <c r="A8">
        <v>12555</v>
      </c>
      <c r="B8">
        <v>0.053</v>
      </c>
      <c r="C8">
        <v>476</v>
      </c>
      <c r="D8">
        <f t="shared" si="0"/>
        <v>0.5690481879729192</v>
      </c>
      <c r="E8">
        <f t="shared" si="1"/>
        <v>0.21052631578947367</v>
      </c>
      <c r="F8">
        <f t="shared" si="2"/>
        <v>4</v>
      </c>
      <c r="G8">
        <v>0.2895004772510341</v>
      </c>
    </row>
    <row r="9" spans="1:10" ht="12.75">
      <c r="A9">
        <v>12572</v>
      </c>
      <c r="B9">
        <v>0.027</v>
      </c>
      <c r="C9">
        <v>712</v>
      </c>
      <c r="D9">
        <f t="shared" si="0"/>
        <v>0.2895004772510341</v>
      </c>
      <c r="E9">
        <f t="shared" si="1"/>
        <v>0.2631578947368421</v>
      </c>
      <c r="F9">
        <f t="shared" si="2"/>
        <v>5</v>
      </c>
      <c r="G9">
        <v>0.30089285714285724</v>
      </c>
      <c r="I9" s="1" t="s">
        <v>73</v>
      </c>
      <c r="J9" s="48" t="str">
        <f>A1&amp;": 97.5th Percentile = "&amp;TEXT($J$7,"0.0000")&amp;" lb Hg/TBtu"</f>
        <v>Valmont 5: 97.5th Percentile = 0.6944 lb Hg/TBtu</v>
      </c>
    </row>
    <row r="10" spans="1:7" ht="12.75">
      <c r="A10">
        <v>12502</v>
      </c>
      <c r="B10">
        <v>0.03</v>
      </c>
      <c r="C10">
        <v>501</v>
      </c>
      <c r="D10">
        <f t="shared" si="0"/>
        <v>0.32346824508078714</v>
      </c>
      <c r="E10">
        <f t="shared" si="1"/>
        <v>0.3157894736842105</v>
      </c>
      <c r="F10">
        <f t="shared" si="2"/>
        <v>6</v>
      </c>
      <c r="G10">
        <v>0.3080778627157381</v>
      </c>
    </row>
    <row r="11" spans="1:7" ht="12.75">
      <c r="A11">
        <v>12544</v>
      </c>
      <c r="B11">
        <v>0.028</v>
      </c>
      <c r="C11">
        <v>565</v>
      </c>
      <c r="D11">
        <f t="shared" si="0"/>
        <v>0.30089285714285724</v>
      </c>
      <c r="E11">
        <f t="shared" si="1"/>
        <v>0.3684210526315789</v>
      </c>
      <c r="F11">
        <f t="shared" si="2"/>
        <v>7</v>
      </c>
      <c r="G11">
        <v>0.32346824508078714</v>
      </c>
    </row>
    <row r="12" spans="1:13" ht="12.75">
      <c r="A12">
        <v>12526</v>
      </c>
      <c r="B12">
        <v>0.063</v>
      </c>
      <c r="C12">
        <v>423</v>
      </c>
      <c r="D12">
        <f t="shared" si="0"/>
        <v>0.6779817978604504</v>
      </c>
      <c r="E12">
        <f t="shared" si="1"/>
        <v>0.42105263157894735</v>
      </c>
      <c r="F12">
        <f t="shared" si="2"/>
        <v>8</v>
      </c>
      <c r="G12">
        <v>0.36694955964771825</v>
      </c>
      <c r="I12" s="14"/>
      <c r="J12" s="14"/>
      <c r="K12" s="14"/>
      <c r="L12" s="14"/>
      <c r="M12" s="14"/>
    </row>
    <row r="13" spans="1:13" ht="12.75">
      <c r="A13">
        <v>12423</v>
      </c>
      <c r="B13">
        <v>0.038</v>
      </c>
      <c r="C13">
        <v>516</v>
      </c>
      <c r="D13">
        <f t="shared" si="0"/>
        <v>0.4123319649038076</v>
      </c>
      <c r="E13">
        <f t="shared" si="1"/>
        <v>0.47368421052631576</v>
      </c>
      <c r="F13">
        <f t="shared" si="2"/>
        <v>9</v>
      </c>
      <c r="G13">
        <v>0.3724050832741338</v>
      </c>
      <c r="I13" s="14"/>
      <c r="J13" s="14"/>
      <c r="K13" s="14"/>
      <c r="L13" s="14"/>
      <c r="M13" s="14"/>
    </row>
    <row r="14" spans="1:13" ht="15">
      <c r="A14">
        <v>12669</v>
      </c>
      <c r="B14">
        <v>0.035</v>
      </c>
      <c r="C14">
        <v>435</v>
      </c>
      <c r="D14">
        <f t="shared" si="0"/>
        <v>0.3724050832741338</v>
      </c>
      <c r="E14">
        <f t="shared" si="1"/>
        <v>0.5263157894736842</v>
      </c>
      <c r="F14">
        <f t="shared" si="2"/>
        <v>10</v>
      </c>
      <c r="G14">
        <v>0.3738640998450119</v>
      </c>
      <c r="I14" s="49"/>
      <c r="J14" s="50"/>
      <c r="K14" s="14"/>
      <c r="L14" s="14"/>
      <c r="M14" s="14"/>
    </row>
    <row r="15" spans="1:13" ht="12.75">
      <c r="A15">
        <v>12676</v>
      </c>
      <c r="B15">
        <v>0.064</v>
      </c>
      <c r="C15">
        <v>662</v>
      </c>
      <c r="D15">
        <f t="shared" si="0"/>
        <v>0.6805932470810984</v>
      </c>
      <c r="E15">
        <f t="shared" si="1"/>
        <v>0.5789473684210527</v>
      </c>
      <c r="F15">
        <f t="shared" si="2"/>
        <v>11</v>
      </c>
      <c r="G15">
        <v>0.4011590570913933</v>
      </c>
      <c r="I15" s="14"/>
      <c r="J15" s="14"/>
      <c r="K15" s="14"/>
      <c r="L15" s="14"/>
      <c r="M15" s="14"/>
    </row>
    <row r="16" spans="1:13" ht="12.75">
      <c r="A16">
        <v>12777</v>
      </c>
      <c r="B16">
        <v>0.067</v>
      </c>
      <c r="C16">
        <v>610</v>
      </c>
      <c r="D16">
        <f t="shared" si="0"/>
        <v>0.7068638960632389</v>
      </c>
      <c r="E16">
        <f t="shared" si="1"/>
        <v>0.631578947368421</v>
      </c>
      <c r="F16">
        <f t="shared" si="2"/>
        <v>12</v>
      </c>
      <c r="G16">
        <v>0.4123319649038076</v>
      </c>
      <c r="I16" s="51"/>
      <c r="J16" s="52"/>
      <c r="K16" s="14"/>
      <c r="L16" s="14"/>
      <c r="M16" s="14"/>
    </row>
    <row r="17" spans="1:13" ht="12.75">
      <c r="A17">
        <v>12689</v>
      </c>
      <c r="B17">
        <v>0.029</v>
      </c>
      <c r="C17">
        <v>1008</v>
      </c>
      <c r="D17">
        <f t="shared" si="0"/>
        <v>0.3080778627157381</v>
      </c>
      <c r="E17">
        <f t="shared" si="1"/>
        <v>0.6842105263157895</v>
      </c>
      <c r="F17">
        <f t="shared" si="2"/>
        <v>13</v>
      </c>
      <c r="G17">
        <v>0.41790143084260745</v>
      </c>
      <c r="I17" s="14"/>
      <c r="J17" s="14"/>
      <c r="K17" s="14"/>
      <c r="L17" s="14"/>
      <c r="M17" s="14"/>
    </row>
    <row r="18" spans="1:13" ht="12.75">
      <c r="A18">
        <v>12640</v>
      </c>
      <c r="B18">
        <v>0.018</v>
      </c>
      <c r="C18">
        <v>821</v>
      </c>
      <c r="D18">
        <f t="shared" si="0"/>
        <v>0.19196202531645573</v>
      </c>
      <c r="E18">
        <f t="shared" si="1"/>
        <v>0.7368421052631579</v>
      </c>
      <c r="F18">
        <f t="shared" si="2"/>
        <v>14</v>
      </c>
      <c r="G18">
        <v>0.550688881768664</v>
      </c>
      <c r="I18" s="14"/>
      <c r="J18" s="14"/>
      <c r="K18" s="14"/>
      <c r="L18" s="14"/>
      <c r="M18" s="14"/>
    </row>
    <row r="19" spans="1:13" ht="12.75">
      <c r="A19">
        <v>12259</v>
      </c>
      <c r="B19">
        <v>0.034</v>
      </c>
      <c r="C19">
        <v>812</v>
      </c>
      <c r="D19">
        <f t="shared" si="0"/>
        <v>0.3738640998450119</v>
      </c>
      <c r="E19">
        <f t="shared" si="1"/>
        <v>0.7894736842105263</v>
      </c>
      <c r="F19">
        <f t="shared" si="2"/>
        <v>15</v>
      </c>
      <c r="G19">
        <v>0.5690481879729192</v>
      </c>
      <c r="I19" s="14"/>
      <c r="J19" s="14"/>
      <c r="K19" s="14"/>
      <c r="L19" s="14"/>
      <c r="M19" s="14"/>
    </row>
    <row r="20" spans="1:13" ht="12.75">
      <c r="A20">
        <v>12490</v>
      </c>
      <c r="B20">
        <v>0.034</v>
      </c>
      <c r="C20">
        <v>696</v>
      </c>
      <c r="D20">
        <f t="shared" si="0"/>
        <v>0.36694955964771825</v>
      </c>
      <c r="E20">
        <f t="shared" si="1"/>
        <v>0.8421052631578947</v>
      </c>
      <c r="F20">
        <f t="shared" si="2"/>
        <v>16</v>
      </c>
      <c r="G20">
        <v>0.6317388493859083</v>
      </c>
      <c r="I20" s="14"/>
      <c r="J20" s="14"/>
      <c r="K20" s="14"/>
      <c r="L20" s="14"/>
      <c r="M20" s="14"/>
    </row>
    <row r="21" spans="1:13" ht="15">
      <c r="A21">
        <v>12507</v>
      </c>
      <c r="B21">
        <v>0.02</v>
      </c>
      <c r="C21">
        <v>545</v>
      </c>
      <c r="D21">
        <f t="shared" si="0"/>
        <v>0.21555928679939237</v>
      </c>
      <c r="E21">
        <f t="shared" si="1"/>
        <v>0.8947368421052632</v>
      </c>
      <c r="F21">
        <f t="shared" si="2"/>
        <v>17</v>
      </c>
      <c r="G21">
        <v>0.6779817978604504</v>
      </c>
      <c r="I21" s="49"/>
      <c r="J21" s="50"/>
      <c r="K21" s="14"/>
      <c r="L21" s="14"/>
      <c r="M21" s="14"/>
    </row>
    <row r="22" spans="1:13" ht="12.75">
      <c r="A22">
        <v>12580</v>
      </c>
      <c r="B22">
        <v>0.039</v>
      </c>
      <c r="C22">
        <v>560</v>
      </c>
      <c r="D22">
        <f t="shared" si="0"/>
        <v>0.41790143084260745</v>
      </c>
      <c r="E22">
        <f t="shared" si="1"/>
        <v>0.9473684210526315</v>
      </c>
      <c r="F22">
        <f t="shared" si="2"/>
        <v>18</v>
      </c>
      <c r="G22">
        <v>0.6805932470810984</v>
      </c>
      <c r="I22" s="14"/>
      <c r="J22" s="14"/>
      <c r="K22" s="14"/>
      <c r="L22" s="14"/>
      <c r="M22" s="14"/>
    </row>
    <row r="23" spans="1:13" ht="12.75">
      <c r="A23">
        <v>12769</v>
      </c>
      <c r="B23">
        <v>0.038</v>
      </c>
      <c r="C23">
        <v>613</v>
      </c>
      <c r="D23">
        <f t="shared" si="0"/>
        <v>0.4011590570913933</v>
      </c>
      <c r="E23">
        <f t="shared" si="1"/>
        <v>1</v>
      </c>
      <c r="F23">
        <f t="shared" si="2"/>
        <v>19</v>
      </c>
      <c r="G23">
        <v>0.7068638960632389</v>
      </c>
      <c r="I23" s="51"/>
      <c r="J23" s="52"/>
      <c r="K23" s="14"/>
      <c r="L23" s="14"/>
      <c r="M23" s="14"/>
    </row>
    <row r="24" spans="9:13" ht="12.75">
      <c r="I24" s="14"/>
      <c r="J24" s="14"/>
      <c r="K24" s="14"/>
      <c r="L24" s="14"/>
      <c r="M24" s="14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3" sqref="A3:B3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77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0.006860787</v>
      </c>
      <c r="B3">
        <v>0.318572089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12323</v>
      </c>
      <c r="B5">
        <v>0.046</v>
      </c>
      <c r="C5">
        <v>460</v>
      </c>
      <c r="D5">
        <f aca="true" t="shared" si="0" ref="D5:D44">1000000*B5*$B$3*EXP(-$A$3*C5)/A5</f>
        <v>0.05065615431489349</v>
      </c>
      <c r="E5">
        <f aca="true" t="shared" si="1" ref="E5:E37">F5/MAX(Stockton_index)</f>
        <v>0.025</v>
      </c>
      <c r="F5">
        <v>1</v>
      </c>
      <c r="G5">
        <v>0.005123539446177322</v>
      </c>
      <c r="I5">
        <f>VLOOKUP(0.975,Stockton_freqtab,3)</f>
        <v>0.609453005011771</v>
      </c>
      <c r="J5">
        <f>VLOOKUP(0.975,Stockton_freqtab,2)</f>
        <v>39</v>
      </c>
      <c r="K5">
        <f>J5/MAX(Stockton_index)</f>
        <v>0.975</v>
      </c>
    </row>
    <row r="6" spans="1:11" ht="13.5" thickBot="1">
      <c r="A6">
        <v>12323</v>
      </c>
      <c r="B6">
        <v>0.014</v>
      </c>
      <c r="C6">
        <v>462</v>
      </c>
      <c r="D6">
        <f t="shared" si="0"/>
        <v>0.015206988457767035</v>
      </c>
      <c r="E6">
        <f t="shared" si="1"/>
        <v>0.05</v>
      </c>
      <c r="F6">
        <f aca="true" t="shared" si="2" ref="F6:F44">F5+1</f>
        <v>2</v>
      </c>
      <c r="G6">
        <v>0.008590201590026164</v>
      </c>
      <c r="I6">
        <f>VLOOKUP(J6,Stockton_freqindex,2)</f>
        <v>0.6297164287199185</v>
      </c>
      <c r="J6">
        <f>J5+1</f>
        <v>40</v>
      </c>
      <c r="K6">
        <f>J6/MAX(Stockton_index)</f>
        <v>1</v>
      </c>
    </row>
    <row r="7" spans="1:10" ht="15.75" thickBot="1">
      <c r="A7">
        <v>11678</v>
      </c>
      <c r="B7">
        <v>0.052</v>
      </c>
      <c r="C7">
        <v>222</v>
      </c>
      <c r="D7">
        <f t="shared" si="0"/>
        <v>0.30929362338844635</v>
      </c>
      <c r="E7">
        <f t="shared" si="1"/>
        <v>0.075</v>
      </c>
      <c r="F7">
        <f t="shared" si="2"/>
        <v>3</v>
      </c>
      <c r="G7">
        <v>0.009613870186904938</v>
      </c>
      <c r="I7" s="46" t="s">
        <v>74</v>
      </c>
      <c r="J7" s="47">
        <f>$I$5+((0.975-$K$5)/($K$6-$K$5))*($I$6-$I$5)</f>
        <v>0.609453005011771</v>
      </c>
    </row>
    <row r="8" spans="1:7" ht="12.75">
      <c r="A8">
        <v>11678</v>
      </c>
      <c r="B8">
        <v>0.007</v>
      </c>
      <c r="C8">
        <v>222</v>
      </c>
      <c r="D8">
        <f t="shared" si="0"/>
        <v>0.041635680071521616</v>
      </c>
      <c r="E8">
        <f t="shared" si="1"/>
        <v>0.1</v>
      </c>
      <c r="F8">
        <f t="shared" si="2"/>
        <v>4</v>
      </c>
      <c r="G8">
        <v>0.009967619979749825</v>
      </c>
    </row>
    <row r="9" spans="1:10" ht="12.75">
      <c r="A9">
        <v>12408</v>
      </c>
      <c r="B9">
        <v>0.04</v>
      </c>
      <c r="C9">
        <v>152</v>
      </c>
      <c r="D9">
        <f t="shared" si="0"/>
        <v>0.36196488079118216</v>
      </c>
      <c r="E9">
        <f t="shared" si="1"/>
        <v>0.125</v>
      </c>
      <c r="F9">
        <f t="shared" si="2"/>
        <v>5</v>
      </c>
      <c r="G9">
        <v>0.011654739795970884</v>
      </c>
      <c r="I9" s="1" t="s">
        <v>73</v>
      </c>
      <c r="J9" s="48" t="str">
        <f>A1&amp;": 97.5th Percentile = "&amp;TEXT($J$7,"0.0000")&amp;" lb Hg/TBtu"</f>
        <v>Stockton Cogen 1: 97.5th Percentile = 0.6095 lb Hg/TBtu</v>
      </c>
    </row>
    <row r="10" spans="1:7" ht="12.75">
      <c r="A10">
        <v>12408</v>
      </c>
      <c r="B10">
        <v>0.008</v>
      </c>
      <c r="C10">
        <v>538</v>
      </c>
      <c r="D10">
        <f t="shared" si="0"/>
        <v>0.005123539446177322</v>
      </c>
      <c r="E10">
        <f t="shared" si="1"/>
        <v>0.15</v>
      </c>
      <c r="F10">
        <f t="shared" si="2"/>
        <v>6</v>
      </c>
      <c r="G10">
        <v>0.01210933330783036</v>
      </c>
    </row>
    <row r="11" spans="1:7" ht="12.75">
      <c r="A11">
        <v>12408</v>
      </c>
      <c r="B11">
        <v>0.008</v>
      </c>
      <c r="C11">
        <v>441</v>
      </c>
      <c r="D11">
        <f t="shared" si="0"/>
        <v>0.009967619979749825</v>
      </c>
      <c r="E11">
        <f t="shared" si="1"/>
        <v>0.175</v>
      </c>
      <c r="F11">
        <f t="shared" si="2"/>
        <v>7</v>
      </c>
      <c r="G11">
        <v>0.012450573815548607</v>
      </c>
    </row>
    <row r="12" spans="1:12" ht="12.75">
      <c r="A12">
        <v>12403</v>
      </c>
      <c r="B12">
        <v>0.012</v>
      </c>
      <c r="C12">
        <v>240</v>
      </c>
      <c r="D12">
        <f t="shared" si="0"/>
        <v>0.059396076942332995</v>
      </c>
      <c r="E12">
        <f t="shared" si="1"/>
        <v>0.2</v>
      </c>
      <c r="F12">
        <f t="shared" si="2"/>
        <v>8</v>
      </c>
      <c r="G12">
        <v>0.015206988457767035</v>
      </c>
      <c r="I12" s="14"/>
      <c r="J12" s="14"/>
      <c r="K12" s="14"/>
      <c r="L12" s="14"/>
    </row>
    <row r="13" spans="1:12" ht="12.75">
      <c r="A13">
        <v>12403</v>
      </c>
      <c r="B13">
        <v>0.014</v>
      </c>
      <c r="C13">
        <v>400</v>
      </c>
      <c r="D13">
        <f t="shared" si="0"/>
        <v>0.023118957206755303</v>
      </c>
      <c r="E13">
        <f t="shared" si="1"/>
        <v>0.225</v>
      </c>
      <c r="F13">
        <f t="shared" si="2"/>
        <v>9</v>
      </c>
      <c r="G13">
        <v>0.019066297269585558</v>
      </c>
      <c r="I13" s="14"/>
      <c r="J13" s="14"/>
      <c r="K13" s="14"/>
      <c r="L13" s="14"/>
    </row>
    <row r="14" spans="1:12" ht="15">
      <c r="A14">
        <v>12632</v>
      </c>
      <c r="B14">
        <v>0.039</v>
      </c>
      <c r="C14">
        <v>199</v>
      </c>
      <c r="D14">
        <f t="shared" si="0"/>
        <v>0.2511073519398901</v>
      </c>
      <c r="E14">
        <f t="shared" si="1"/>
        <v>0.25</v>
      </c>
      <c r="F14">
        <f t="shared" si="2"/>
        <v>10</v>
      </c>
      <c r="G14">
        <v>0.022354760374184136</v>
      </c>
      <c r="I14" s="49"/>
      <c r="J14" s="50"/>
      <c r="K14" s="14"/>
      <c r="L14" s="14"/>
    </row>
    <row r="15" spans="1:12" ht="12.75">
      <c r="A15">
        <v>12632</v>
      </c>
      <c r="B15">
        <v>0.029</v>
      </c>
      <c r="C15">
        <v>188</v>
      </c>
      <c r="D15">
        <f t="shared" si="0"/>
        <v>0.2013577920386824</v>
      </c>
      <c r="E15">
        <f t="shared" si="1"/>
        <v>0.275</v>
      </c>
      <c r="F15">
        <f t="shared" si="2"/>
        <v>11</v>
      </c>
      <c r="G15">
        <v>0.023118957206755303</v>
      </c>
      <c r="I15" s="14"/>
      <c r="J15" s="14"/>
      <c r="K15" s="14"/>
      <c r="L15" s="14"/>
    </row>
    <row r="16" spans="1:12" ht="12.75">
      <c r="A16">
        <v>11741</v>
      </c>
      <c r="B16">
        <v>0.095</v>
      </c>
      <c r="C16">
        <v>373</v>
      </c>
      <c r="D16">
        <f t="shared" si="0"/>
        <v>0.19945031136002708</v>
      </c>
      <c r="E16">
        <f t="shared" si="1"/>
        <v>0.3</v>
      </c>
      <c r="F16">
        <f t="shared" si="2"/>
        <v>12</v>
      </c>
      <c r="G16">
        <v>0.03472356186581437</v>
      </c>
      <c r="I16" s="51"/>
      <c r="J16" s="52"/>
      <c r="K16" s="14"/>
      <c r="L16" s="14"/>
    </row>
    <row r="17" spans="1:12" ht="12.75">
      <c r="A17">
        <v>12847</v>
      </c>
      <c r="B17">
        <v>0.052</v>
      </c>
      <c r="C17">
        <v>510</v>
      </c>
      <c r="D17">
        <f t="shared" si="0"/>
        <v>0.03897735420315101</v>
      </c>
      <c r="E17">
        <f t="shared" si="1"/>
        <v>0.325</v>
      </c>
      <c r="F17">
        <f t="shared" si="2"/>
        <v>13</v>
      </c>
      <c r="G17">
        <v>0.03716116129610582</v>
      </c>
      <c r="I17" s="14"/>
      <c r="J17" s="14"/>
      <c r="K17" s="14"/>
      <c r="L17" s="14"/>
    </row>
    <row r="18" spans="1:12" ht="12.75">
      <c r="A18">
        <v>11677</v>
      </c>
      <c r="B18">
        <v>0.046</v>
      </c>
      <c r="C18">
        <v>484</v>
      </c>
      <c r="D18">
        <f t="shared" si="0"/>
        <v>0.04534265413651127</v>
      </c>
      <c r="E18">
        <f t="shared" si="1"/>
        <v>0.35</v>
      </c>
      <c r="F18">
        <f t="shared" si="2"/>
        <v>14</v>
      </c>
      <c r="G18">
        <v>0.03897735420315101</v>
      </c>
      <c r="I18" s="14"/>
      <c r="J18" s="14"/>
      <c r="K18" s="14"/>
      <c r="L18" s="14"/>
    </row>
    <row r="19" spans="1:12" ht="12.75">
      <c r="A19">
        <v>12161</v>
      </c>
      <c r="B19">
        <v>0.026</v>
      </c>
      <c r="C19">
        <v>498</v>
      </c>
      <c r="D19">
        <f t="shared" si="0"/>
        <v>0.022354760374184136</v>
      </c>
      <c r="E19">
        <f t="shared" si="1"/>
        <v>0.375</v>
      </c>
      <c r="F19">
        <f t="shared" si="2"/>
        <v>15</v>
      </c>
      <c r="G19">
        <v>0.041635680071521616</v>
      </c>
      <c r="I19" s="14"/>
      <c r="J19" s="14"/>
      <c r="K19" s="14"/>
      <c r="L19" s="14"/>
    </row>
    <row r="20" spans="1:12" ht="12.75">
      <c r="A20">
        <v>12219</v>
      </c>
      <c r="B20">
        <v>0.02</v>
      </c>
      <c r="C20">
        <v>554</v>
      </c>
      <c r="D20">
        <f t="shared" si="0"/>
        <v>0.011654739795970884</v>
      </c>
      <c r="E20">
        <f t="shared" si="1"/>
        <v>0.4</v>
      </c>
      <c r="F20">
        <f t="shared" si="2"/>
        <v>16</v>
      </c>
      <c r="G20">
        <v>0.041998518538368924</v>
      </c>
      <c r="I20" s="14"/>
      <c r="J20" s="14"/>
      <c r="K20" s="14"/>
      <c r="L20" s="14"/>
    </row>
    <row r="21" spans="1:12" ht="15">
      <c r="A21">
        <v>12534</v>
      </c>
      <c r="B21">
        <v>0.026</v>
      </c>
      <c r="C21">
        <v>633</v>
      </c>
      <c r="D21">
        <f t="shared" si="0"/>
        <v>0.008590201590026164</v>
      </c>
      <c r="E21">
        <f t="shared" si="1"/>
        <v>0.425</v>
      </c>
      <c r="F21">
        <f t="shared" si="2"/>
        <v>17</v>
      </c>
      <c r="G21">
        <v>0.04534265413651127</v>
      </c>
      <c r="I21" s="49"/>
      <c r="J21" s="50"/>
      <c r="K21" s="14"/>
      <c r="L21" s="14"/>
    </row>
    <row r="22" spans="1:12" ht="12.75">
      <c r="A22">
        <v>12562</v>
      </c>
      <c r="B22">
        <v>0.065</v>
      </c>
      <c r="C22">
        <v>263</v>
      </c>
      <c r="D22">
        <f t="shared" si="0"/>
        <v>0.27128574998619726</v>
      </c>
      <c r="E22">
        <f t="shared" si="1"/>
        <v>0.45</v>
      </c>
      <c r="F22">
        <f t="shared" si="2"/>
        <v>18</v>
      </c>
      <c r="G22">
        <v>0.05035891784712103</v>
      </c>
      <c r="I22" s="14"/>
      <c r="J22" s="14"/>
      <c r="K22" s="14"/>
      <c r="L22" s="14"/>
    </row>
    <row r="23" spans="1:12" ht="12.75">
      <c r="A23">
        <v>12074</v>
      </c>
      <c r="B23">
        <v>0.052</v>
      </c>
      <c r="C23">
        <v>526</v>
      </c>
      <c r="D23">
        <f t="shared" si="0"/>
        <v>0.03716116129610582</v>
      </c>
      <c r="E23">
        <f t="shared" si="1"/>
        <v>0.475</v>
      </c>
      <c r="F23">
        <f t="shared" si="2"/>
        <v>19</v>
      </c>
      <c r="G23">
        <v>0.05065615431489349</v>
      </c>
      <c r="I23" s="51"/>
      <c r="J23" s="52"/>
      <c r="K23" s="14"/>
      <c r="L23" s="14"/>
    </row>
    <row r="24" spans="1:12" ht="12.75">
      <c r="A24">
        <v>11751</v>
      </c>
      <c r="B24">
        <v>0.043</v>
      </c>
      <c r="C24">
        <v>425</v>
      </c>
      <c r="D24">
        <f t="shared" si="0"/>
        <v>0.06313505018868233</v>
      </c>
      <c r="E24">
        <f t="shared" si="1"/>
        <v>0.5</v>
      </c>
      <c r="F24">
        <f t="shared" si="2"/>
        <v>20</v>
      </c>
      <c r="G24">
        <v>0.059396076942332995</v>
      </c>
      <c r="I24" s="14"/>
      <c r="J24" s="14"/>
      <c r="K24" s="14"/>
      <c r="L24" s="14"/>
    </row>
    <row r="25" spans="1:7" ht="12.75">
      <c r="A25">
        <v>11573</v>
      </c>
      <c r="B25">
        <v>0.076</v>
      </c>
      <c r="C25">
        <v>175</v>
      </c>
      <c r="D25">
        <f t="shared" si="0"/>
        <v>0.6297164287199185</v>
      </c>
      <c r="E25">
        <f t="shared" si="1"/>
        <v>0.525</v>
      </c>
      <c r="F25">
        <f t="shared" si="2"/>
        <v>21</v>
      </c>
      <c r="G25">
        <v>0.06313505018868233</v>
      </c>
    </row>
    <row r="26" spans="1:7" ht="12.75">
      <c r="A26">
        <v>11546</v>
      </c>
      <c r="B26">
        <v>0.063</v>
      </c>
      <c r="C26">
        <v>164</v>
      </c>
      <c r="D26">
        <f t="shared" si="0"/>
        <v>0.5642375722744545</v>
      </c>
      <c r="E26">
        <f t="shared" si="1"/>
        <v>0.55</v>
      </c>
      <c r="F26">
        <f t="shared" si="2"/>
        <v>22</v>
      </c>
      <c r="G26">
        <v>0.06511808386736931</v>
      </c>
    </row>
    <row r="27" spans="1:7" ht="12.75">
      <c r="A27">
        <v>12768</v>
      </c>
      <c r="B27">
        <v>0.066</v>
      </c>
      <c r="C27">
        <v>229</v>
      </c>
      <c r="D27">
        <f t="shared" si="0"/>
        <v>0.34221570917193433</v>
      </c>
      <c r="E27">
        <f t="shared" si="1"/>
        <v>0.575</v>
      </c>
      <c r="F27">
        <f t="shared" si="2"/>
        <v>23</v>
      </c>
      <c r="G27">
        <v>0.06654471975654945</v>
      </c>
    </row>
    <row r="28" spans="1:7" ht="12.75">
      <c r="A28">
        <v>13063</v>
      </c>
      <c r="B28">
        <v>0.117</v>
      </c>
      <c r="C28">
        <v>225</v>
      </c>
      <c r="D28">
        <f t="shared" si="0"/>
        <v>0.609453005011771</v>
      </c>
      <c r="E28">
        <f t="shared" si="1"/>
        <v>0.6</v>
      </c>
      <c r="F28">
        <f t="shared" si="2"/>
        <v>24</v>
      </c>
      <c r="G28">
        <v>0.07141212433983024</v>
      </c>
    </row>
    <row r="29" spans="1:7" ht="12.75">
      <c r="A29">
        <v>12736</v>
      </c>
      <c r="B29">
        <v>0.053</v>
      </c>
      <c r="C29">
        <v>167</v>
      </c>
      <c r="D29">
        <f t="shared" si="0"/>
        <v>0.42155769317739417</v>
      </c>
      <c r="E29">
        <f t="shared" si="1"/>
        <v>0.625</v>
      </c>
      <c r="F29">
        <f t="shared" si="2"/>
        <v>25</v>
      </c>
      <c r="G29">
        <v>0.08967993842909985</v>
      </c>
    </row>
    <row r="30" spans="1:7" ht="12.75">
      <c r="A30">
        <v>12970</v>
      </c>
      <c r="B30">
        <v>0.03</v>
      </c>
      <c r="C30">
        <v>240</v>
      </c>
      <c r="D30">
        <f t="shared" si="0"/>
        <v>0.14199875526518044</v>
      </c>
      <c r="E30">
        <f t="shared" si="1"/>
        <v>0.65</v>
      </c>
      <c r="F30">
        <f t="shared" si="2"/>
        <v>26</v>
      </c>
      <c r="G30">
        <v>0.12919136366507247</v>
      </c>
    </row>
    <row r="31" spans="1:7" ht="12.75">
      <c r="A31">
        <v>12407</v>
      </c>
      <c r="B31">
        <v>0.056</v>
      </c>
      <c r="C31">
        <v>515</v>
      </c>
      <c r="D31">
        <f t="shared" si="0"/>
        <v>0.041998518538368924</v>
      </c>
      <c r="E31">
        <f t="shared" si="1"/>
        <v>0.675</v>
      </c>
      <c r="F31">
        <f t="shared" si="2"/>
        <v>27</v>
      </c>
      <c r="G31">
        <v>0.14199875526518044</v>
      </c>
    </row>
    <row r="32" spans="1:7" ht="12.75">
      <c r="A32">
        <v>12988</v>
      </c>
      <c r="B32">
        <v>0.019</v>
      </c>
      <c r="C32">
        <v>187</v>
      </c>
      <c r="D32">
        <f t="shared" si="0"/>
        <v>0.12919136366507247</v>
      </c>
      <c r="E32">
        <f t="shared" si="1"/>
        <v>0.7</v>
      </c>
      <c r="F32">
        <f t="shared" si="2"/>
        <v>28</v>
      </c>
      <c r="G32">
        <v>0.19945031136002708</v>
      </c>
    </row>
    <row r="33" spans="1:7" ht="12.75">
      <c r="A33">
        <v>11566</v>
      </c>
      <c r="B33">
        <v>0.042</v>
      </c>
      <c r="C33">
        <v>194</v>
      </c>
      <c r="D33">
        <f t="shared" si="0"/>
        <v>0.3056546803208614</v>
      </c>
      <c r="E33">
        <f t="shared" si="1"/>
        <v>0.725</v>
      </c>
      <c r="F33">
        <f t="shared" si="2"/>
        <v>29</v>
      </c>
      <c r="G33">
        <v>0.2013577920386824</v>
      </c>
    </row>
    <row r="34" spans="1:7" ht="12.75">
      <c r="A34">
        <v>11327</v>
      </c>
      <c r="B34">
        <v>0.023</v>
      </c>
      <c r="C34">
        <v>288</v>
      </c>
      <c r="D34">
        <f t="shared" si="0"/>
        <v>0.08967993842909985</v>
      </c>
      <c r="E34">
        <f t="shared" si="1"/>
        <v>0.75</v>
      </c>
      <c r="F34">
        <f t="shared" si="2"/>
        <v>30</v>
      </c>
      <c r="G34">
        <v>0.2511073519398901</v>
      </c>
    </row>
    <row r="35" spans="1:7" ht="12.75">
      <c r="A35">
        <v>12257</v>
      </c>
      <c r="B35">
        <v>0.039</v>
      </c>
      <c r="C35">
        <v>200</v>
      </c>
      <c r="D35">
        <f t="shared" si="0"/>
        <v>0.2570204958903675</v>
      </c>
      <c r="E35">
        <f t="shared" si="1"/>
        <v>0.775</v>
      </c>
      <c r="F35">
        <f t="shared" si="2"/>
        <v>31</v>
      </c>
      <c r="G35">
        <v>0.2570204958903675</v>
      </c>
    </row>
    <row r="36" spans="1:7" ht="12.75">
      <c r="A36">
        <v>12481</v>
      </c>
      <c r="B36">
        <v>0.017</v>
      </c>
      <c r="C36">
        <v>263</v>
      </c>
      <c r="D36">
        <f t="shared" si="0"/>
        <v>0.07141212433983024</v>
      </c>
      <c r="E36">
        <f t="shared" si="1"/>
        <v>0.8</v>
      </c>
      <c r="F36">
        <f t="shared" si="2"/>
        <v>32</v>
      </c>
      <c r="G36">
        <v>0.27128574998619726</v>
      </c>
    </row>
    <row r="37" spans="1:7" ht="12.75">
      <c r="A37">
        <v>12382</v>
      </c>
      <c r="B37">
        <v>0.011</v>
      </c>
      <c r="C37">
        <v>211</v>
      </c>
      <c r="D37">
        <f t="shared" si="0"/>
        <v>0.06654471975654945</v>
      </c>
      <c r="E37">
        <f t="shared" si="1"/>
        <v>0.825</v>
      </c>
      <c r="F37">
        <f t="shared" si="2"/>
        <v>33</v>
      </c>
      <c r="G37">
        <v>0.3056546803208614</v>
      </c>
    </row>
    <row r="38" spans="1:7" ht="12.75">
      <c r="A38">
        <v>12935</v>
      </c>
      <c r="B38">
        <v>0.026</v>
      </c>
      <c r="C38">
        <v>612</v>
      </c>
      <c r="D38">
        <f t="shared" si="0"/>
        <v>0.009613870186904938</v>
      </c>
      <c r="E38">
        <f aca="true" t="shared" si="3" ref="E38:E44">F38/MAX(Stockton_index)</f>
        <v>0.85</v>
      </c>
      <c r="F38">
        <f t="shared" si="2"/>
        <v>34</v>
      </c>
      <c r="G38">
        <v>0.30929362338844635</v>
      </c>
    </row>
    <row r="39" spans="1:7" ht="12.75">
      <c r="A39">
        <v>12429</v>
      </c>
      <c r="B39">
        <v>0.021</v>
      </c>
      <c r="C39">
        <v>549</v>
      </c>
      <c r="D39">
        <f t="shared" si="0"/>
        <v>0.012450573815548607</v>
      </c>
      <c r="E39">
        <f t="shared" si="3"/>
        <v>0.875</v>
      </c>
      <c r="F39">
        <f t="shared" si="2"/>
        <v>35</v>
      </c>
      <c r="G39">
        <v>0.34221570917193433</v>
      </c>
    </row>
    <row r="40" spans="1:7" ht="12.75">
      <c r="A40">
        <v>11790</v>
      </c>
      <c r="B40">
        <v>0.03</v>
      </c>
      <c r="C40">
        <v>405</v>
      </c>
      <c r="D40">
        <f t="shared" si="0"/>
        <v>0.05035891784712103</v>
      </c>
      <c r="E40">
        <f t="shared" si="3"/>
        <v>0.9</v>
      </c>
      <c r="F40">
        <f t="shared" si="2"/>
        <v>36</v>
      </c>
      <c r="G40">
        <v>0.36196488079118216</v>
      </c>
    </row>
    <row r="41" spans="1:7" ht="12.75">
      <c r="A41">
        <v>11997</v>
      </c>
      <c r="B41">
        <v>0.03</v>
      </c>
      <c r="C41">
        <v>365</v>
      </c>
      <c r="D41">
        <f t="shared" si="0"/>
        <v>0.06511808386736931</v>
      </c>
      <c r="E41">
        <f t="shared" si="3"/>
        <v>0.925</v>
      </c>
      <c r="F41">
        <f t="shared" si="2"/>
        <v>37</v>
      </c>
      <c r="G41">
        <v>0.42155769317739417</v>
      </c>
    </row>
    <row r="42" spans="1:7" ht="12.75">
      <c r="A42">
        <v>10568</v>
      </c>
      <c r="B42">
        <v>0.076</v>
      </c>
      <c r="C42">
        <v>698</v>
      </c>
      <c r="D42">
        <f t="shared" si="0"/>
        <v>0.019066297269585558</v>
      </c>
      <c r="E42">
        <f t="shared" si="3"/>
        <v>0.95</v>
      </c>
      <c r="F42">
        <f t="shared" si="2"/>
        <v>38</v>
      </c>
      <c r="G42">
        <v>0.5642375722744545</v>
      </c>
    </row>
    <row r="43" spans="1:7" ht="12.75">
      <c r="A43">
        <v>11339</v>
      </c>
      <c r="B43">
        <v>0.09</v>
      </c>
      <c r="C43">
        <v>625</v>
      </c>
      <c r="D43">
        <f t="shared" si="0"/>
        <v>0.03472356186581437</v>
      </c>
      <c r="E43">
        <f t="shared" si="3"/>
        <v>0.975</v>
      </c>
      <c r="F43">
        <f t="shared" si="2"/>
        <v>39</v>
      </c>
      <c r="G43">
        <v>0.609453005011771</v>
      </c>
    </row>
    <row r="44" spans="1:7" ht="12.75">
      <c r="A44">
        <v>12396</v>
      </c>
      <c r="B44">
        <v>0.036</v>
      </c>
      <c r="C44">
        <v>632</v>
      </c>
      <c r="D44">
        <f t="shared" si="0"/>
        <v>0.01210933330783036</v>
      </c>
      <c r="E44">
        <f t="shared" si="3"/>
        <v>1</v>
      </c>
      <c r="F44">
        <f t="shared" si="2"/>
        <v>40</v>
      </c>
      <c r="G44">
        <v>0.6297164287199185</v>
      </c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C15">
      <selection activeCell="I32" sqref="I32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78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0.4748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11110</v>
      </c>
      <c r="B5">
        <v>0.05</v>
      </c>
      <c r="C5">
        <v>100</v>
      </c>
      <c r="D5">
        <f aca="true" t="shared" si="0" ref="D5:D37">1000000*B5*$B$3*EXP(-$A$3*C5)/A5</f>
        <v>2.1368136813681367</v>
      </c>
      <c r="E5">
        <f aca="true" t="shared" si="1" ref="E5:E37">F5/MAX(AES_index)</f>
        <v>0.023809523809523808</v>
      </c>
      <c r="F5">
        <v>1</v>
      </c>
      <c r="G5">
        <v>0.7324334747396838</v>
      </c>
      <c r="I5">
        <f>VLOOKUP(0.975,AES_freqtab,3)</f>
        <v>2.099027409372237</v>
      </c>
      <c r="J5">
        <f>VLOOKUP(0.975,AES_freqtab,2)</f>
        <v>40</v>
      </c>
      <c r="K5">
        <f>J5/MAX(AES_index)</f>
        <v>0.9523809523809523</v>
      </c>
    </row>
    <row r="6" spans="1:11" ht="13.5" thickBot="1">
      <c r="A6">
        <v>11310</v>
      </c>
      <c r="B6">
        <v>0.05</v>
      </c>
      <c r="C6">
        <v>100</v>
      </c>
      <c r="D6">
        <f t="shared" si="0"/>
        <v>2.099027409372237</v>
      </c>
      <c r="E6">
        <f t="shared" si="1"/>
        <v>0.047619047619047616</v>
      </c>
      <c r="F6">
        <f aca="true" t="shared" si="2" ref="F6:F37">F5+1</f>
        <v>2</v>
      </c>
      <c r="G6">
        <v>0.7351552218007277</v>
      </c>
      <c r="I6">
        <f>VLOOKUP(J6,AES_freqindex,2)</f>
        <v>2.1368136813681367</v>
      </c>
      <c r="J6">
        <f>J5+1</f>
        <v>41</v>
      </c>
      <c r="K6">
        <f>J6/MAX(AES_index)</f>
        <v>0.9761904761904762</v>
      </c>
    </row>
    <row r="7" spans="1:10" ht="15.75" thickBot="1">
      <c r="A7">
        <v>10840</v>
      </c>
      <c r="B7">
        <v>0.05</v>
      </c>
      <c r="C7">
        <v>100</v>
      </c>
      <c r="D7">
        <f t="shared" si="0"/>
        <v>2.190036900369004</v>
      </c>
      <c r="E7">
        <f t="shared" si="1"/>
        <v>0.07142857142857142</v>
      </c>
      <c r="F7">
        <f t="shared" si="2"/>
        <v>3</v>
      </c>
      <c r="G7">
        <v>0.7372098439562146</v>
      </c>
      <c r="I7" s="46" t="s">
        <v>74</v>
      </c>
      <c r="J7" s="47">
        <f>$I$5+((0.975-$K$5)/($K$6-$K$5))*($I$6-$I$5)</f>
        <v>2.134924367768342</v>
      </c>
    </row>
    <row r="8" spans="1:7" ht="12.75">
      <c r="A8">
        <v>12431</v>
      </c>
      <c r="B8">
        <v>0.02</v>
      </c>
      <c r="C8">
        <v>0</v>
      </c>
      <c r="D8">
        <f t="shared" si="0"/>
        <v>0.7638967098383075</v>
      </c>
      <c r="E8">
        <f t="shared" si="1"/>
        <v>0.09523809523809523</v>
      </c>
      <c r="F8">
        <f t="shared" si="2"/>
        <v>4</v>
      </c>
      <c r="G8">
        <v>0.7384711097285948</v>
      </c>
    </row>
    <row r="9" spans="1:10" ht="12.75">
      <c r="A9">
        <v>12133</v>
      </c>
      <c r="B9">
        <v>0.03</v>
      </c>
      <c r="C9">
        <v>0</v>
      </c>
      <c r="D9">
        <f t="shared" si="0"/>
        <v>1.1739882963817687</v>
      </c>
      <c r="E9">
        <f t="shared" si="1"/>
        <v>0.11904761904761904</v>
      </c>
      <c r="F9">
        <f t="shared" si="2"/>
        <v>5</v>
      </c>
      <c r="G9">
        <v>0.7390458401432018</v>
      </c>
      <c r="I9" s="1" t="s">
        <v>73</v>
      </c>
      <c r="J9" s="48" t="str">
        <f>A1&amp;": 97.5th Percentile = "&amp;TEXT($J$7,"0.0000")&amp;" lb Hg/TBtu"</f>
        <v>AES Hawaii A: 97.5th Percentile = 2.1349 lb Hg/TBtu</v>
      </c>
    </row>
    <row r="10" spans="1:7" ht="12.75">
      <c r="A10">
        <v>12859</v>
      </c>
      <c r="B10">
        <v>0.02</v>
      </c>
      <c r="C10">
        <v>0</v>
      </c>
      <c r="D10">
        <f t="shared" si="0"/>
        <v>0.7384711097285948</v>
      </c>
      <c r="E10">
        <f t="shared" si="1"/>
        <v>0.14285714285714285</v>
      </c>
      <c r="F10">
        <f t="shared" si="2"/>
        <v>6</v>
      </c>
      <c r="G10">
        <v>0.7403711211601435</v>
      </c>
    </row>
    <row r="11" spans="1:7" ht="12.75">
      <c r="A11">
        <v>12511</v>
      </c>
      <c r="B11">
        <v>0.03</v>
      </c>
      <c r="C11">
        <v>0</v>
      </c>
      <c r="D11">
        <f t="shared" si="0"/>
        <v>1.1385181040684198</v>
      </c>
      <c r="E11">
        <f t="shared" si="1"/>
        <v>0.16666666666666666</v>
      </c>
      <c r="F11">
        <f t="shared" si="2"/>
        <v>7</v>
      </c>
      <c r="G11">
        <v>0.7443756369052285</v>
      </c>
    </row>
    <row r="12" spans="1:13" ht="12.75">
      <c r="A12">
        <v>12566</v>
      </c>
      <c r="B12">
        <v>0.02</v>
      </c>
      <c r="C12">
        <v>0</v>
      </c>
      <c r="D12">
        <f t="shared" si="0"/>
        <v>0.755689957026898</v>
      </c>
      <c r="E12">
        <f t="shared" si="1"/>
        <v>0.19047619047619047</v>
      </c>
      <c r="F12">
        <f t="shared" si="2"/>
        <v>8</v>
      </c>
      <c r="G12">
        <v>0.747893203118847</v>
      </c>
      <c r="I12" s="14"/>
      <c r="J12" s="14"/>
      <c r="K12" s="14"/>
      <c r="L12" s="14"/>
      <c r="M12" s="14"/>
    </row>
    <row r="13" spans="1:13" ht="12.75">
      <c r="A13">
        <v>12345</v>
      </c>
      <c r="B13">
        <v>0.03</v>
      </c>
      <c r="C13">
        <v>50</v>
      </c>
      <c r="D13">
        <f t="shared" si="0"/>
        <v>1.153827460510328</v>
      </c>
      <c r="E13">
        <f t="shared" si="1"/>
        <v>0.21428571428571427</v>
      </c>
      <c r="F13">
        <f t="shared" si="2"/>
        <v>9</v>
      </c>
      <c r="G13">
        <v>0.7520392809059951</v>
      </c>
      <c r="I13" s="14"/>
      <c r="J13" s="14"/>
      <c r="K13" s="14"/>
      <c r="L13" s="14"/>
      <c r="M13" s="14"/>
    </row>
    <row r="14" spans="1:13" ht="15">
      <c r="A14">
        <v>12425</v>
      </c>
      <c r="B14">
        <v>0.03</v>
      </c>
      <c r="C14">
        <v>50</v>
      </c>
      <c r="D14">
        <f t="shared" si="0"/>
        <v>1.1463983903420523</v>
      </c>
      <c r="E14">
        <f t="shared" si="1"/>
        <v>0.23809523809523808</v>
      </c>
      <c r="F14">
        <f t="shared" si="2"/>
        <v>10</v>
      </c>
      <c r="G14">
        <v>0.755689957026898</v>
      </c>
      <c r="I14" s="49"/>
      <c r="J14" s="50"/>
      <c r="K14" s="14"/>
      <c r="L14" s="14"/>
      <c r="M14" s="14"/>
    </row>
    <row r="15" spans="1:13" ht="12.75">
      <c r="A15">
        <v>12362</v>
      </c>
      <c r="B15">
        <v>0.02</v>
      </c>
      <c r="C15">
        <v>60</v>
      </c>
      <c r="D15">
        <f t="shared" si="0"/>
        <v>0.768160491829801</v>
      </c>
      <c r="E15">
        <f t="shared" si="1"/>
        <v>0.2619047619047619</v>
      </c>
      <c r="F15">
        <f t="shared" si="2"/>
        <v>11</v>
      </c>
      <c r="G15">
        <v>0.7595584706446968</v>
      </c>
      <c r="I15" s="14"/>
      <c r="J15" s="14"/>
      <c r="K15" s="14"/>
      <c r="L15" s="14"/>
      <c r="M15" s="14"/>
    </row>
    <row r="16" spans="1:13" ht="12.75">
      <c r="A16">
        <v>12471</v>
      </c>
      <c r="B16">
        <v>0.02</v>
      </c>
      <c r="C16">
        <v>50</v>
      </c>
      <c r="D16">
        <f t="shared" si="0"/>
        <v>0.761446556009943</v>
      </c>
      <c r="E16">
        <f t="shared" si="1"/>
        <v>0.2857142857142857</v>
      </c>
      <c r="F16">
        <f t="shared" si="2"/>
        <v>12</v>
      </c>
      <c r="G16">
        <v>0.7599231754161332</v>
      </c>
      <c r="I16" s="51"/>
      <c r="J16" s="52"/>
      <c r="K16" s="14"/>
      <c r="L16" s="14"/>
      <c r="M16" s="14"/>
    </row>
    <row r="17" spans="1:13" ht="12.75">
      <c r="A17">
        <v>12263</v>
      </c>
      <c r="B17">
        <v>0.03</v>
      </c>
      <c r="C17">
        <v>50</v>
      </c>
      <c r="D17">
        <f t="shared" si="0"/>
        <v>1.161542852483079</v>
      </c>
      <c r="E17">
        <f t="shared" si="1"/>
        <v>0.30952380952380953</v>
      </c>
      <c r="F17">
        <f t="shared" si="2"/>
        <v>13</v>
      </c>
      <c r="G17">
        <v>0.761446556009943</v>
      </c>
      <c r="I17" s="14"/>
      <c r="J17" s="14"/>
      <c r="K17" s="14"/>
      <c r="L17" s="14"/>
      <c r="M17" s="14"/>
    </row>
    <row r="18" spans="1:13" ht="12.75">
      <c r="A18">
        <v>12527</v>
      </c>
      <c r="B18">
        <v>0.03</v>
      </c>
      <c r="C18">
        <v>50</v>
      </c>
      <c r="D18">
        <f t="shared" si="0"/>
        <v>1.1370639418855273</v>
      </c>
      <c r="E18">
        <f t="shared" si="1"/>
        <v>0.3333333333333333</v>
      </c>
      <c r="F18">
        <f t="shared" si="2"/>
        <v>14</v>
      </c>
      <c r="G18">
        <v>0.7638967098383075</v>
      </c>
      <c r="I18" s="14"/>
      <c r="J18" s="14"/>
      <c r="K18" s="14"/>
      <c r="L18" s="14"/>
      <c r="M18" s="14"/>
    </row>
    <row r="19" spans="1:13" ht="12.75">
      <c r="A19">
        <v>12051</v>
      </c>
      <c r="B19">
        <v>0.03</v>
      </c>
      <c r="C19">
        <v>50</v>
      </c>
      <c r="D19">
        <f t="shared" si="0"/>
        <v>1.1819765994523277</v>
      </c>
      <c r="E19">
        <f t="shared" si="1"/>
        <v>0.35714285714285715</v>
      </c>
      <c r="F19">
        <f t="shared" si="2"/>
        <v>15</v>
      </c>
      <c r="G19">
        <v>0.768160491829801</v>
      </c>
      <c r="I19" s="14"/>
      <c r="J19" s="14"/>
      <c r="K19" s="14"/>
      <c r="L19" s="14"/>
      <c r="M19" s="14"/>
    </row>
    <row r="20" spans="1:13" ht="12.75">
      <c r="A20">
        <v>12965</v>
      </c>
      <c r="B20">
        <v>0.02</v>
      </c>
      <c r="C20">
        <v>50</v>
      </c>
      <c r="D20">
        <f t="shared" si="0"/>
        <v>0.7324334747396838</v>
      </c>
      <c r="E20">
        <f t="shared" si="1"/>
        <v>0.38095238095238093</v>
      </c>
      <c r="F20">
        <f t="shared" si="2"/>
        <v>16</v>
      </c>
      <c r="G20">
        <v>0.7747409643469038</v>
      </c>
      <c r="I20" s="14"/>
      <c r="J20" s="14"/>
      <c r="K20" s="14"/>
      <c r="L20" s="14"/>
      <c r="M20" s="14"/>
    </row>
    <row r="21" spans="1:13" ht="15">
      <c r="A21">
        <v>12825</v>
      </c>
      <c r="B21">
        <v>0.03</v>
      </c>
      <c r="C21">
        <v>50</v>
      </c>
      <c r="D21">
        <f t="shared" si="0"/>
        <v>1.110643274853801</v>
      </c>
      <c r="E21">
        <f t="shared" si="1"/>
        <v>0.40476190476190477</v>
      </c>
      <c r="F21">
        <f t="shared" si="2"/>
        <v>17</v>
      </c>
      <c r="G21">
        <v>1.0826176179980238</v>
      </c>
      <c r="I21" s="49"/>
      <c r="J21" s="50"/>
      <c r="K21" s="14"/>
      <c r="L21" s="14"/>
      <c r="M21" s="14"/>
    </row>
    <row r="22" spans="1:13" ht="12.75">
      <c r="A22">
        <v>13157</v>
      </c>
      <c r="B22">
        <v>0.03</v>
      </c>
      <c r="C22">
        <v>50</v>
      </c>
      <c r="D22">
        <f t="shared" si="0"/>
        <v>1.0826176179980238</v>
      </c>
      <c r="E22">
        <f t="shared" si="1"/>
        <v>0.42857142857142855</v>
      </c>
      <c r="F22">
        <f t="shared" si="2"/>
        <v>18</v>
      </c>
      <c r="G22">
        <v>1.110643274853801</v>
      </c>
      <c r="I22" s="14"/>
      <c r="J22" s="14"/>
      <c r="K22" s="14"/>
      <c r="L22" s="14"/>
      <c r="M22" s="14"/>
    </row>
    <row r="23" spans="1:13" ht="12.75">
      <c r="A23">
        <v>12697</v>
      </c>
      <c r="B23">
        <v>0.02</v>
      </c>
      <c r="C23">
        <v>101</v>
      </c>
      <c r="D23">
        <f t="shared" si="0"/>
        <v>0.747893203118847</v>
      </c>
      <c r="E23">
        <f t="shared" si="1"/>
        <v>0.4523809523809524</v>
      </c>
      <c r="F23">
        <f t="shared" si="2"/>
        <v>19</v>
      </c>
      <c r="G23">
        <v>1.1170888557760175</v>
      </c>
      <c r="I23" s="51"/>
      <c r="J23" s="52"/>
      <c r="K23" s="14"/>
      <c r="L23" s="14"/>
      <c r="M23" s="14"/>
    </row>
    <row r="24" spans="1:13" ht="12.75">
      <c r="A24">
        <v>12751</v>
      </c>
      <c r="B24">
        <v>0.03</v>
      </c>
      <c r="C24">
        <v>68</v>
      </c>
      <c r="D24">
        <f t="shared" si="0"/>
        <v>1.1170888557760175</v>
      </c>
      <c r="E24">
        <f t="shared" si="1"/>
        <v>0.47619047619047616</v>
      </c>
      <c r="F24">
        <f t="shared" si="2"/>
        <v>20</v>
      </c>
      <c r="G24">
        <v>1.120251671254424</v>
      </c>
      <c r="I24" s="14"/>
      <c r="J24" s="14"/>
      <c r="K24" s="14"/>
      <c r="L24" s="14"/>
      <c r="M24" s="14"/>
    </row>
    <row r="25" spans="1:7" ht="12.75">
      <c r="A25">
        <v>12684</v>
      </c>
      <c r="B25">
        <v>0.03</v>
      </c>
      <c r="C25">
        <v>57</v>
      </c>
      <c r="D25">
        <f t="shared" si="0"/>
        <v>1.1229895931882687</v>
      </c>
      <c r="E25">
        <f t="shared" si="1"/>
        <v>0.5</v>
      </c>
      <c r="F25">
        <f t="shared" si="2"/>
        <v>21</v>
      </c>
      <c r="G25">
        <v>1.1229895931882687</v>
      </c>
    </row>
    <row r="26" spans="1:7" ht="12.75">
      <c r="A26">
        <v>12826</v>
      </c>
      <c r="B26">
        <v>0.02</v>
      </c>
      <c r="C26">
        <v>111</v>
      </c>
      <c r="D26">
        <f t="shared" si="0"/>
        <v>0.7403711211601435</v>
      </c>
      <c r="E26">
        <f t="shared" si="1"/>
        <v>0.5238095238095238</v>
      </c>
      <c r="F26">
        <f t="shared" si="2"/>
        <v>22</v>
      </c>
      <c r="G26">
        <v>1.125918899691724</v>
      </c>
    </row>
    <row r="27" spans="1:7" ht="12.75">
      <c r="A27">
        <v>12269</v>
      </c>
      <c r="B27">
        <v>0.03</v>
      </c>
      <c r="C27">
        <v>61</v>
      </c>
      <c r="D27">
        <f t="shared" si="0"/>
        <v>1.1609748145733148</v>
      </c>
      <c r="E27">
        <f t="shared" si="1"/>
        <v>0.5476190476190477</v>
      </c>
      <c r="F27">
        <f t="shared" si="2"/>
        <v>23</v>
      </c>
      <c r="G27">
        <v>1.1280589213589927</v>
      </c>
    </row>
    <row r="28" spans="1:7" ht="12.75">
      <c r="A28">
        <v>12849</v>
      </c>
      <c r="B28">
        <v>0.02</v>
      </c>
      <c r="C28">
        <v>50</v>
      </c>
      <c r="D28">
        <f t="shared" si="0"/>
        <v>0.7390458401432018</v>
      </c>
      <c r="E28">
        <f t="shared" si="1"/>
        <v>0.5714285714285714</v>
      </c>
      <c r="F28">
        <f t="shared" si="2"/>
        <v>24</v>
      </c>
      <c r="G28">
        <v>1.13272365805169</v>
      </c>
    </row>
    <row r="29" spans="1:7" ht="12.75">
      <c r="A29">
        <v>12257</v>
      </c>
      <c r="B29">
        <v>0.02</v>
      </c>
      <c r="C29">
        <v>62</v>
      </c>
      <c r="D29">
        <f t="shared" si="0"/>
        <v>0.7747409643469038</v>
      </c>
      <c r="E29">
        <f t="shared" si="1"/>
        <v>0.5952380952380952</v>
      </c>
      <c r="F29">
        <f t="shared" si="2"/>
        <v>25</v>
      </c>
      <c r="G29">
        <v>1.133534935540347</v>
      </c>
    </row>
    <row r="30" spans="1:7" ht="12.75">
      <c r="A30">
        <v>12715</v>
      </c>
      <c r="B30">
        <v>0.03</v>
      </c>
      <c r="C30">
        <v>50</v>
      </c>
      <c r="D30">
        <f t="shared" si="0"/>
        <v>1.120251671254424</v>
      </c>
      <c r="E30">
        <f t="shared" si="1"/>
        <v>0.6190476190476191</v>
      </c>
      <c r="F30">
        <f t="shared" si="2"/>
        <v>26</v>
      </c>
      <c r="G30">
        <v>1.1357040344442673</v>
      </c>
    </row>
    <row r="31" spans="1:7" ht="12.75">
      <c r="A31">
        <v>12575</v>
      </c>
      <c r="B31">
        <v>0.03</v>
      </c>
      <c r="C31">
        <v>70</v>
      </c>
      <c r="D31">
        <f t="shared" si="0"/>
        <v>1.13272365805169</v>
      </c>
      <c r="E31">
        <f t="shared" si="1"/>
        <v>0.6428571428571429</v>
      </c>
      <c r="F31">
        <f t="shared" si="2"/>
        <v>27</v>
      </c>
      <c r="G31">
        <v>1.1370639418855273</v>
      </c>
    </row>
    <row r="32" spans="1:7" ht="12.75">
      <c r="A32">
        <v>12422</v>
      </c>
      <c r="B32">
        <v>0.03</v>
      </c>
      <c r="C32">
        <v>97</v>
      </c>
      <c r="D32">
        <f t="shared" si="0"/>
        <v>1.146675253582354</v>
      </c>
      <c r="E32">
        <f t="shared" si="1"/>
        <v>0.6666666666666666</v>
      </c>
      <c r="F32">
        <f t="shared" si="2"/>
        <v>28</v>
      </c>
      <c r="G32">
        <v>1.1385181040684198</v>
      </c>
    </row>
    <row r="33" spans="1:7" ht="12.75">
      <c r="A33">
        <v>12292</v>
      </c>
      <c r="B33">
        <v>0.04</v>
      </c>
      <c r="C33">
        <v>159</v>
      </c>
      <c r="D33">
        <f t="shared" si="0"/>
        <v>1.5450699642043606</v>
      </c>
      <c r="E33">
        <f t="shared" si="1"/>
        <v>0.6904761904761905</v>
      </c>
      <c r="F33">
        <f t="shared" si="2"/>
        <v>29</v>
      </c>
      <c r="G33">
        <v>1.1463983903420523</v>
      </c>
    </row>
    <row r="34" spans="1:7" ht="12.75">
      <c r="A34">
        <v>12627</v>
      </c>
      <c r="B34">
        <v>0.03</v>
      </c>
      <c r="C34">
        <v>53</v>
      </c>
      <c r="D34">
        <f t="shared" si="0"/>
        <v>1.1280589213589927</v>
      </c>
      <c r="E34">
        <f t="shared" si="1"/>
        <v>0.7142857142857143</v>
      </c>
      <c r="F34">
        <f t="shared" si="2"/>
        <v>30</v>
      </c>
      <c r="G34">
        <v>1.1464906632324534</v>
      </c>
    </row>
    <row r="35" spans="1:10" ht="15">
      <c r="A35">
        <v>12917</v>
      </c>
      <c r="B35">
        <v>0.02</v>
      </c>
      <c r="C35">
        <v>50</v>
      </c>
      <c r="D35">
        <f t="shared" si="0"/>
        <v>0.7351552218007277</v>
      </c>
      <c r="E35">
        <f t="shared" si="1"/>
        <v>0.7380952380952381</v>
      </c>
      <c r="F35">
        <f t="shared" si="2"/>
        <v>31</v>
      </c>
      <c r="G35">
        <v>1.146675253582354</v>
      </c>
      <c r="I35" s="49"/>
      <c r="J35" s="50"/>
    </row>
    <row r="36" spans="1:7" ht="12.75">
      <c r="A36">
        <v>12330</v>
      </c>
      <c r="B36">
        <v>0.03</v>
      </c>
      <c r="C36">
        <v>58</v>
      </c>
      <c r="D36">
        <f t="shared" si="0"/>
        <v>1.1552311435523115</v>
      </c>
      <c r="E36">
        <f t="shared" si="1"/>
        <v>0.7619047619047619</v>
      </c>
      <c r="F36">
        <f t="shared" si="2"/>
        <v>32</v>
      </c>
      <c r="G36">
        <v>1.1516817593790427</v>
      </c>
    </row>
    <row r="37" spans="1:10" ht="12.75">
      <c r="A37">
        <v>12651</v>
      </c>
      <c r="B37">
        <v>0.03</v>
      </c>
      <c r="C37">
        <v>50</v>
      </c>
      <c r="D37">
        <f t="shared" si="0"/>
        <v>1.125918899691724</v>
      </c>
      <c r="E37">
        <f t="shared" si="1"/>
        <v>0.7857142857142857</v>
      </c>
      <c r="F37">
        <f t="shared" si="2"/>
        <v>33</v>
      </c>
      <c r="G37">
        <v>1.153827460510328</v>
      </c>
      <c r="I37" s="1"/>
      <c r="J37" s="48"/>
    </row>
    <row r="38" spans="1:7" ht="12.75">
      <c r="A38">
        <v>12566</v>
      </c>
      <c r="B38">
        <v>0.03</v>
      </c>
      <c r="C38">
        <v>67</v>
      </c>
      <c r="D38">
        <f>1000000*B38*$B$3*EXP(-$A$3*C38)/A38</f>
        <v>1.133534935540347</v>
      </c>
      <c r="E38">
        <f aca="true" t="shared" si="3" ref="E38:E46">F38/MAX(AES_index)</f>
        <v>0.8095238095238095</v>
      </c>
      <c r="F38">
        <f>F37+1</f>
        <v>34</v>
      </c>
      <c r="G38">
        <v>1.1552311435523115</v>
      </c>
    </row>
    <row r="39" spans="1:7" ht="12.75">
      <c r="A39">
        <v>12881</v>
      </c>
      <c r="B39">
        <v>0.02</v>
      </c>
      <c r="C39">
        <v>52</v>
      </c>
      <c r="D39">
        <f>1000000*B39*$B$3*EXP(-$A$3*C39)/A39</f>
        <v>0.7372098439562146</v>
      </c>
      <c r="E39">
        <f t="shared" si="3"/>
        <v>0.8333333333333334</v>
      </c>
      <c r="F39">
        <f>F38+1</f>
        <v>35</v>
      </c>
      <c r="G39">
        <v>1.1609748145733148</v>
      </c>
    </row>
    <row r="40" spans="1:7" ht="12.75">
      <c r="A40">
        <v>12757</v>
      </c>
      <c r="B40">
        <v>0.02</v>
      </c>
      <c r="C40">
        <v>50</v>
      </c>
      <c r="D40">
        <f>1000000*B40*$B$3*EXP(-$A$3*C40)/A40</f>
        <v>0.7443756369052285</v>
      </c>
      <c r="E40">
        <f t="shared" si="3"/>
        <v>0.8571428571428571</v>
      </c>
      <c r="F40">
        <f>F39+1</f>
        <v>36</v>
      </c>
      <c r="G40">
        <v>1.161542852483079</v>
      </c>
    </row>
    <row r="41" spans="1:7" ht="12.75">
      <c r="A41">
        <v>12496</v>
      </c>
      <c r="B41">
        <v>0.02</v>
      </c>
      <c r="C41">
        <v>103</v>
      </c>
      <c r="D41">
        <f aca="true" t="shared" si="4" ref="D41:D46">1000000*B41*$B$3*EXP(-$A$3*C41)/A41</f>
        <v>0.7599231754161332</v>
      </c>
      <c r="E41">
        <f t="shared" si="3"/>
        <v>0.8809523809523809</v>
      </c>
      <c r="F41">
        <f aca="true" t="shared" si="5" ref="F41:F46">F40+1</f>
        <v>37</v>
      </c>
      <c r="G41">
        <v>1.1739882963817687</v>
      </c>
    </row>
    <row r="42" spans="1:7" ht="12.75">
      <c r="A42">
        <v>12627</v>
      </c>
      <c r="B42">
        <v>0.02</v>
      </c>
      <c r="C42">
        <v>75</v>
      </c>
      <c r="D42">
        <f t="shared" si="4"/>
        <v>0.7520392809059951</v>
      </c>
      <c r="E42">
        <f t="shared" si="3"/>
        <v>0.9047619047619048</v>
      </c>
      <c r="F42">
        <f t="shared" si="5"/>
        <v>38</v>
      </c>
      <c r="G42">
        <v>1.1819765994523277</v>
      </c>
    </row>
    <row r="43" spans="1:7" ht="12.75">
      <c r="A43">
        <v>12542</v>
      </c>
      <c r="B43">
        <v>0.03</v>
      </c>
      <c r="C43">
        <v>81</v>
      </c>
      <c r="D43">
        <f t="shared" si="4"/>
        <v>1.1357040344442673</v>
      </c>
      <c r="E43">
        <f t="shared" si="3"/>
        <v>0.9285714285714286</v>
      </c>
      <c r="F43">
        <f t="shared" si="5"/>
        <v>39</v>
      </c>
      <c r="G43">
        <v>1.5450699642043606</v>
      </c>
    </row>
    <row r="44" spans="1:7" ht="12.75">
      <c r="A44">
        <v>12502</v>
      </c>
      <c r="B44">
        <v>0.02</v>
      </c>
      <c r="C44">
        <v>71</v>
      </c>
      <c r="D44">
        <f t="shared" si="4"/>
        <v>0.7595584706446968</v>
      </c>
      <c r="E44">
        <f t="shared" si="3"/>
        <v>0.9523809523809523</v>
      </c>
      <c r="F44">
        <f t="shared" si="5"/>
        <v>40</v>
      </c>
      <c r="G44">
        <v>2.099027409372237</v>
      </c>
    </row>
    <row r="45" spans="1:7" ht="12.75">
      <c r="A45">
        <v>12368</v>
      </c>
      <c r="B45">
        <v>0.03</v>
      </c>
      <c r="C45">
        <v>57</v>
      </c>
      <c r="D45">
        <f t="shared" si="4"/>
        <v>1.1516817593790427</v>
      </c>
      <c r="E45">
        <f t="shared" si="3"/>
        <v>0.9761904761904762</v>
      </c>
      <c r="F45">
        <f t="shared" si="5"/>
        <v>41</v>
      </c>
      <c r="G45">
        <v>2.1368136813681367</v>
      </c>
    </row>
    <row r="46" spans="1:7" ht="12.75">
      <c r="A46">
        <v>12424</v>
      </c>
      <c r="B46">
        <v>0.03</v>
      </c>
      <c r="C46">
        <v>65</v>
      </c>
      <c r="D46">
        <f t="shared" si="4"/>
        <v>1.1464906632324534</v>
      </c>
      <c r="E46">
        <f t="shared" si="3"/>
        <v>1</v>
      </c>
      <c r="F46">
        <f t="shared" si="5"/>
        <v>42</v>
      </c>
      <c r="G46">
        <v>2.190036900369004</v>
      </c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C5">
      <selection activeCell="L11" sqref="L11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79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0.1743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12464</v>
      </c>
      <c r="B5">
        <v>0.035</v>
      </c>
      <c r="C5">
        <v>50</v>
      </c>
      <c r="D5">
        <f aca="true" t="shared" si="0" ref="D5:D50">1000000*B5*$B$3*EXP(-$A$3*C5)/A5</f>
        <v>0.48944961489088573</v>
      </c>
      <c r="E5">
        <f aca="true" t="shared" si="1" ref="E5:E53">F5/MAX(Clay_index)</f>
        <v>0.02040816326530612</v>
      </c>
      <c r="F5">
        <v>1</v>
      </c>
      <c r="G5">
        <v>0.18049227337900273</v>
      </c>
      <c r="I5">
        <f>VLOOKUP(0.975,Clay_freqtab,3)</f>
        <v>1.7517587939698493</v>
      </c>
      <c r="J5">
        <f>VLOOKUP(0.975,Clay_freqtab,2)</f>
        <v>47</v>
      </c>
      <c r="K5">
        <f>J5/MAX(Clay_index)</f>
        <v>0.9591836734693877</v>
      </c>
    </row>
    <row r="6" spans="1:11" ht="13.5" thickBot="1">
      <c r="A6">
        <v>12371</v>
      </c>
      <c r="B6">
        <v>0.154</v>
      </c>
      <c r="C6">
        <v>50</v>
      </c>
      <c r="D6">
        <f t="shared" si="0"/>
        <v>2.169768005820063</v>
      </c>
      <c r="E6">
        <f t="shared" si="1"/>
        <v>0.04081632653061224</v>
      </c>
      <c r="F6">
        <f aca="true" t="shared" si="2" ref="F6:F50">F5+1</f>
        <v>2</v>
      </c>
      <c r="G6">
        <v>0.19598425829250665</v>
      </c>
      <c r="I6">
        <f>VLOOKUP(J6,Clay_freqindex,2)</f>
        <v>2.060732852590978</v>
      </c>
      <c r="J6">
        <f>J5+1</f>
        <v>48</v>
      </c>
      <c r="K6">
        <f>J6/MAX(Clay_index)</f>
        <v>0.9795918367346939</v>
      </c>
    </row>
    <row r="7" spans="1:10" ht="15.75" thickBot="1">
      <c r="A7">
        <v>12416</v>
      </c>
      <c r="B7">
        <v>0.095</v>
      </c>
      <c r="C7">
        <v>50</v>
      </c>
      <c r="D7">
        <f t="shared" si="0"/>
        <v>1.3336420747422681</v>
      </c>
      <c r="E7">
        <f t="shared" si="1"/>
        <v>0.061224489795918366</v>
      </c>
      <c r="F7">
        <f t="shared" si="2"/>
        <v>3</v>
      </c>
      <c r="G7">
        <v>0.20857598723573992</v>
      </c>
      <c r="I7" s="46" t="s">
        <v>74</v>
      </c>
      <c r="J7" s="47">
        <f>$I$5+((0.975-$K$5)/($K$6-$K$5))*($I$6-$I$5)</f>
        <v>1.9912136894012242</v>
      </c>
    </row>
    <row r="8" spans="1:7" ht="12.75">
      <c r="A8">
        <v>11811</v>
      </c>
      <c r="B8">
        <v>0.07</v>
      </c>
      <c r="C8">
        <v>50</v>
      </c>
      <c r="D8">
        <f t="shared" si="0"/>
        <v>1.033020066040132</v>
      </c>
      <c r="E8">
        <f t="shared" si="1"/>
        <v>0.08163265306122448</v>
      </c>
      <c r="F8">
        <f t="shared" si="2"/>
        <v>4</v>
      </c>
      <c r="G8">
        <v>0.3203276068717539</v>
      </c>
    </row>
    <row r="9" spans="1:10" ht="12.75">
      <c r="A9">
        <v>12005</v>
      </c>
      <c r="B9">
        <v>0.078</v>
      </c>
      <c r="C9">
        <v>50</v>
      </c>
      <c r="D9">
        <f t="shared" si="0"/>
        <v>1.1324781341107872</v>
      </c>
      <c r="E9">
        <f t="shared" si="1"/>
        <v>0.10204081632653061</v>
      </c>
      <c r="F9">
        <f t="shared" si="2"/>
        <v>5</v>
      </c>
      <c r="G9">
        <v>0.4183869419107057</v>
      </c>
      <c r="I9" s="1" t="s">
        <v>73</v>
      </c>
      <c r="J9" s="48" t="str">
        <f>A1&amp;": 97.5th Percentile = "&amp;TEXT($J$7,"0.0000")&amp;" lb Hg/TBtu"</f>
        <v>Clay Boswell 2: 97.5th Percentile = 1.9912 lb Hg/TBtu</v>
      </c>
    </row>
    <row r="10" spans="1:7" ht="12.75">
      <c r="A10">
        <v>12466</v>
      </c>
      <c r="B10">
        <v>0.038</v>
      </c>
      <c r="C10">
        <v>50</v>
      </c>
      <c r="D10">
        <f t="shared" si="0"/>
        <v>0.5313171827370448</v>
      </c>
      <c r="E10">
        <f t="shared" si="1"/>
        <v>0.12244897959183673</v>
      </c>
      <c r="F10">
        <f t="shared" si="2"/>
        <v>6</v>
      </c>
      <c r="G10">
        <v>0.48944961489088573</v>
      </c>
    </row>
    <row r="11" spans="1:7" ht="12.75">
      <c r="A11">
        <v>11820</v>
      </c>
      <c r="B11">
        <v>0.063</v>
      </c>
      <c r="C11">
        <v>50</v>
      </c>
      <c r="D11">
        <f t="shared" si="0"/>
        <v>0.9290101522842641</v>
      </c>
      <c r="E11">
        <f t="shared" si="1"/>
        <v>0.14285714285714285</v>
      </c>
      <c r="F11">
        <f t="shared" si="2"/>
        <v>7</v>
      </c>
      <c r="G11">
        <v>0.5209709992729623</v>
      </c>
    </row>
    <row r="12" spans="1:14" ht="12.75">
      <c r="A12">
        <v>11760</v>
      </c>
      <c r="B12">
        <v>0.073</v>
      </c>
      <c r="C12">
        <v>100</v>
      </c>
      <c r="D12">
        <f t="shared" si="0"/>
        <v>1.081964285714286</v>
      </c>
      <c r="E12">
        <f t="shared" si="1"/>
        <v>0.16326530612244897</v>
      </c>
      <c r="F12">
        <f t="shared" si="2"/>
        <v>8</v>
      </c>
      <c r="G12">
        <v>0.5313171827370448</v>
      </c>
      <c r="I12" s="14"/>
      <c r="J12" s="14"/>
      <c r="K12" s="14"/>
      <c r="L12" s="14"/>
      <c r="M12" s="14"/>
      <c r="N12" s="14"/>
    </row>
    <row r="13" spans="1:14" ht="12.75">
      <c r="A13">
        <v>12539</v>
      </c>
      <c r="B13">
        <v>0.056</v>
      </c>
      <c r="C13">
        <v>100</v>
      </c>
      <c r="D13">
        <f t="shared" si="0"/>
        <v>0.7784352819204085</v>
      </c>
      <c r="E13">
        <f t="shared" si="1"/>
        <v>0.1836734693877551</v>
      </c>
      <c r="F13">
        <f t="shared" si="2"/>
        <v>9</v>
      </c>
      <c r="G13">
        <v>0.5368728215935803</v>
      </c>
      <c r="I13" s="14"/>
      <c r="J13" s="14"/>
      <c r="K13" s="14"/>
      <c r="L13" s="14"/>
      <c r="M13" s="14"/>
      <c r="N13" s="14"/>
    </row>
    <row r="14" spans="1:14" ht="15">
      <c r="A14">
        <v>11643</v>
      </c>
      <c r="B14">
        <v>0.062</v>
      </c>
      <c r="C14">
        <v>100</v>
      </c>
      <c r="D14">
        <f t="shared" si="0"/>
        <v>0.9281628446276733</v>
      </c>
      <c r="E14">
        <f t="shared" si="1"/>
        <v>0.20408163265306123</v>
      </c>
      <c r="F14">
        <f t="shared" si="2"/>
        <v>10</v>
      </c>
      <c r="G14">
        <v>0.5952191235059762</v>
      </c>
      <c r="I14" s="49"/>
      <c r="J14" s="50"/>
      <c r="K14" s="14"/>
      <c r="L14" s="14"/>
      <c r="M14" s="14"/>
      <c r="N14" s="14"/>
    </row>
    <row r="15" spans="1:14" ht="12.75">
      <c r="A15">
        <v>12554</v>
      </c>
      <c r="B15">
        <v>0.013</v>
      </c>
      <c r="C15">
        <v>100</v>
      </c>
      <c r="D15">
        <f t="shared" si="0"/>
        <v>0.18049227337900273</v>
      </c>
      <c r="E15">
        <f t="shared" si="1"/>
        <v>0.22448979591836735</v>
      </c>
      <c r="F15">
        <f t="shared" si="2"/>
        <v>11</v>
      </c>
      <c r="G15">
        <v>0.6019033087054289</v>
      </c>
      <c r="I15" s="14"/>
      <c r="J15" s="14"/>
      <c r="K15" s="14"/>
      <c r="L15" s="14"/>
      <c r="M15" s="14"/>
      <c r="N15" s="14"/>
    </row>
    <row r="16" spans="1:14" ht="12.75">
      <c r="A16">
        <v>11929</v>
      </c>
      <c r="B16">
        <v>0.069</v>
      </c>
      <c r="C16">
        <v>100</v>
      </c>
      <c r="D16">
        <f t="shared" si="0"/>
        <v>1.0081901249056922</v>
      </c>
      <c r="E16">
        <f t="shared" si="1"/>
        <v>0.24489795918367346</v>
      </c>
      <c r="F16">
        <f t="shared" si="2"/>
        <v>12</v>
      </c>
      <c r="G16">
        <v>0.6680339231835604</v>
      </c>
      <c r="I16" s="51"/>
      <c r="J16" s="52"/>
      <c r="K16" s="14"/>
      <c r="L16" s="14"/>
      <c r="M16" s="14"/>
      <c r="N16" s="14"/>
    </row>
    <row r="17" spans="1:14" ht="12.75">
      <c r="A17">
        <v>12479</v>
      </c>
      <c r="B17">
        <v>0.094</v>
      </c>
      <c r="C17">
        <v>100</v>
      </c>
      <c r="D17">
        <f t="shared" si="0"/>
        <v>1.312941742126773</v>
      </c>
      <c r="E17">
        <f t="shared" si="1"/>
        <v>0.2653061224489796</v>
      </c>
      <c r="F17">
        <f t="shared" si="2"/>
        <v>13</v>
      </c>
      <c r="G17">
        <v>0.6767836919592298</v>
      </c>
      <c r="I17" s="14"/>
      <c r="J17" s="14"/>
      <c r="K17" s="14"/>
      <c r="L17" s="14"/>
      <c r="M17" s="14"/>
      <c r="N17" s="14"/>
    </row>
    <row r="18" spans="1:14" ht="12.75">
      <c r="A18">
        <v>11939</v>
      </c>
      <c r="B18">
        <v>0.071</v>
      </c>
      <c r="C18">
        <v>100</v>
      </c>
      <c r="D18">
        <f t="shared" si="0"/>
        <v>1.0365440991707848</v>
      </c>
      <c r="E18">
        <f t="shared" si="1"/>
        <v>0.2857142857142857</v>
      </c>
      <c r="F18">
        <f t="shared" si="2"/>
        <v>14</v>
      </c>
      <c r="G18">
        <v>0.7494037478705282</v>
      </c>
      <c r="I18" s="14"/>
      <c r="J18" s="14"/>
      <c r="K18" s="14"/>
      <c r="L18" s="14"/>
      <c r="M18" s="14"/>
      <c r="N18" s="14"/>
    </row>
    <row r="19" spans="1:14" ht="12.75">
      <c r="A19">
        <v>12342</v>
      </c>
      <c r="B19">
        <v>0.086</v>
      </c>
      <c r="C19">
        <v>100</v>
      </c>
      <c r="D19">
        <f t="shared" si="0"/>
        <v>1.2145357316480312</v>
      </c>
      <c r="E19">
        <f t="shared" si="1"/>
        <v>0.30612244897959184</v>
      </c>
      <c r="F19">
        <f t="shared" si="2"/>
        <v>15</v>
      </c>
      <c r="G19">
        <v>0.7784352819204085</v>
      </c>
      <c r="I19" s="14"/>
      <c r="J19" s="14"/>
      <c r="K19" s="14"/>
      <c r="L19" s="14"/>
      <c r="M19" s="14"/>
      <c r="N19" s="14"/>
    </row>
    <row r="20" spans="1:14" ht="12.75">
      <c r="A20">
        <v>11932</v>
      </c>
      <c r="B20">
        <v>0.101</v>
      </c>
      <c r="C20">
        <v>100</v>
      </c>
      <c r="D20">
        <f t="shared" si="0"/>
        <v>1.4753855179349646</v>
      </c>
      <c r="E20">
        <f t="shared" si="1"/>
        <v>0.32653061224489793</v>
      </c>
      <c r="F20">
        <f t="shared" si="2"/>
        <v>16</v>
      </c>
      <c r="G20">
        <v>0.8267969126869272</v>
      </c>
      <c r="I20" s="14"/>
      <c r="J20" s="14"/>
      <c r="K20" s="14"/>
      <c r="L20" s="14"/>
      <c r="M20" s="14"/>
      <c r="N20" s="14"/>
    </row>
    <row r="21" spans="1:14" ht="15">
      <c r="A21">
        <v>12515</v>
      </c>
      <c r="B21">
        <v>0.068</v>
      </c>
      <c r="C21">
        <v>100</v>
      </c>
      <c r="D21">
        <f t="shared" si="0"/>
        <v>0.9470555333599682</v>
      </c>
      <c r="E21">
        <f t="shared" si="1"/>
        <v>0.3469387755102041</v>
      </c>
      <c r="F21">
        <f t="shared" si="2"/>
        <v>17</v>
      </c>
      <c r="G21">
        <v>0.8808052816040427</v>
      </c>
      <c r="I21" s="49"/>
      <c r="J21" s="50"/>
      <c r="K21" s="14"/>
      <c r="L21" s="14"/>
      <c r="M21" s="14"/>
      <c r="N21" s="14"/>
    </row>
    <row r="22" spans="1:14" ht="12.75">
      <c r="A22">
        <v>12504</v>
      </c>
      <c r="B22">
        <v>0.074</v>
      </c>
      <c r="C22">
        <v>100</v>
      </c>
      <c r="D22">
        <f t="shared" si="0"/>
        <v>1.0315259117082534</v>
      </c>
      <c r="E22">
        <f t="shared" si="1"/>
        <v>0.3673469387755102</v>
      </c>
      <c r="F22">
        <f t="shared" si="2"/>
        <v>18</v>
      </c>
      <c r="G22">
        <v>0.9281628446276733</v>
      </c>
      <c r="I22" s="14"/>
      <c r="J22" s="14"/>
      <c r="K22" s="14"/>
      <c r="L22" s="14"/>
      <c r="M22" s="14"/>
      <c r="N22" s="14"/>
    </row>
    <row r="23" spans="1:14" ht="12.75">
      <c r="A23">
        <v>11838</v>
      </c>
      <c r="B23">
        <v>0.072</v>
      </c>
      <c r="C23">
        <v>100</v>
      </c>
      <c r="D23">
        <f t="shared" si="0"/>
        <v>1.0601115053218448</v>
      </c>
      <c r="E23">
        <f t="shared" si="1"/>
        <v>0.3877551020408163</v>
      </c>
      <c r="F23">
        <f t="shared" si="2"/>
        <v>19</v>
      </c>
      <c r="G23">
        <v>0.9290101522842641</v>
      </c>
      <c r="I23" s="51"/>
      <c r="J23" s="52"/>
      <c r="K23" s="14"/>
      <c r="L23" s="14"/>
      <c r="M23" s="14"/>
      <c r="N23" s="14"/>
    </row>
    <row r="24" spans="1:14" ht="12.75">
      <c r="A24">
        <v>11879</v>
      </c>
      <c r="B24">
        <v>0.085</v>
      </c>
      <c r="C24">
        <v>50</v>
      </c>
      <c r="D24">
        <f t="shared" si="0"/>
        <v>1.2472009428403064</v>
      </c>
      <c r="E24">
        <f t="shared" si="1"/>
        <v>0.40816326530612246</v>
      </c>
      <c r="F24">
        <f t="shared" si="2"/>
        <v>20</v>
      </c>
      <c r="G24">
        <v>0.9470555333599682</v>
      </c>
      <c r="I24" s="14"/>
      <c r="J24" s="14"/>
      <c r="K24" s="14"/>
      <c r="L24" s="14"/>
      <c r="M24" s="14"/>
      <c r="N24" s="14"/>
    </row>
    <row r="25" spans="1:7" ht="12.75">
      <c r="A25">
        <v>12263</v>
      </c>
      <c r="B25">
        <v>0.047</v>
      </c>
      <c r="C25">
        <v>50</v>
      </c>
      <c r="D25">
        <f t="shared" si="0"/>
        <v>0.6680339231835604</v>
      </c>
      <c r="E25">
        <f t="shared" si="1"/>
        <v>0.42857142857142855</v>
      </c>
      <c r="F25">
        <f t="shared" si="2"/>
        <v>21</v>
      </c>
      <c r="G25">
        <v>0.962656130512363</v>
      </c>
    </row>
    <row r="26" spans="1:7" ht="12.75">
      <c r="A26">
        <v>11864</v>
      </c>
      <c r="B26">
        <v>0.076</v>
      </c>
      <c r="C26">
        <v>50</v>
      </c>
      <c r="D26">
        <f t="shared" si="0"/>
        <v>1.1165542818610925</v>
      </c>
      <c r="E26">
        <f t="shared" si="1"/>
        <v>0.4489795918367347</v>
      </c>
      <c r="F26">
        <f t="shared" si="2"/>
        <v>22</v>
      </c>
      <c r="G26">
        <v>1.0081901249056922</v>
      </c>
    </row>
    <row r="27" spans="1:7" ht="12.75">
      <c r="A27">
        <v>12270</v>
      </c>
      <c r="B27">
        <v>0.088</v>
      </c>
      <c r="C27">
        <v>50</v>
      </c>
      <c r="D27">
        <f t="shared" si="0"/>
        <v>1.250073349633252</v>
      </c>
      <c r="E27">
        <f t="shared" si="1"/>
        <v>0.46938775510204084</v>
      </c>
      <c r="F27">
        <f t="shared" si="2"/>
        <v>23</v>
      </c>
      <c r="G27">
        <v>1.0315259117082534</v>
      </c>
    </row>
    <row r="28" spans="1:7" ht="12.75">
      <c r="A28">
        <v>11769</v>
      </c>
      <c r="B28">
        <v>0.065</v>
      </c>
      <c r="C28">
        <v>50</v>
      </c>
      <c r="D28">
        <f t="shared" si="0"/>
        <v>0.962656130512363</v>
      </c>
      <c r="E28">
        <f t="shared" si="1"/>
        <v>0.4897959183673469</v>
      </c>
      <c r="F28">
        <f t="shared" si="2"/>
        <v>24</v>
      </c>
      <c r="G28">
        <v>1.033020066040132</v>
      </c>
    </row>
    <row r="29" spans="1:7" ht="12.75">
      <c r="A29">
        <v>12438</v>
      </c>
      <c r="B29">
        <v>0.059</v>
      </c>
      <c r="C29">
        <v>50</v>
      </c>
      <c r="D29">
        <f t="shared" si="0"/>
        <v>0.8267969126869272</v>
      </c>
      <c r="E29">
        <f t="shared" si="1"/>
        <v>0.5102040816326531</v>
      </c>
      <c r="F29">
        <f t="shared" si="2"/>
        <v>25</v>
      </c>
      <c r="G29">
        <v>1.034379318754573</v>
      </c>
    </row>
    <row r="30" spans="1:7" ht="12.75">
      <c r="A30">
        <v>12451</v>
      </c>
      <c r="B30">
        <v>0.014</v>
      </c>
      <c r="C30">
        <v>50</v>
      </c>
      <c r="D30">
        <f t="shared" si="0"/>
        <v>0.19598425829250665</v>
      </c>
      <c r="E30">
        <f t="shared" si="1"/>
        <v>0.5306122448979592</v>
      </c>
      <c r="F30">
        <f t="shared" si="2"/>
        <v>26</v>
      </c>
      <c r="G30">
        <v>1.0365440991707848</v>
      </c>
    </row>
    <row r="31" spans="1:7" ht="12.75">
      <c r="A31">
        <v>11936</v>
      </c>
      <c r="B31">
        <v>0.085</v>
      </c>
      <c r="C31">
        <v>50</v>
      </c>
      <c r="D31">
        <f t="shared" si="0"/>
        <v>1.2412449731903485</v>
      </c>
      <c r="E31">
        <f t="shared" si="1"/>
        <v>0.5510204081632653</v>
      </c>
      <c r="F31">
        <f t="shared" si="2"/>
        <v>27</v>
      </c>
      <c r="G31">
        <v>1.0601115053218448</v>
      </c>
    </row>
    <row r="32" spans="1:7" ht="12.75">
      <c r="A32">
        <v>12337</v>
      </c>
      <c r="B32">
        <v>0.038</v>
      </c>
      <c r="C32">
        <v>50</v>
      </c>
      <c r="D32">
        <f t="shared" si="0"/>
        <v>0.5368728215935803</v>
      </c>
      <c r="E32">
        <f t="shared" si="1"/>
        <v>0.5714285714285714</v>
      </c>
      <c r="F32">
        <f t="shared" si="2"/>
        <v>28</v>
      </c>
      <c r="G32">
        <v>1.081964285714286</v>
      </c>
    </row>
    <row r="33" spans="1:7" ht="12.75">
      <c r="A33">
        <v>12301</v>
      </c>
      <c r="B33">
        <v>0.073</v>
      </c>
      <c r="C33">
        <v>50</v>
      </c>
      <c r="D33">
        <f t="shared" si="0"/>
        <v>1.034379318754573</v>
      </c>
      <c r="E33">
        <f t="shared" si="1"/>
        <v>0.5918367346938775</v>
      </c>
      <c r="F33">
        <f t="shared" si="2"/>
        <v>29</v>
      </c>
      <c r="G33">
        <v>1.0998233215547704</v>
      </c>
    </row>
    <row r="34" spans="1:7" ht="12.75">
      <c r="A34">
        <v>12362</v>
      </c>
      <c r="B34">
        <v>0.048</v>
      </c>
      <c r="C34">
        <v>50</v>
      </c>
      <c r="D34">
        <f t="shared" si="0"/>
        <v>0.6767836919592298</v>
      </c>
      <c r="E34">
        <f t="shared" si="1"/>
        <v>0.6122448979591837</v>
      </c>
      <c r="F34">
        <f t="shared" si="2"/>
        <v>30</v>
      </c>
      <c r="G34">
        <v>1.1165542818610925</v>
      </c>
    </row>
    <row r="35" spans="1:7" ht="12.75">
      <c r="A35">
        <v>11940</v>
      </c>
      <c r="B35">
        <v>0.12</v>
      </c>
      <c r="C35">
        <v>50</v>
      </c>
      <c r="D35">
        <f t="shared" si="0"/>
        <v>1.7517587939698493</v>
      </c>
      <c r="E35">
        <f t="shared" si="1"/>
        <v>0.6326530612244898</v>
      </c>
      <c r="F35">
        <f t="shared" si="2"/>
        <v>31</v>
      </c>
      <c r="G35">
        <v>1.1324781341107872</v>
      </c>
    </row>
    <row r="36" spans="1:7" ht="12.75">
      <c r="A36">
        <v>12299</v>
      </c>
      <c r="B36">
        <v>0.042</v>
      </c>
      <c r="C36">
        <v>50</v>
      </c>
      <c r="D36">
        <f t="shared" si="0"/>
        <v>0.5952191235059762</v>
      </c>
      <c r="E36">
        <f t="shared" si="1"/>
        <v>0.6530612244897959</v>
      </c>
      <c r="F36">
        <f t="shared" si="2"/>
        <v>32</v>
      </c>
      <c r="G36">
        <v>1.1462392108508015</v>
      </c>
    </row>
    <row r="37" spans="1:7" ht="12.75">
      <c r="A37">
        <v>12515</v>
      </c>
      <c r="B37">
        <v>0.023</v>
      </c>
      <c r="C37">
        <v>50</v>
      </c>
      <c r="D37">
        <f t="shared" si="0"/>
        <v>0.3203276068717539</v>
      </c>
      <c r="E37">
        <f t="shared" si="1"/>
        <v>0.673469387755102</v>
      </c>
      <c r="F37">
        <f t="shared" si="2"/>
        <v>33</v>
      </c>
      <c r="G37">
        <v>1.1470786516853932</v>
      </c>
    </row>
    <row r="38" spans="1:7" ht="12.75">
      <c r="A38">
        <v>12165</v>
      </c>
      <c r="B38">
        <v>0.08</v>
      </c>
      <c r="C38">
        <v>50</v>
      </c>
      <c r="D38">
        <f t="shared" si="0"/>
        <v>1.1462392108508015</v>
      </c>
      <c r="E38">
        <f t="shared" si="1"/>
        <v>0.6938775510204082</v>
      </c>
      <c r="F38">
        <f t="shared" si="2"/>
        <v>34</v>
      </c>
      <c r="G38">
        <v>1.2145357316480312</v>
      </c>
    </row>
    <row r="39" spans="1:7" ht="12.75">
      <c r="A39">
        <v>11926</v>
      </c>
      <c r="B39">
        <v>0.089</v>
      </c>
      <c r="C39">
        <v>50</v>
      </c>
      <c r="D39">
        <f t="shared" si="0"/>
        <v>1.3007462686567164</v>
      </c>
      <c r="E39">
        <f t="shared" si="1"/>
        <v>0.7142857142857143</v>
      </c>
      <c r="F39">
        <f t="shared" si="2"/>
        <v>35</v>
      </c>
      <c r="G39">
        <v>1.2412449731903485</v>
      </c>
    </row>
    <row r="40" spans="1:7" ht="12.75">
      <c r="A40">
        <v>11924</v>
      </c>
      <c r="B40">
        <v>0.089</v>
      </c>
      <c r="C40">
        <v>50</v>
      </c>
      <c r="D40">
        <f t="shared" si="0"/>
        <v>1.3009644414625965</v>
      </c>
      <c r="E40">
        <f t="shared" si="1"/>
        <v>0.7346938775510204</v>
      </c>
      <c r="F40">
        <f t="shared" si="2"/>
        <v>36</v>
      </c>
      <c r="G40">
        <v>1.2472009428403064</v>
      </c>
    </row>
    <row r="41" spans="1:7" ht="12.75">
      <c r="A41">
        <v>12327</v>
      </c>
      <c r="B41">
        <v>0.053</v>
      </c>
      <c r="C41">
        <v>50</v>
      </c>
      <c r="D41">
        <f t="shared" si="0"/>
        <v>0.7494037478705282</v>
      </c>
      <c r="E41">
        <f t="shared" si="1"/>
        <v>0.7551020408163265</v>
      </c>
      <c r="F41">
        <f t="shared" si="2"/>
        <v>37</v>
      </c>
      <c r="G41">
        <v>1.250073349633252</v>
      </c>
    </row>
    <row r="42" spans="1:7" ht="12.75">
      <c r="A42">
        <v>11768</v>
      </c>
      <c r="B42">
        <v>0.109</v>
      </c>
      <c r="C42">
        <v>50</v>
      </c>
      <c r="D42">
        <f t="shared" si="0"/>
        <v>1.6144374575118967</v>
      </c>
      <c r="E42">
        <f t="shared" si="1"/>
        <v>0.7755102040816326</v>
      </c>
      <c r="F42">
        <f t="shared" si="2"/>
        <v>38</v>
      </c>
      <c r="G42">
        <v>1.2876522162688748</v>
      </c>
    </row>
    <row r="43" spans="1:7" ht="12.75">
      <c r="A43">
        <v>12379</v>
      </c>
      <c r="B43">
        <v>0.037</v>
      </c>
      <c r="C43">
        <v>50</v>
      </c>
      <c r="D43">
        <f t="shared" si="0"/>
        <v>0.5209709992729623</v>
      </c>
      <c r="E43">
        <f t="shared" si="1"/>
        <v>0.7959183673469388</v>
      </c>
      <c r="F43">
        <f t="shared" si="2"/>
        <v>39</v>
      </c>
      <c r="G43">
        <v>1.3007462686567164</v>
      </c>
    </row>
    <row r="44" spans="1:7" ht="12.75">
      <c r="A44">
        <v>12460</v>
      </c>
      <c r="B44">
        <v>0.082</v>
      </c>
      <c r="C44">
        <v>50</v>
      </c>
      <c r="D44">
        <f t="shared" si="0"/>
        <v>1.1470786516853932</v>
      </c>
      <c r="E44">
        <f t="shared" si="1"/>
        <v>0.8163265306122449</v>
      </c>
      <c r="F44">
        <f t="shared" si="2"/>
        <v>40</v>
      </c>
      <c r="G44">
        <v>1.3009644414625965</v>
      </c>
    </row>
    <row r="45" spans="1:7" ht="12.75">
      <c r="A45">
        <v>12436</v>
      </c>
      <c r="B45">
        <v>0.108</v>
      </c>
      <c r="C45">
        <v>50</v>
      </c>
      <c r="D45">
        <f t="shared" si="0"/>
        <v>1.513702155033773</v>
      </c>
      <c r="E45">
        <f t="shared" si="1"/>
        <v>0.8367346938775511</v>
      </c>
      <c r="F45">
        <f t="shared" si="2"/>
        <v>41</v>
      </c>
      <c r="G45">
        <v>1.312941742126773</v>
      </c>
    </row>
    <row r="46" spans="1:7" ht="12.75">
      <c r="A46">
        <v>11886</v>
      </c>
      <c r="B46">
        <v>0.075</v>
      </c>
      <c r="C46">
        <v>50</v>
      </c>
      <c r="D46">
        <f t="shared" si="0"/>
        <v>1.0998233215547704</v>
      </c>
      <c r="E46">
        <f t="shared" si="1"/>
        <v>0.8571428571428571</v>
      </c>
      <c r="F46">
        <f t="shared" si="2"/>
        <v>42</v>
      </c>
      <c r="G46">
        <v>1.319391206313416</v>
      </c>
    </row>
    <row r="47" spans="1:7" ht="12.75">
      <c r="A47">
        <v>12418</v>
      </c>
      <c r="B47">
        <v>0.094</v>
      </c>
      <c r="C47">
        <v>50</v>
      </c>
      <c r="D47">
        <f t="shared" si="0"/>
        <v>1.319391206313416</v>
      </c>
      <c r="E47">
        <f t="shared" si="1"/>
        <v>0.8775510204081632</v>
      </c>
      <c r="F47">
        <f t="shared" si="2"/>
        <v>43</v>
      </c>
      <c r="G47">
        <v>1.3336420747422681</v>
      </c>
    </row>
    <row r="48" spans="1:7" ht="12.75">
      <c r="A48">
        <v>12535</v>
      </c>
      <c r="B48">
        <v>0.015</v>
      </c>
      <c r="C48">
        <v>50</v>
      </c>
      <c r="D48">
        <f t="shared" si="0"/>
        <v>0.20857598723573992</v>
      </c>
      <c r="E48">
        <f t="shared" si="1"/>
        <v>0.8979591836734694</v>
      </c>
      <c r="F48">
        <f t="shared" si="2"/>
        <v>44</v>
      </c>
      <c r="G48">
        <v>1.4753855179349646</v>
      </c>
    </row>
    <row r="49" spans="1:7" ht="12.75">
      <c r="A49">
        <v>11926</v>
      </c>
      <c r="B49">
        <v>0.141</v>
      </c>
      <c r="C49">
        <v>50</v>
      </c>
      <c r="D49">
        <f t="shared" si="0"/>
        <v>2.060732852590978</v>
      </c>
      <c r="E49">
        <f t="shared" si="1"/>
        <v>0.9183673469387755</v>
      </c>
      <c r="F49">
        <f t="shared" si="2"/>
        <v>45</v>
      </c>
      <c r="G49">
        <v>1.513702155033773</v>
      </c>
    </row>
    <row r="50" spans="1:7" ht="12.75">
      <c r="A50">
        <v>12318</v>
      </c>
      <c r="B50">
        <v>0.091</v>
      </c>
      <c r="C50">
        <v>50</v>
      </c>
      <c r="D50">
        <f t="shared" si="0"/>
        <v>1.2876522162688748</v>
      </c>
      <c r="E50">
        <f t="shared" si="1"/>
        <v>0.9387755102040817</v>
      </c>
      <c r="F50">
        <f t="shared" si="2"/>
        <v>46</v>
      </c>
      <c r="G50">
        <v>1.6144374575118967</v>
      </c>
    </row>
    <row r="51" spans="1:7" ht="12.75">
      <c r="A51">
        <v>12269</v>
      </c>
      <c r="B51">
        <v>0.062</v>
      </c>
      <c r="C51">
        <v>50</v>
      </c>
      <c r="D51">
        <f>1000000*B51*$B$3*EXP(-$A$3*C51)/A51</f>
        <v>0.8808052816040427</v>
      </c>
      <c r="E51">
        <f t="shared" si="1"/>
        <v>0.9591836734693877</v>
      </c>
      <c r="F51">
        <f>F50+1</f>
        <v>47</v>
      </c>
      <c r="G51">
        <v>1.7517587939698493</v>
      </c>
    </row>
    <row r="52" spans="1:7" ht="12.75">
      <c r="A52">
        <v>12452</v>
      </c>
      <c r="B52">
        <v>0.043</v>
      </c>
      <c r="C52">
        <v>50</v>
      </c>
      <c r="D52">
        <f>1000000*B52*$B$3*EXP(-$A$3*C52)/A52</f>
        <v>0.6019033087054289</v>
      </c>
      <c r="E52">
        <f t="shared" si="1"/>
        <v>0.9795918367346939</v>
      </c>
      <c r="F52">
        <f>F51+1</f>
        <v>48</v>
      </c>
      <c r="G52">
        <v>2.060732852590978</v>
      </c>
    </row>
    <row r="53" spans="1:7" ht="12.75">
      <c r="A53">
        <v>12498</v>
      </c>
      <c r="B53">
        <v>0.03</v>
      </c>
      <c r="C53">
        <v>50</v>
      </c>
      <c r="D53">
        <f>1000000*B53*$B$3*EXP(-$A$3*C53)/A53</f>
        <v>0.4183869419107057</v>
      </c>
      <c r="E53">
        <f t="shared" si="1"/>
        <v>1</v>
      </c>
      <c r="F53">
        <f>F52+1</f>
        <v>49</v>
      </c>
      <c r="G53">
        <v>2.169768005820063</v>
      </c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7"/>
  <sheetViews>
    <sheetView workbookViewId="0" topLeftCell="A1">
      <selection activeCell="B1" sqref="B1"/>
    </sheetView>
  </sheetViews>
  <sheetFormatPr defaultColWidth="9.140625" defaultRowHeight="12.75"/>
  <cols>
    <col min="1" max="1" width="23.421875" style="0" customWidth="1"/>
    <col min="2" max="2" width="16.140625" style="0" customWidth="1"/>
  </cols>
  <sheetData>
    <row r="3" spans="1:3" ht="26.25">
      <c r="A3" s="23" t="s">
        <v>33</v>
      </c>
      <c r="B3" s="24" t="s">
        <v>61</v>
      </c>
      <c r="C3" s="31"/>
    </row>
    <row r="4" spans="1:3" ht="12.75">
      <c r="A4" s="21" t="s">
        <v>34</v>
      </c>
      <c r="B4" s="26">
        <f>+Bit!J10</f>
        <v>1.9679002097527012</v>
      </c>
      <c r="C4" s="30"/>
    </row>
    <row r="5" spans="1:3" ht="12.75">
      <c r="A5" s="39" t="s">
        <v>35</v>
      </c>
      <c r="B5" s="40">
        <f>+Sub!J10</f>
        <v>5.770659315371006</v>
      </c>
      <c r="C5" s="30"/>
    </row>
    <row r="6" spans="1:3" ht="12.75">
      <c r="A6" s="22" t="s">
        <v>36</v>
      </c>
      <c r="B6" s="25">
        <f>+Lig!J11</f>
        <v>9.243163056923692</v>
      </c>
      <c r="C6" s="30"/>
    </row>
    <row r="7" spans="1:3" ht="12.75">
      <c r="A7" s="41"/>
      <c r="B7" s="42"/>
      <c r="C7" s="30"/>
    </row>
    <row r="8" spans="1:3" ht="12.75">
      <c r="A8" s="41"/>
      <c r="B8" s="42"/>
      <c r="C8" s="30"/>
    </row>
    <row r="9" spans="1:3" ht="12.75">
      <c r="A9" s="41"/>
      <c r="B9" s="42"/>
      <c r="C9" s="29"/>
    </row>
    <row r="10" spans="1:3" ht="12.75">
      <c r="A10" s="41"/>
      <c r="B10" s="42"/>
      <c r="C10" s="29"/>
    </row>
    <row r="11" spans="1:3" ht="12.75">
      <c r="A11" s="41"/>
      <c r="B11" s="42"/>
      <c r="C11" s="29"/>
    </row>
    <row r="12" spans="1:3" ht="12.75">
      <c r="A12" s="41"/>
      <c r="B12" s="43"/>
      <c r="C12" s="29"/>
    </row>
    <row r="13" spans="1:3" ht="12.75">
      <c r="A13" s="41"/>
      <c r="B13" s="42"/>
      <c r="C13" s="29"/>
    </row>
    <row r="14" spans="1:3" ht="12.75">
      <c r="A14" s="41"/>
      <c r="B14" s="42"/>
      <c r="C14" s="29"/>
    </row>
    <row r="15" ht="12.75">
      <c r="C15" s="28"/>
    </row>
    <row r="16" spans="1:3" ht="12.75">
      <c r="A16" s="41"/>
      <c r="C16" s="28"/>
    </row>
    <row r="17" spans="1:3" ht="12.75">
      <c r="A17" s="41"/>
      <c r="C17" s="28"/>
    </row>
    <row r="18" spans="1:3" ht="12.75">
      <c r="A18" s="41"/>
      <c r="C18" s="28"/>
    </row>
    <row r="19" spans="1:3" ht="12.75">
      <c r="A19" s="41"/>
      <c r="C19" s="28"/>
    </row>
    <row r="20" spans="1:2" ht="12.75">
      <c r="A20" s="32"/>
      <c r="B20" s="27"/>
    </row>
    <row r="21" ht="12.75">
      <c r="A21" s="6"/>
    </row>
    <row r="27" ht="12.75">
      <c r="A27" s="6"/>
    </row>
  </sheetData>
  <printOptions/>
  <pageMargins left="0.75" right="0.75" top="1" bottom="1" header="0.5" footer="0.5"/>
  <pageSetup horizontalDpi="200" verticalDpi="2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2" sqref="M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workbookViewId="0" topLeftCell="D5">
      <selection activeCell="J26" sqref="J26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80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0.6639999999999999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12165</v>
      </c>
      <c r="B5">
        <v>0.03</v>
      </c>
      <c r="C5">
        <v>50</v>
      </c>
      <c r="D5">
        <f aca="true" t="shared" si="0" ref="D5:D50">1000000*B5*$B$3*EXP(-$A$3*C5)/A5</f>
        <v>1.637484586929716</v>
      </c>
      <c r="E5">
        <f aca="true" t="shared" si="1" ref="E5:E68">F5/MAX(Craig3_index)</f>
        <v>0.012195121951219513</v>
      </c>
      <c r="F5">
        <v>1</v>
      </c>
      <c r="G5">
        <v>1.0353161300382006</v>
      </c>
      <c r="I5">
        <f>VLOOKUP(0.975,Craig3_freqtab,3)</f>
        <v>2.6035131744040143</v>
      </c>
      <c r="J5">
        <f>VLOOKUP(0.975,Craig3_freqtab,2)</f>
        <v>79</v>
      </c>
      <c r="K5">
        <f>J5/MAX(Craig3_index)</f>
        <v>0.9634146341463414</v>
      </c>
    </row>
    <row r="6" spans="1:11" ht="13.5" thickBot="1">
      <c r="A6">
        <v>12659</v>
      </c>
      <c r="B6">
        <v>0.03</v>
      </c>
      <c r="C6">
        <v>50</v>
      </c>
      <c r="D6">
        <f t="shared" si="0"/>
        <v>1.573584011375306</v>
      </c>
      <c r="E6">
        <f t="shared" si="1"/>
        <v>0.024390243902439025</v>
      </c>
      <c r="F6">
        <f aca="true" t="shared" si="2" ref="F6:F50">F5+1</f>
        <v>2</v>
      </c>
      <c r="G6">
        <v>1.0371758825367072</v>
      </c>
      <c r="I6">
        <f>VLOOKUP(J6,Craig3_freqindex,2)</f>
        <v>2.636804066396632</v>
      </c>
      <c r="J6">
        <f>J5+1</f>
        <v>80</v>
      </c>
      <c r="K6">
        <f>J6/MAX(Craig3_index)</f>
        <v>0.975609756097561</v>
      </c>
    </row>
    <row r="7" spans="1:10" ht="15.75" thickBot="1">
      <c r="A7">
        <v>12120</v>
      </c>
      <c r="B7">
        <v>0.03</v>
      </c>
      <c r="C7">
        <v>50</v>
      </c>
      <c r="D7">
        <f t="shared" si="0"/>
        <v>1.6435643564356432</v>
      </c>
      <c r="E7">
        <f t="shared" si="1"/>
        <v>0.036585365853658534</v>
      </c>
      <c r="F7">
        <f t="shared" si="2"/>
        <v>3</v>
      </c>
      <c r="G7">
        <v>1.0388797621841508</v>
      </c>
      <c r="I7" s="46" t="s">
        <v>74</v>
      </c>
      <c r="J7" s="47">
        <f>$I$5+((0.975-$K$5)/($K$6-$K$5))*($I$6-$I$5)</f>
        <v>2.635139521797001</v>
      </c>
    </row>
    <row r="8" spans="1:7" ht="12.75">
      <c r="A8">
        <v>12799</v>
      </c>
      <c r="B8">
        <v>0.04</v>
      </c>
      <c r="C8">
        <v>50</v>
      </c>
      <c r="D8">
        <f t="shared" si="0"/>
        <v>2.0751621220407843</v>
      </c>
      <c r="E8">
        <f t="shared" si="1"/>
        <v>0.04878048780487805</v>
      </c>
      <c r="F8">
        <f t="shared" si="2"/>
        <v>4</v>
      </c>
      <c r="G8">
        <v>1.0416503255157266</v>
      </c>
    </row>
    <row r="9" spans="1:10" ht="12.75">
      <c r="A9">
        <v>12810</v>
      </c>
      <c r="B9">
        <v>0.03</v>
      </c>
      <c r="C9">
        <v>50</v>
      </c>
      <c r="D9">
        <f t="shared" si="0"/>
        <v>1.5550351288056203</v>
      </c>
      <c r="E9">
        <f t="shared" si="1"/>
        <v>0.06097560975609756</v>
      </c>
      <c r="F9">
        <f t="shared" si="2"/>
        <v>5</v>
      </c>
      <c r="G9">
        <v>1.045916358194849</v>
      </c>
      <c r="I9" s="1" t="s">
        <v>73</v>
      </c>
      <c r="J9" s="48" t="str">
        <f>A1&amp;": 97.5th Percentile = "&amp;TEXT($J$7,"0.0000")&amp;" lb Hg/TBtu"</f>
        <v>Craig C3: 97.5th Percentile = 2.6351 lb Hg/TBtu</v>
      </c>
    </row>
    <row r="10" spans="1:7" ht="12.75">
      <c r="A10">
        <v>12685</v>
      </c>
      <c r="B10">
        <v>0.03</v>
      </c>
      <c r="C10">
        <v>50</v>
      </c>
      <c r="D10">
        <f t="shared" si="0"/>
        <v>1.570358691367757</v>
      </c>
      <c r="E10">
        <f t="shared" si="1"/>
        <v>0.07317073170731707</v>
      </c>
      <c r="F10">
        <f t="shared" si="2"/>
        <v>6</v>
      </c>
      <c r="G10">
        <v>1.0468232697461768</v>
      </c>
    </row>
    <row r="11" spans="1:7" ht="12.75">
      <c r="A11">
        <v>11918</v>
      </c>
      <c r="B11">
        <v>0.03</v>
      </c>
      <c r="C11">
        <v>60</v>
      </c>
      <c r="D11">
        <f t="shared" si="0"/>
        <v>1.671421379426078</v>
      </c>
      <c r="E11">
        <f t="shared" si="1"/>
        <v>0.08536585365853659</v>
      </c>
      <c r="F11">
        <f t="shared" si="2"/>
        <v>7</v>
      </c>
      <c r="G11">
        <v>1.0495534655812848</v>
      </c>
    </row>
    <row r="12" spans="1:14" ht="12.75">
      <c r="A12">
        <v>12236</v>
      </c>
      <c r="B12">
        <v>0.02</v>
      </c>
      <c r="C12">
        <v>50</v>
      </c>
      <c r="D12">
        <f t="shared" si="0"/>
        <v>1.0853220006538082</v>
      </c>
      <c r="E12">
        <f t="shared" si="1"/>
        <v>0.0975609756097561</v>
      </c>
      <c r="F12">
        <f t="shared" si="2"/>
        <v>8</v>
      </c>
      <c r="G12">
        <v>1.049802371541502</v>
      </c>
      <c r="I12" s="14"/>
      <c r="J12" s="14"/>
      <c r="K12" s="14"/>
      <c r="L12" s="14"/>
      <c r="M12" s="14"/>
      <c r="N12" s="14"/>
    </row>
    <row r="13" spans="1:14" ht="12.75">
      <c r="A13">
        <v>12319</v>
      </c>
      <c r="B13">
        <v>0.02</v>
      </c>
      <c r="C13">
        <v>50</v>
      </c>
      <c r="D13">
        <f t="shared" si="0"/>
        <v>1.0780095786995696</v>
      </c>
      <c r="E13">
        <f t="shared" si="1"/>
        <v>0.10975609756097561</v>
      </c>
      <c r="F13">
        <f t="shared" si="2"/>
        <v>9</v>
      </c>
      <c r="G13">
        <v>1.0507160376612072</v>
      </c>
      <c r="I13" s="14"/>
      <c r="J13" s="14"/>
      <c r="K13" s="14"/>
      <c r="L13" s="14"/>
      <c r="M13" s="14"/>
      <c r="N13" s="14"/>
    </row>
    <row r="14" spans="1:14" ht="15">
      <c r="A14">
        <v>12541</v>
      </c>
      <c r="B14">
        <v>0.02</v>
      </c>
      <c r="C14">
        <v>50</v>
      </c>
      <c r="D14">
        <f t="shared" si="0"/>
        <v>1.0589267203572281</v>
      </c>
      <c r="E14">
        <f t="shared" si="1"/>
        <v>0.12195121951219512</v>
      </c>
      <c r="F14">
        <f t="shared" si="2"/>
        <v>10</v>
      </c>
      <c r="G14">
        <v>1.0507991770849816</v>
      </c>
      <c r="I14" s="49"/>
      <c r="J14" s="50"/>
      <c r="K14" s="14"/>
      <c r="L14" s="14"/>
      <c r="M14" s="14"/>
      <c r="N14" s="14"/>
    </row>
    <row r="15" spans="1:14" ht="12.75">
      <c r="A15">
        <v>12137</v>
      </c>
      <c r="B15">
        <v>0.02</v>
      </c>
      <c r="C15">
        <v>50</v>
      </c>
      <c r="D15">
        <f t="shared" si="0"/>
        <v>1.09417483727445</v>
      </c>
      <c r="E15">
        <f t="shared" si="1"/>
        <v>0.13414634146341464</v>
      </c>
      <c r="F15">
        <f t="shared" si="2"/>
        <v>11</v>
      </c>
      <c r="G15">
        <v>1.0524647329212236</v>
      </c>
      <c r="I15" s="14"/>
      <c r="J15" s="14"/>
      <c r="K15" s="14"/>
      <c r="L15" s="14"/>
      <c r="M15" s="14"/>
      <c r="N15" s="14"/>
    </row>
    <row r="16" spans="1:14" ht="12.75">
      <c r="A16">
        <v>12532</v>
      </c>
      <c r="B16">
        <v>0.02</v>
      </c>
      <c r="C16">
        <v>50</v>
      </c>
      <c r="D16">
        <f t="shared" si="0"/>
        <v>1.0596872007660387</v>
      </c>
      <c r="E16">
        <f t="shared" si="1"/>
        <v>0.14634146341463414</v>
      </c>
      <c r="F16">
        <f t="shared" si="2"/>
        <v>12</v>
      </c>
      <c r="G16">
        <v>1.0554760769353042</v>
      </c>
      <c r="I16" s="51"/>
      <c r="J16" s="52"/>
      <c r="K16" s="14"/>
      <c r="L16" s="14"/>
      <c r="M16" s="14"/>
      <c r="N16" s="14"/>
    </row>
    <row r="17" spans="1:14" ht="12.75">
      <c r="A17">
        <v>12382</v>
      </c>
      <c r="B17">
        <v>0.03</v>
      </c>
      <c r="C17">
        <v>50</v>
      </c>
      <c r="D17">
        <f t="shared" si="0"/>
        <v>1.60878694879664</v>
      </c>
      <c r="E17">
        <f t="shared" si="1"/>
        <v>0.15853658536585366</v>
      </c>
      <c r="F17">
        <f t="shared" si="2"/>
        <v>13</v>
      </c>
      <c r="G17">
        <v>1.0582516535182085</v>
      </c>
      <c r="I17" s="14"/>
      <c r="J17" s="14"/>
      <c r="K17" s="14"/>
      <c r="L17" s="14"/>
      <c r="M17" s="14"/>
      <c r="N17" s="14"/>
    </row>
    <row r="18" spans="1:14" ht="12.75">
      <c r="A18">
        <v>12653</v>
      </c>
      <c r="B18">
        <v>0.02</v>
      </c>
      <c r="C18">
        <v>50</v>
      </c>
      <c r="D18">
        <f t="shared" si="0"/>
        <v>1.0495534655812848</v>
      </c>
      <c r="E18">
        <f t="shared" si="1"/>
        <v>0.17073170731707318</v>
      </c>
      <c r="F18">
        <f t="shared" si="2"/>
        <v>14</v>
      </c>
      <c r="G18">
        <v>1.0589267203572281</v>
      </c>
      <c r="I18" s="14"/>
      <c r="J18" s="14"/>
      <c r="K18" s="14"/>
      <c r="L18" s="14"/>
      <c r="M18" s="14"/>
      <c r="N18" s="14"/>
    </row>
    <row r="19" spans="1:14" ht="12.75">
      <c r="A19">
        <v>12123</v>
      </c>
      <c r="B19">
        <v>0.03</v>
      </c>
      <c r="C19">
        <v>50</v>
      </c>
      <c r="D19">
        <f t="shared" si="0"/>
        <v>1.643157634248948</v>
      </c>
      <c r="E19">
        <f t="shared" si="1"/>
        <v>0.18292682926829268</v>
      </c>
      <c r="F19">
        <f t="shared" si="2"/>
        <v>15</v>
      </c>
      <c r="G19">
        <v>1.0596872007660387</v>
      </c>
      <c r="I19" s="14"/>
      <c r="J19" s="14"/>
      <c r="K19" s="14"/>
      <c r="L19" s="14"/>
      <c r="M19" s="14"/>
      <c r="N19" s="14"/>
    </row>
    <row r="20" spans="1:14" ht="12.75">
      <c r="A20">
        <v>11912</v>
      </c>
      <c r="B20">
        <v>0.06</v>
      </c>
      <c r="C20">
        <v>50</v>
      </c>
      <c r="D20">
        <f t="shared" si="0"/>
        <v>3.3445265278710536</v>
      </c>
      <c r="E20">
        <f t="shared" si="1"/>
        <v>0.1951219512195122</v>
      </c>
      <c r="F20">
        <f t="shared" si="2"/>
        <v>16</v>
      </c>
      <c r="G20">
        <v>1.060872343824892</v>
      </c>
      <c r="I20" s="14"/>
      <c r="J20" s="14"/>
      <c r="K20" s="14"/>
      <c r="L20" s="14"/>
      <c r="M20" s="14"/>
      <c r="N20" s="14"/>
    </row>
    <row r="21" spans="1:14" ht="15">
      <c r="A21">
        <v>12632</v>
      </c>
      <c r="B21">
        <v>0.03</v>
      </c>
      <c r="C21">
        <v>50</v>
      </c>
      <c r="D21">
        <f t="shared" si="0"/>
        <v>1.5769474350854968</v>
      </c>
      <c r="E21">
        <f t="shared" si="1"/>
        <v>0.2073170731707317</v>
      </c>
      <c r="F21">
        <f t="shared" si="2"/>
        <v>17</v>
      </c>
      <c r="G21">
        <v>1.0609570983462489</v>
      </c>
      <c r="I21" s="49"/>
      <c r="J21" s="50"/>
      <c r="K21" s="14"/>
      <c r="L21" s="14"/>
      <c r="M21" s="14"/>
      <c r="N21" s="14"/>
    </row>
    <row r="22" spans="1:14" ht="12.75">
      <c r="A22">
        <v>12431</v>
      </c>
      <c r="B22">
        <v>0.02</v>
      </c>
      <c r="C22">
        <v>50</v>
      </c>
      <c r="D22">
        <f t="shared" si="0"/>
        <v>1.0682969994368916</v>
      </c>
      <c r="E22">
        <f t="shared" si="1"/>
        <v>0.21951219512195122</v>
      </c>
      <c r="F22">
        <f t="shared" si="2"/>
        <v>18</v>
      </c>
      <c r="G22">
        <v>1.0623999999999998</v>
      </c>
      <c r="I22" s="14"/>
      <c r="J22" s="14"/>
      <c r="K22" s="14"/>
      <c r="L22" s="14"/>
      <c r="M22" s="14"/>
      <c r="N22" s="14"/>
    </row>
    <row r="23" spans="1:14" ht="12.75">
      <c r="A23">
        <v>12418</v>
      </c>
      <c r="B23">
        <v>0.02</v>
      </c>
      <c r="C23">
        <v>50</v>
      </c>
      <c r="D23">
        <f t="shared" si="0"/>
        <v>1.0694153647930422</v>
      </c>
      <c r="E23">
        <f t="shared" si="1"/>
        <v>0.23170731707317074</v>
      </c>
      <c r="F23">
        <f t="shared" si="2"/>
        <v>19</v>
      </c>
      <c r="G23">
        <v>1.0629952773553188</v>
      </c>
      <c r="I23" s="51"/>
      <c r="J23" s="52"/>
      <c r="K23" s="14"/>
      <c r="L23" s="14"/>
      <c r="M23" s="14"/>
      <c r="N23" s="14"/>
    </row>
    <row r="24" spans="1:14" ht="12.75">
      <c r="A24">
        <v>12350</v>
      </c>
      <c r="B24">
        <v>0.03</v>
      </c>
      <c r="C24">
        <v>50</v>
      </c>
      <c r="D24">
        <f t="shared" si="0"/>
        <v>1.6129554655870442</v>
      </c>
      <c r="E24">
        <f t="shared" si="1"/>
        <v>0.24390243902439024</v>
      </c>
      <c r="F24">
        <f t="shared" si="2"/>
        <v>20</v>
      </c>
      <c r="G24">
        <v>1.0640173063055844</v>
      </c>
      <c r="I24" s="14"/>
      <c r="J24" s="14"/>
      <c r="K24" s="14"/>
      <c r="L24" s="14"/>
      <c r="M24" s="14"/>
      <c r="N24" s="14"/>
    </row>
    <row r="25" spans="1:14" ht="12.75">
      <c r="A25">
        <v>12432</v>
      </c>
      <c r="B25">
        <v>0.02</v>
      </c>
      <c r="C25">
        <v>50</v>
      </c>
      <c r="D25">
        <f t="shared" si="0"/>
        <v>1.0682110682110681</v>
      </c>
      <c r="E25">
        <f t="shared" si="1"/>
        <v>0.25609756097560976</v>
      </c>
      <c r="F25">
        <f t="shared" si="2"/>
        <v>21</v>
      </c>
      <c r="G25">
        <v>1.0641878355637469</v>
      </c>
      <c r="I25" s="14"/>
      <c r="J25" s="14"/>
      <c r="K25" s="14"/>
      <c r="L25" s="14"/>
      <c r="M25" s="14"/>
      <c r="N25" s="14"/>
    </row>
    <row r="26" spans="1:14" ht="12.75">
      <c r="A26">
        <v>12518</v>
      </c>
      <c r="B26">
        <v>0.02</v>
      </c>
      <c r="C26">
        <v>50</v>
      </c>
      <c r="D26">
        <f t="shared" si="0"/>
        <v>1.060872343824892</v>
      </c>
      <c r="E26">
        <f t="shared" si="1"/>
        <v>0.2682926829268293</v>
      </c>
      <c r="F26">
        <f t="shared" si="2"/>
        <v>22</v>
      </c>
      <c r="G26">
        <v>1.0681251508083325</v>
      </c>
      <c r="I26" s="14"/>
      <c r="J26" s="14"/>
      <c r="K26" s="14"/>
      <c r="L26" s="14"/>
      <c r="M26" s="14"/>
      <c r="N26" s="14"/>
    </row>
    <row r="27" spans="1:14" ht="12.75">
      <c r="A27">
        <v>12247</v>
      </c>
      <c r="B27">
        <v>0.02</v>
      </c>
      <c r="C27">
        <v>50</v>
      </c>
      <c r="D27">
        <f t="shared" si="0"/>
        <v>1.0843471870662202</v>
      </c>
      <c r="E27">
        <f t="shared" si="1"/>
        <v>0.2804878048780488</v>
      </c>
      <c r="F27">
        <f t="shared" si="2"/>
        <v>23</v>
      </c>
      <c r="G27">
        <v>1.0682110682110681</v>
      </c>
      <c r="I27" s="14"/>
      <c r="J27" s="14"/>
      <c r="K27" s="14"/>
      <c r="L27" s="14"/>
      <c r="M27" s="14"/>
      <c r="N27" s="14"/>
    </row>
    <row r="28" spans="1:14" ht="12.75">
      <c r="A28">
        <v>12749</v>
      </c>
      <c r="B28">
        <v>0.02</v>
      </c>
      <c r="C28">
        <v>50</v>
      </c>
      <c r="D28">
        <f t="shared" si="0"/>
        <v>1.0416503255157266</v>
      </c>
      <c r="E28">
        <f t="shared" si="1"/>
        <v>0.2926829268292683</v>
      </c>
      <c r="F28">
        <f t="shared" si="2"/>
        <v>24</v>
      </c>
      <c r="G28">
        <v>1.0682969994368916</v>
      </c>
      <c r="I28" s="14"/>
      <c r="J28" s="14"/>
      <c r="K28" s="14"/>
      <c r="L28" s="14"/>
      <c r="M28" s="14"/>
      <c r="N28" s="14"/>
    </row>
    <row r="29" spans="1:14" ht="12.75">
      <c r="A29">
        <v>11928</v>
      </c>
      <c r="B29">
        <v>0.03</v>
      </c>
      <c r="C29">
        <v>50</v>
      </c>
      <c r="D29">
        <f t="shared" si="0"/>
        <v>1.6700201207243457</v>
      </c>
      <c r="E29">
        <f t="shared" si="1"/>
        <v>0.3048780487804878</v>
      </c>
      <c r="F29">
        <f t="shared" si="2"/>
        <v>25</v>
      </c>
      <c r="G29">
        <v>1.0691570726994604</v>
      </c>
      <c r="I29" s="14"/>
      <c r="J29" s="14"/>
      <c r="K29" s="14"/>
      <c r="L29" s="14"/>
      <c r="M29" s="14"/>
      <c r="N29" s="14"/>
    </row>
    <row r="30" spans="1:14" ht="12.75">
      <c r="A30">
        <v>12261</v>
      </c>
      <c r="B30">
        <v>0.02</v>
      </c>
      <c r="C30">
        <v>50</v>
      </c>
      <c r="D30">
        <f t="shared" si="0"/>
        <v>1.083109044939238</v>
      </c>
      <c r="E30">
        <f t="shared" si="1"/>
        <v>0.3170731707317073</v>
      </c>
      <c r="F30">
        <f t="shared" si="2"/>
        <v>26</v>
      </c>
      <c r="G30">
        <v>1.0694153647930422</v>
      </c>
      <c r="I30" s="14"/>
      <c r="J30" s="14"/>
      <c r="K30" s="14"/>
      <c r="L30" s="14"/>
      <c r="M30" s="14"/>
      <c r="N30" s="14"/>
    </row>
    <row r="31" spans="1:14" ht="12.75">
      <c r="A31">
        <v>12618</v>
      </c>
      <c r="B31">
        <v>0.02</v>
      </c>
      <c r="C31">
        <v>50</v>
      </c>
      <c r="D31">
        <f t="shared" si="0"/>
        <v>1.0524647329212236</v>
      </c>
      <c r="E31">
        <f t="shared" si="1"/>
        <v>0.32926829268292684</v>
      </c>
      <c r="F31">
        <f t="shared" si="2"/>
        <v>27</v>
      </c>
      <c r="G31">
        <v>1.0700185319474658</v>
      </c>
      <c r="I31" s="14"/>
      <c r="J31" s="14"/>
      <c r="K31" s="14"/>
      <c r="L31" s="14"/>
      <c r="M31" s="14"/>
      <c r="N31" s="14"/>
    </row>
    <row r="32" spans="1:14" ht="12.75">
      <c r="A32">
        <v>11867</v>
      </c>
      <c r="B32">
        <v>0.02</v>
      </c>
      <c r="C32">
        <v>50</v>
      </c>
      <c r="D32">
        <f t="shared" si="0"/>
        <v>1.1190696890536782</v>
      </c>
      <c r="E32">
        <f t="shared" si="1"/>
        <v>0.34146341463414637</v>
      </c>
      <c r="F32">
        <f t="shared" si="2"/>
        <v>28</v>
      </c>
      <c r="G32">
        <v>1.0707086995081834</v>
      </c>
      <c r="I32" s="14"/>
      <c r="J32" s="14"/>
      <c r="K32" s="14"/>
      <c r="L32" s="14"/>
      <c r="M32" s="14"/>
      <c r="N32" s="14"/>
    </row>
    <row r="33" spans="1:7" ht="12.75">
      <c r="A33">
        <v>12783</v>
      </c>
      <c r="B33">
        <v>0.02</v>
      </c>
      <c r="C33">
        <v>50</v>
      </c>
      <c r="D33">
        <f t="shared" si="0"/>
        <v>1.0388797621841508</v>
      </c>
      <c r="E33">
        <f t="shared" si="1"/>
        <v>0.35365853658536583</v>
      </c>
      <c r="F33">
        <f t="shared" si="2"/>
        <v>29</v>
      </c>
      <c r="G33">
        <v>1.074259828506714</v>
      </c>
    </row>
    <row r="34" spans="1:7" ht="12.75">
      <c r="A34">
        <v>12308</v>
      </c>
      <c r="B34">
        <v>0.02</v>
      </c>
      <c r="C34">
        <v>50</v>
      </c>
      <c r="D34">
        <f t="shared" si="0"/>
        <v>1.078973025674358</v>
      </c>
      <c r="E34">
        <f t="shared" si="1"/>
        <v>0.36585365853658536</v>
      </c>
      <c r="F34">
        <f t="shared" si="2"/>
        <v>30</v>
      </c>
      <c r="G34">
        <v>1.0780095786995696</v>
      </c>
    </row>
    <row r="35" spans="1:7" ht="12.75">
      <c r="A35">
        <v>12752</v>
      </c>
      <c r="B35">
        <v>0.05</v>
      </c>
      <c r="C35">
        <v>50</v>
      </c>
      <c r="D35">
        <f t="shared" si="0"/>
        <v>2.6035131744040143</v>
      </c>
      <c r="E35">
        <f t="shared" si="1"/>
        <v>0.3780487804878049</v>
      </c>
      <c r="F35">
        <f t="shared" si="2"/>
        <v>31</v>
      </c>
      <c r="G35">
        <v>1.0784472957609224</v>
      </c>
    </row>
    <row r="36" spans="1:7" ht="12.75">
      <c r="A36">
        <v>12500</v>
      </c>
      <c r="B36">
        <v>0.02</v>
      </c>
      <c r="C36">
        <v>50</v>
      </c>
      <c r="D36">
        <f t="shared" si="0"/>
        <v>1.0623999999999998</v>
      </c>
      <c r="E36">
        <f t="shared" si="1"/>
        <v>0.3902439024390244</v>
      </c>
      <c r="F36">
        <f t="shared" si="2"/>
        <v>32</v>
      </c>
      <c r="G36">
        <v>1.078973025674358</v>
      </c>
    </row>
    <row r="37" spans="1:7" ht="12.75">
      <c r="A37">
        <v>12142</v>
      </c>
      <c r="B37">
        <v>0.02</v>
      </c>
      <c r="C37">
        <v>50</v>
      </c>
      <c r="D37">
        <f t="shared" si="0"/>
        <v>1.093724262889145</v>
      </c>
      <c r="E37">
        <f t="shared" si="1"/>
        <v>0.4024390243902439</v>
      </c>
      <c r="F37">
        <f t="shared" si="2"/>
        <v>33</v>
      </c>
      <c r="G37">
        <v>1.083109044939238</v>
      </c>
    </row>
    <row r="38" spans="1:7" ht="12.75">
      <c r="A38">
        <v>12116</v>
      </c>
      <c r="B38">
        <v>0.02</v>
      </c>
      <c r="C38">
        <v>50</v>
      </c>
      <c r="D38">
        <f t="shared" si="0"/>
        <v>1.096071310663585</v>
      </c>
      <c r="E38">
        <f t="shared" si="1"/>
        <v>0.4146341463414634</v>
      </c>
      <c r="F38">
        <f t="shared" si="2"/>
        <v>34</v>
      </c>
      <c r="G38">
        <v>1.0843471870662202</v>
      </c>
    </row>
    <row r="39" spans="1:7" ht="12.75">
      <c r="A39">
        <v>12124</v>
      </c>
      <c r="B39">
        <v>0.03</v>
      </c>
      <c r="C39">
        <v>50</v>
      </c>
      <c r="D39">
        <f t="shared" si="0"/>
        <v>1.643022104915869</v>
      </c>
      <c r="E39">
        <f t="shared" si="1"/>
        <v>0.4268292682926829</v>
      </c>
      <c r="F39">
        <f t="shared" si="2"/>
        <v>35</v>
      </c>
      <c r="G39">
        <v>1.0843471870662202</v>
      </c>
    </row>
    <row r="40" spans="1:7" ht="12.75">
      <c r="A40">
        <v>12614</v>
      </c>
      <c r="B40">
        <v>0.03</v>
      </c>
      <c r="C40">
        <v>50</v>
      </c>
      <c r="D40">
        <f t="shared" si="0"/>
        <v>1.5791977168225777</v>
      </c>
      <c r="E40">
        <f t="shared" si="1"/>
        <v>0.43902439024390244</v>
      </c>
      <c r="F40">
        <f t="shared" si="2"/>
        <v>36</v>
      </c>
      <c r="G40">
        <v>1.0853220006538082</v>
      </c>
    </row>
    <row r="41" spans="1:7" ht="12.75">
      <c r="A41">
        <v>12081</v>
      </c>
      <c r="B41">
        <v>0.02</v>
      </c>
      <c r="C41">
        <v>50</v>
      </c>
      <c r="D41">
        <f t="shared" si="0"/>
        <v>1.0992467510967634</v>
      </c>
      <c r="E41">
        <f t="shared" si="1"/>
        <v>0.45121951219512196</v>
      </c>
      <c r="F41">
        <f t="shared" si="2"/>
        <v>37</v>
      </c>
      <c r="G41">
        <v>1.0873659215589944</v>
      </c>
    </row>
    <row r="42" spans="1:7" ht="12.75">
      <c r="A42">
        <v>12650</v>
      </c>
      <c r="B42">
        <v>0.02</v>
      </c>
      <c r="C42">
        <v>50</v>
      </c>
      <c r="D42">
        <f t="shared" si="0"/>
        <v>1.049802371541502</v>
      </c>
      <c r="E42">
        <f t="shared" si="1"/>
        <v>0.4634146341463415</v>
      </c>
      <c r="F42">
        <f t="shared" si="2"/>
        <v>38</v>
      </c>
      <c r="G42">
        <v>1.0877221721680725</v>
      </c>
    </row>
    <row r="43" spans="1:7" ht="12.75">
      <c r="A43">
        <v>12687</v>
      </c>
      <c r="B43">
        <v>0.04</v>
      </c>
      <c r="C43">
        <v>50</v>
      </c>
      <c r="D43">
        <f t="shared" si="0"/>
        <v>2.093481516512966</v>
      </c>
      <c r="E43">
        <f t="shared" si="1"/>
        <v>0.47560975609756095</v>
      </c>
      <c r="F43">
        <f t="shared" si="2"/>
        <v>39</v>
      </c>
      <c r="G43">
        <v>1.0885245901639342</v>
      </c>
    </row>
    <row r="44" spans="1:7" ht="12.75">
      <c r="A44">
        <v>12580</v>
      </c>
      <c r="B44">
        <v>0.08</v>
      </c>
      <c r="C44">
        <v>50</v>
      </c>
      <c r="D44">
        <f t="shared" si="0"/>
        <v>4.222575516693163</v>
      </c>
      <c r="E44">
        <f t="shared" si="1"/>
        <v>0.4878048780487805</v>
      </c>
      <c r="F44">
        <f t="shared" si="2"/>
        <v>40</v>
      </c>
      <c r="G44">
        <v>1.0904910494334044</v>
      </c>
    </row>
    <row r="45" spans="1:7" ht="12.75">
      <c r="A45">
        <v>12589</v>
      </c>
      <c r="B45">
        <v>0.03</v>
      </c>
      <c r="C45">
        <v>81</v>
      </c>
      <c r="D45">
        <f t="shared" si="0"/>
        <v>1.5823337834617521</v>
      </c>
      <c r="E45">
        <f t="shared" si="1"/>
        <v>0.5</v>
      </c>
      <c r="F45">
        <f t="shared" si="2"/>
        <v>41</v>
      </c>
      <c r="G45">
        <v>1.091387245233399</v>
      </c>
    </row>
    <row r="46" spans="1:7" ht="12.75">
      <c r="A46">
        <v>11976</v>
      </c>
      <c r="B46">
        <v>0.02</v>
      </c>
      <c r="C46">
        <v>50</v>
      </c>
      <c r="D46">
        <f t="shared" si="0"/>
        <v>1.108884435537742</v>
      </c>
      <c r="E46">
        <f t="shared" si="1"/>
        <v>0.5121951219512195</v>
      </c>
      <c r="F46">
        <f t="shared" si="2"/>
        <v>42</v>
      </c>
      <c r="G46">
        <v>1.093724262889145</v>
      </c>
    </row>
    <row r="47" spans="1:7" ht="12.75">
      <c r="A47">
        <v>12123</v>
      </c>
      <c r="B47">
        <v>0.04</v>
      </c>
      <c r="C47">
        <v>50</v>
      </c>
      <c r="D47">
        <f t="shared" si="0"/>
        <v>2.190876845665264</v>
      </c>
      <c r="E47">
        <f t="shared" si="1"/>
        <v>0.524390243902439</v>
      </c>
      <c r="F47">
        <f t="shared" si="2"/>
        <v>43</v>
      </c>
      <c r="G47">
        <v>1.09417483727445</v>
      </c>
    </row>
    <row r="48" spans="1:7" ht="12.75">
      <c r="A48">
        <v>12582</v>
      </c>
      <c r="B48">
        <v>0.02</v>
      </c>
      <c r="C48">
        <v>50</v>
      </c>
      <c r="D48">
        <f t="shared" si="0"/>
        <v>1.0554760769353042</v>
      </c>
      <c r="E48">
        <f t="shared" si="1"/>
        <v>0.5365853658536586</v>
      </c>
      <c r="F48">
        <f t="shared" si="2"/>
        <v>44</v>
      </c>
      <c r="G48">
        <v>1.096071310663585</v>
      </c>
    </row>
    <row r="49" spans="1:7" ht="12.75">
      <c r="A49">
        <v>12387</v>
      </c>
      <c r="B49">
        <v>0.04</v>
      </c>
      <c r="C49">
        <v>50</v>
      </c>
      <c r="D49">
        <f t="shared" si="0"/>
        <v>2.14418341809962</v>
      </c>
      <c r="E49">
        <f t="shared" si="1"/>
        <v>0.5487804878048781</v>
      </c>
      <c r="F49">
        <f t="shared" si="2"/>
        <v>45</v>
      </c>
      <c r="G49">
        <v>1.0977928412002975</v>
      </c>
    </row>
    <row r="50" spans="1:7" ht="12.75">
      <c r="A50">
        <v>12097</v>
      </c>
      <c r="B50">
        <v>0.02</v>
      </c>
      <c r="C50">
        <v>50</v>
      </c>
      <c r="D50">
        <f t="shared" si="0"/>
        <v>1.0977928412002975</v>
      </c>
      <c r="E50">
        <f t="shared" si="1"/>
        <v>0.5609756097560976</v>
      </c>
      <c r="F50">
        <f t="shared" si="2"/>
        <v>46</v>
      </c>
      <c r="G50">
        <v>1.0986101919258768</v>
      </c>
    </row>
    <row r="51" spans="1:7" ht="12.75">
      <c r="A51">
        <v>12590</v>
      </c>
      <c r="B51">
        <v>0.04</v>
      </c>
      <c r="C51">
        <v>50</v>
      </c>
      <c r="D51">
        <f>1000000*B51*$B$3*EXP(-$A$3*C51)/A51</f>
        <v>2.109610802223987</v>
      </c>
      <c r="E51">
        <f t="shared" si="1"/>
        <v>0.573170731707317</v>
      </c>
      <c r="F51">
        <f>F50+1</f>
        <v>47</v>
      </c>
      <c r="G51">
        <v>1.0992467510967634</v>
      </c>
    </row>
    <row r="52" spans="1:7" ht="12.75">
      <c r="A52">
        <v>12033</v>
      </c>
      <c r="B52">
        <v>0.02</v>
      </c>
      <c r="C52">
        <v>50</v>
      </c>
      <c r="D52">
        <f>1000000*B52*$B$3*EXP(-$A$3*C52)/A52</f>
        <v>1.1036316795479097</v>
      </c>
      <c r="E52">
        <f t="shared" si="1"/>
        <v>0.5853658536585366</v>
      </c>
      <c r="F52">
        <f>F51+1</f>
        <v>48</v>
      </c>
      <c r="G52">
        <v>1.1009782788923892</v>
      </c>
    </row>
    <row r="53" spans="1:7" ht="12.75">
      <c r="A53">
        <v>12168</v>
      </c>
      <c r="B53">
        <v>0.02</v>
      </c>
      <c r="C53">
        <v>50</v>
      </c>
      <c r="D53">
        <f>1000000*B53*$B$3*EXP(-$A$3*C53)/A53</f>
        <v>1.091387245233399</v>
      </c>
      <c r="E53">
        <f t="shared" si="1"/>
        <v>0.5975609756097561</v>
      </c>
      <c r="F53">
        <f>F52+1</f>
        <v>49</v>
      </c>
      <c r="G53">
        <v>1.101069563054473</v>
      </c>
    </row>
    <row r="54" spans="1:7" ht="12.75">
      <c r="A54">
        <v>12697</v>
      </c>
      <c r="B54">
        <v>0.02</v>
      </c>
      <c r="C54">
        <v>50</v>
      </c>
      <c r="D54">
        <f aca="true" t="shared" si="3" ref="D54:D86">1000000*B54*$B$3*EXP(-$A$3*C54)/A54</f>
        <v>1.045916358194849</v>
      </c>
      <c r="E54">
        <f t="shared" si="1"/>
        <v>0.6097560975609756</v>
      </c>
      <c r="F54">
        <f aca="true" t="shared" si="4" ref="F54:F86">F53+1</f>
        <v>50</v>
      </c>
      <c r="G54">
        <v>1.1018918021905078</v>
      </c>
    </row>
    <row r="55" spans="1:7" ht="12.75">
      <c r="A55">
        <v>12062</v>
      </c>
      <c r="B55">
        <v>0.02</v>
      </c>
      <c r="C55">
        <v>50</v>
      </c>
      <c r="D55">
        <f t="shared" si="3"/>
        <v>1.1009782788923892</v>
      </c>
      <c r="E55">
        <f t="shared" si="1"/>
        <v>0.6219512195121951</v>
      </c>
      <c r="F55">
        <f t="shared" si="4"/>
        <v>51</v>
      </c>
      <c r="G55">
        <v>1.1036316795479097</v>
      </c>
    </row>
    <row r="56" spans="1:7" ht="12.75">
      <c r="A56">
        <v>12517</v>
      </c>
      <c r="B56">
        <v>0.02</v>
      </c>
      <c r="C56">
        <v>50</v>
      </c>
      <c r="D56">
        <f t="shared" si="3"/>
        <v>1.0609570983462489</v>
      </c>
      <c r="E56">
        <f t="shared" si="1"/>
        <v>0.6341463414634146</v>
      </c>
      <c r="F56">
        <f t="shared" si="4"/>
        <v>52</v>
      </c>
      <c r="G56">
        <v>1.1055611055611054</v>
      </c>
    </row>
    <row r="57" spans="1:7" ht="12.75">
      <c r="A57">
        <v>12433</v>
      </c>
      <c r="B57">
        <v>0.02</v>
      </c>
      <c r="C57">
        <v>50</v>
      </c>
      <c r="D57">
        <f t="shared" si="3"/>
        <v>1.0681251508083325</v>
      </c>
      <c r="E57">
        <f t="shared" si="1"/>
        <v>0.6463414634146342</v>
      </c>
      <c r="F57">
        <f t="shared" si="4"/>
        <v>53</v>
      </c>
      <c r="G57">
        <v>1.1084216676404306</v>
      </c>
    </row>
    <row r="58" spans="1:7" ht="12.75">
      <c r="A58">
        <v>12247</v>
      </c>
      <c r="B58">
        <v>0.02</v>
      </c>
      <c r="C58">
        <v>50</v>
      </c>
      <c r="D58">
        <f t="shared" si="3"/>
        <v>1.0843471870662202</v>
      </c>
      <c r="E58">
        <f t="shared" si="1"/>
        <v>0.6585365853658537</v>
      </c>
      <c r="F58">
        <f t="shared" si="4"/>
        <v>54</v>
      </c>
      <c r="G58">
        <v>1.108884435537742</v>
      </c>
    </row>
    <row r="59" spans="1:7" ht="12.75">
      <c r="A59">
        <v>12591</v>
      </c>
      <c r="B59">
        <v>0.05</v>
      </c>
      <c r="C59">
        <v>50</v>
      </c>
      <c r="D59">
        <f t="shared" si="3"/>
        <v>2.636804066396632</v>
      </c>
      <c r="E59">
        <f t="shared" si="1"/>
        <v>0.6707317073170732</v>
      </c>
      <c r="F59">
        <f t="shared" si="4"/>
        <v>55</v>
      </c>
      <c r="G59">
        <v>1.108884435537742</v>
      </c>
    </row>
    <row r="60" spans="1:7" ht="12.75">
      <c r="A60">
        <v>12638</v>
      </c>
      <c r="B60">
        <v>0.02</v>
      </c>
      <c r="C60">
        <v>50</v>
      </c>
      <c r="D60">
        <f t="shared" si="3"/>
        <v>1.0507991770849816</v>
      </c>
      <c r="E60">
        <f t="shared" si="1"/>
        <v>0.6829268292682927</v>
      </c>
      <c r="F60">
        <f t="shared" si="4"/>
        <v>56</v>
      </c>
      <c r="G60">
        <v>1.1190696890536782</v>
      </c>
    </row>
    <row r="61" spans="1:7" ht="12.75">
      <c r="A61">
        <v>12178</v>
      </c>
      <c r="B61">
        <v>0.02</v>
      </c>
      <c r="C61">
        <v>50</v>
      </c>
      <c r="D61">
        <f t="shared" si="3"/>
        <v>1.0904910494334044</v>
      </c>
      <c r="E61">
        <f t="shared" si="1"/>
        <v>0.6951219512195121</v>
      </c>
      <c r="F61">
        <f t="shared" si="4"/>
        <v>57</v>
      </c>
      <c r="G61">
        <v>1.5550351288056203</v>
      </c>
    </row>
    <row r="62" spans="1:7" ht="12.75">
      <c r="A62">
        <v>12493</v>
      </c>
      <c r="B62">
        <v>0.02</v>
      </c>
      <c r="C62">
        <v>50</v>
      </c>
      <c r="D62">
        <f t="shared" si="3"/>
        <v>1.0629952773553188</v>
      </c>
      <c r="E62">
        <f t="shared" si="1"/>
        <v>0.7073170731707317</v>
      </c>
      <c r="F62">
        <f t="shared" si="4"/>
        <v>58</v>
      </c>
      <c r="G62">
        <v>1.570358691367757</v>
      </c>
    </row>
    <row r="63" spans="1:7" ht="12.75">
      <c r="A63">
        <v>12827</v>
      </c>
      <c r="B63">
        <v>0.02</v>
      </c>
      <c r="C63">
        <v>50</v>
      </c>
      <c r="D63">
        <f t="shared" si="3"/>
        <v>1.0353161300382006</v>
      </c>
      <c r="E63">
        <f t="shared" si="1"/>
        <v>0.7195121951219512</v>
      </c>
      <c r="F63">
        <f t="shared" si="4"/>
        <v>59</v>
      </c>
      <c r="G63">
        <v>1.573584011375306</v>
      </c>
    </row>
    <row r="64" spans="1:7" ht="12.75">
      <c r="A64">
        <v>12209</v>
      </c>
      <c r="B64">
        <v>0.02</v>
      </c>
      <c r="C64">
        <v>50</v>
      </c>
      <c r="D64">
        <f t="shared" si="3"/>
        <v>1.0877221721680725</v>
      </c>
      <c r="E64">
        <f t="shared" si="1"/>
        <v>0.7317073170731707</v>
      </c>
      <c r="F64">
        <f t="shared" si="4"/>
        <v>60</v>
      </c>
      <c r="G64">
        <v>1.5769474350854968</v>
      </c>
    </row>
    <row r="65" spans="1:7" ht="12.75">
      <c r="A65">
        <v>12549</v>
      </c>
      <c r="B65">
        <v>0.02</v>
      </c>
      <c r="C65">
        <v>50</v>
      </c>
      <c r="D65">
        <f t="shared" si="3"/>
        <v>1.0582516535182085</v>
      </c>
      <c r="E65">
        <f t="shared" si="1"/>
        <v>0.7439024390243902</v>
      </c>
      <c r="F65">
        <f t="shared" si="4"/>
        <v>61</v>
      </c>
      <c r="G65">
        <v>1.5791977168225777</v>
      </c>
    </row>
    <row r="66" spans="1:7" ht="12.75">
      <c r="A66">
        <v>12804</v>
      </c>
      <c r="B66">
        <v>0.02</v>
      </c>
      <c r="C66">
        <v>50</v>
      </c>
      <c r="D66">
        <f t="shared" si="3"/>
        <v>1.0371758825367072</v>
      </c>
      <c r="E66">
        <f t="shared" si="1"/>
        <v>0.7560975609756098</v>
      </c>
      <c r="F66">
        <f t="shared" si="4"/>
        <v>62</v>
      </c>
      <c r="G66">
        <v>1.5823337834617521</v>
      </c>
    </row>
    <row r="67" spans="1:7" ht="12.75">
      <c r="A67">
        <v>11976</v>
      </c>
      <c r="B67">
        <v>0.02</v>
      </c>
      <c r="C67">
        <v>50</v>
      </c>
      <c r="D67">
        <f t="shared" si="3"/>
        <v>1.108884435537742</v>
      </c>
      <c r="E67">
        <f t="shared" si="1"/>
        <v>0.7682926829268293</v>
      </c>
      <c r="F67">
        <f t="shared" si="4"/>
        <v>63</v>
      </c>
      <c r="G67">
        <v>1.60878694879664</v>
      </c>
    </row>
    <row r="68" spans="1:7" ht="12.75">
      <c r="A68">
        <v>12314</v>
      </c>
      <c r="B68">
        <v>0.02</v>
      </c>
      <c r="C68">
        <v>50</v>
      </c>
      <c r="D68">
        <f t="shared" si="3"/>
        <v>1.0784472957609224</v>
      </c>
      <c r="E68">
        <f t="shared" si="1"/>
        <v>0.7804878048780488</v>
      </c>
      <c r="F68">
        <f t="shared" si="4"/>
        <v>64</v>
      </c>
      <c r="G68">
        <v>1.6129554655870442</v>
      </c>
    </row>
    <row r="69" spans="1:7" ht="12.75">
      <c r="A69">
        <v>12200</v>
      </c>
      <c r="B69">
        <v>0.02</v>
      </c>
      <c r="C69">
        <v>50</v>
      </c>
      <c r="D69">
        <f t="shared" si="3"/>
        <v>1.0885245901639342</v>
      </c>
      <c r="E69">
        <f aca="true" t="shared" si="5" ref="E69:E86">F69/MAX(Craig3_index)</f>
        <v>0.7926829268292683</v>
      </c>
      <c r="F69">
        <f t="shared" si="4"/>
        <v>65</v>
      </c>
      <c r="G69">
        <v>1.6270521930899287</v>
      </c>
    </row>
    <row r="70" spans="1:7" ht="12.75">
      <c r="A70">
        <v>12088</v>
      </c>
      <c r="B70">
        <v>0.02</v>
      </c>
      <c r="C70">
        <v>50</v>
      </c>
      <c r="D70">
        <f t="shared" si="3"/>
        <v>1.0986101919258768</v>
      </c>
      <c r="E70">
        <f t="shared" si="5"/>
        <v>0.8048780487804879</v>
      </c>
      <c r="F70">
        <f t="shared" si="4"/>
        <v>66</v>
      </c>
      <c r="G70">
        <v>1.637484586929716</v>
      </c>
    </row>
    <row r="71" spans="1:7" ht="12.75">
      <c r="A71">
        <v>12403</v>
      </c>
      <c r="B71">
        <v>0.02</v>
      </c>
      <c r="C71">
        <v>50</v>
      </c>
      <c r="D71">
        <f t="shared" si="3"/>
        <v>1.0707086995081834</v>
      </c>
      <c r="E71">
        <f t="shared" si="5"/>
        <v>0.8170731707317073</v>
      </c>
      <c r="F71">
        <f t="shared" si="4"/>
        <v>67</v>
      </c>
      <c r="G71">
        <v>1.638292622748581</v>
      </c>
    </row>
    <row r="72" spans="1:7" ht="12.75">
      <c r="A72">
        <v>12243</v>
      </c>
      <c r="B72">
        <v>0.03</v>
      </c>
      <c r="C72">
        <v>50</v>
      </c>
      <c r="D72">
        <f t="shared" si="3"/>
        <v>1.6270521930899287</v>
      </c>
      <c r="E72">
        <f t="shared" si="5"/>
        <v>0.8292682926829268</v>
      </c>
      <c r="F72">
        <f t="shared" si="4"/>
        <v>68</v>
      </c>
      <c r="G72">
        <v>1.643022104915869</v>
      </c>
    </row>
    <row r="73" spans="1:7" ht="12.75">
      <c r="A73">
        <v>12421</v>
      </c>
      <c r="B73">
        <v>0.02</v>
      </c>
      <c r="C73">
        <v>50</v>
      </c>
      <c r="D73">
        <f t="shared" si="3"/>
        <v>1.0691570726994604</v>
      </c>
      <c r="E73">
        <f t="shared" si="5"/>
        <v>0.8414634146341463</v>
      </c>
      <c r="F73">
        <f t="shared" si="4"/>
        <v>69</v>
      </c>
      <c r="G73">
        <v>1.643157634248948</v>
      </c>
    </row>
    <row r="74" spans="1:7" ht="12.75">
      <c r="A74">
        <v>12362</v>
      </c>
      <c r="B74">
        <v>0.02</v>
      </c>
      <c r="C74">
        <v>50</v>
      </c>
      <c r="D74">
        <f t="shared" si="3"/>
        <v>1.074259828506714</v>
      </c>
      <c r="E74">
        <f t="shared" si="5"/>
        <v>0.8536585365853658</v>
      </c>
      <c r="F74">
        <f t="shared" si="4"/>
        <v>70</v>
      </c>
      <c r="G74">
        <v>1.6435643564356432</v>
      </c>
    </row>
    <row r="75" spans="1:7" ht="12.75">
      <c r="A75">
        <v>12159</v>
      </c>
      <c r="B75">
        <v>0.03</v>
      </c>
      <c r="C75">
        <v>50</v>
      </c>
      <c r="D75">
        <f t="shared" si="3"/>
        <v>1.638292622748581</v>
      </c>
      <c r="E75">
        <f t="shared" si="5"/>
        <v>0.8658536585365854</v>
      </c>
      <c r="F75">
        <f t="shared" si="4"/>
        <v>71</v>
      </c>
      <c r="G75">
        <v>1.6700201207243457</v>
      </c>
    </row>
    <row r="76" spans="1:7" ht="12.75">
      <c r="A76">
        <v>12481</v>
      </c>
      <c r="B76">
        <v>0.02</v>
      </c>
      <c r="C76">
        <v>50</v>
      </c>
      <c r="D76">
        <f t="shared" si="3"/>
        <v>1.0640173063055844</v>
      </c>
      <c r="E76">
        <f t="shared" si="5"/>
        <v>0.8780487804878049</v>
      </c>
      <c r="F76">
        <f t="shared" si="4"/>
        <v>72</v>
      </c>
      <c r="G76">
        <v>1.671421379426078</v>
      </c>
    </row>
    <row r="77" spans="1:7" ht="12.75">
      <c r="A77">
        <v>12061</v>
      </c>
      <c r="B77">
        <v>0.02</v>
      </c>
      <c r="C77">
        <v>50</v>
      </c>
      <c r="D77">
        <f t="shared" si="3"/>
        <v>1.101069563054473</v>
      </c>
      <c r="E77">
        <f t="shared" si="5"/>
        <v>0.8902439024390244</v>
      </c>
      <c r="F77">
        <f t="shared" si="4"/>
        <v>73</v>
      </c>
      <c r="G77">
        <v>2.0751621220407843</v>
      </c>
    </row>
    <row r="78" spans="1:7" ht="12.75">
      <c r="A78">
        <v>12411</v>
      </c>
      <c r="B78">
        <v>0.02</v>
      </c>
      <c r="C78">
        <v>50</v>
      </c>
      <c r="D78">
        <f t="shared" si="3"/>
        <v>1.0700185319474658</v>
      </c>
      <c r="E78">
        <f t="shared" si="5"/>
        <v>0.9024390243902439</v>
      </c>
      <c r="F78">
        <f t="shared" si="4"/>
        <v>74</v>
      </c>
      <c r="G78">
        <v>2.093481516512966</v>
      </c>
    </row>
    <row r="79" spans="1:7" ht="12.75">
      <c r="A79">
        <v>12012</v>
      </c>
      <c r="B79">
        <v>0.02</v>
      </c>
      <c r="C79">
        <v>50</v>
      </c>
      <c r="D79">
        <f t="shared" si="3"/>
        <v>1.1055611055611054</v>
      </c>
      <c r="E79">
        <f t="shared" si="5"/>
        <v>0.9146341463414634</v>
      </c>
      <c r="F79">
        <f t="shared" si="4"/>
        <v>75</v>
      </c>
      <c r="G79">
        <v>2.109610802223987</v>
      </c>
    </row>
    <row r="80" spans="1:7" ht="12.75">
      <c r="A80">
        <v>12479</v>
      </c>
      <c r="B80">
        <v>0.02</v>
      </c>
      <c r="C80">
        <v>50</v>
      </c>
      <c r="D80">
        <f t="shared" si="3"/>
        <v>1.0641878355637469</v>
      </c>
      <c r="E80">
        <f t="shared" si="5"/>
        <v>0.926829268292683</v>
      </c>
      <c r="F80">
        <f t="shared" si="4"/>
        <v>76</v>
      </c>
      <c r="G80">
        <v>2.14418341809962</v>
      </c>
    </row>
    <row r="81" spans="1:7" ht="12.75">
      <c r="A81">
        <v>12052</v>
      </c>
      <c r="B81">
        <v>0.02</v>
      </c>
      <c r="C81">
        <v>50</v>
      </c>
      <c r="D81">
        <f t="shared" si="3"/>
        <v>1.1018918021905078</v>
      </c>
      <c r="E81">
        <f t="shared" si="5"/>
        <v>0.9390243902439024</v>
      </c>
      <c r="F81">
        <f t="shared" si="4"/>
        <v>77</v>
      </c>
      <c r="G81">
        <v>2.1600520494469744</v>
      </c>
    </row>
    <row r="82" spans="1:7" ht="12.75">
      <c r="A82">
        <v>12639</v>
      </c>
      <c r="B82">
        <v>0.02</v>
      </c>
      <c r="C82">
        <v>50</v>
      </c>
      <c r="D82">
        <f t="shared" si="3"/>
        <v>1.0507160376612072</v>
      </c>
      <c r="E82">
        <f t="shared" si="5"/>
        <v>0.9512195121951219</v>
      </c>
      <c r="F82">
        <f t="shared" si="4"/>
        <v>78</v>
      </c>
      <c r="G82">
        <v>2.190876845665264</v>
      </c>
    </row>
    <row r="83" spans="1:7" ht="12.75">
      <c r="A83">
        <v>12296</v>
      </c>
      <c r="B83">
        <v>0.04</v>
      </c>
      <c r="C83">
        <v>50</v>
      </c>
      <c r="D83">
        <f t="shared" si="3"/>
        <v>2.1600520494469744</v>
      </c>
      <c r="E83">
        <f t="shared" si="5"/>
        <v>0.9634146341463414</v>
      </c>
      <c r="F83">
        <f t="shared" si="4"/>
        <v>79</v>
      </c>
      <c r="G83">
        <v>2.6035131744040143</v>
      </c>
    </row>
    <row r="84" spans="1:7" ht="12.75">
      <c r="A84">
        <v>12213</v>
      </c>
      <c r="B84">
        <v>0.02</v>
      </c>
      <c r="C84">
        <v>50</v>
      </c>
      <c r="D84">
        <f t="shared" si="3"/>
        <v>1.0873659215589944</v>
      </c>
      <c r="E84">
        <f t="shared" si="5"/>
        <v>0.975609756097561</v>
      </c>
      <c r="F84">
        <f t="shared" si="4"/>
        <v>80</v>
      </c>
      <c r="G84">
        <v>2.636804066396632</v>
      </c>
    </row>
    <row r="85" spans="1:7" ht="12.75">
      <c r="A85">
        <v>12686</v>
      </c>
      <c r="B85">
        <v>0.02</v>
      </c>
      <c r="C85">
        <v>50</v>
      </c>
      <c r="D85">
        <f t="shared" si="3"/>
        <v>1.0468232697461768</v>
      </c>
      <c r="E85">
        <f t="shared" si="5"/>
        <v>0.9878048780487805</v>
      </c>
      <c r="F85">
        <f t="shared" si="4"/>
        <v>81</v>
      </c>
      <c r="G85">
        <v>3.3445265278710536</v>
      </c>
    </row>
    <row r="86" spans="1:7" ht="12.75">
      <c r="A86">
        <v>11981</v>
      </c>
      <c r="B86">
        <v>0.02</v>
      </c>
      <c r="C86">
        <v>50</v>
      </c>
      <c r="D86">
        <f t="shared" si="3"/>
        <v>1.1084216676404306</v>
      </c>
      <c r="E86">
        <f t="shared" si="5"/>
        <v>1</v>
      </c>
      <c r="F86">
        <f t="shared" si="4"/>
        <v>82</v>
      </c>
      <c r="G86">
        <v>4.222575516693163</v>
      </c>
    </row>
  </sheetData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1" sqref="M2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workbookViewId="0" topLeftCell="D5">
      <selection activeCell="L19" sqref="L19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81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0.358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9802</v>
      </c>
      <c r="B5">
        <v>0.04</v>
      </c>
      <c r="C5">
        <v>100</v>
      </c>
      <c r="D5">
        <f aca="true" t="shared" si="0" ref="D5:D50">1000000*B5*$B$3*EXP(-$A$3*C5)/A5</f>
        <v>1.4609263415629463</v>
      </c>
      <c r="E5">
        <f aca="true" t="shared" si="1" ref="E5:E68">F5/MAX(Cholla_index)</f>
        <v>0.012658227848101266</v>
      </c>
      <c r="F5">
        <v>1</v>
      </c>
      <c r="G5">
        <v>0.892990770765777</v>
      </c>
      <c r="I5">
        <f>VLOOKUP(0.975,Cholla_freqtab,3)</f>
        <v>5.566414926699244</v>
      </c>
      <c r="J5">
        <f>VLOOKUP(0.975,Cholla_freqtab,2)</f>
        <v>77</v>
      </c>
      <c r="K5">
        <f>J5/MAX(Cholla_index)</f>
        <v>0.9746835443037974</v>
      </c>
    </row>
    <row r="6" spans="1:11" ht="13.5" thickBot="1">
      <c r="A6">
        <v>10017</v>
      </c>
      <c r="B6">
        <v>0.05</v>
      </c>
      <c r="C6">
        <v>100</v>
      </c>
      <c r="D6">
        <f t="shared" si="0"/>
        <v>1.7869621643206548</v>
      </c>
      <c r="E6">
        <f t="shared" si="1"/>
        <v>0.02531645569620253</v>
      </c>
      <c r="F6">
        <f aca="true" t="shared" si="2" ref="F6:F50">F5+1</f>
        <v>2</v>
      </c>
      <c r="G6">
        <v>0.9207029575653665</v>
      </c>
      <c r="I6">
        <f>VLOOKUP(J6,Cholla_freqindex,2)</f>
        <v>6.2308278037637335</v>
      </c>
      <c r="J6">
        <f>J5+1</f>
        <v>78</v>
      </c>
      <c r="K6">
        <f>J6/MAX(Cholla_index)</f>
        <v>0.9873417721518988</v>
      </c>
    </row>
    <row r="7" spans="1:10" ht="15.75" thickBot="1">
      <c r="A7">
        <v>9856</v>
      </c>
      <c r="B7">
        <v>0.04</v>
      </c>
      <c r="C7">
        <v>100</v>
      </c>
      <c r="D7">
        <f t="shared" si="0"/>
        <v>1.452922077922078</v>
      </c>
      <c r="E7">
        <f t="shared" si="1"/>
        <v>0.0379746835443038</v>
      </c>
      <c r="F7">
        <f t="shared" si="2"/>
        <v>3</v>
      </c>
      <c r="G7">
        <v>0.9249849280854362</v>
      </c>
      <c r="I7" s="46" t="s">
        <v>74</v>
      </c>
      <c r="J7" s="47">
        <f>$I$5+((0.975-$K$5)/($K$6-$K$5))*($I$6-$I$5)</f>
        <v>5.583025248625857</v>
      </c>
    </row>
    <row r="8" spans="1:7" ht="12.75">
      <c r="A8">
        <v>10219</v>
      </c>
      <c r="B8">
        <v>0.03</v>
      </c>
      <c r="C8">
        <v>100</v>
      </c>
      <c r="D8">
        <f t="shared" si="0"/>
        <v>1.0509834621782954</v>
      </c>
      <c r="E8">
        <f t="shared" si="1"/>
        <v>0.05063291139240506</v>
      </c>
      <c r="F8">
        <f t="shared" si="2"/>
        <v>4</v>
      </c>
      <c r="G8">
        <v>0.9305146421763992</v>
      </c>
    </row>
    <row r="9" spans="1:10" ht="12.75">
      <c r="A9">
        <v>9744</v>
      </c>
      <c r="B9">
        <v>0.06</v>
      </c>
      <c r="C9">
        <v>100</v>
      </c>
      <c r="D9">
        <f t="shared" si="0"/>
        <v>2.2044334975369457</v>
      </c>
      <c r="E9">
        <f t="shared" si="1"/>
        <v>0.06329113924050633</v>
      </c>
      <c r="F9">
        <f t="shared" si="2"/>
        <v>5</v>
      </c>
      <c r="G9">
        <v>0.9475077194530216</v>
      </c>
      <c r="I9" s="1" t="s">
        <v>73</v>
      </c>
      <c r="J9" s="48" t="str">
        <f>A1&amp;": 97.5th Percentile = "&amp;TEXT($J$7,"0.0000")&amp;" lb Hg/TBtu"</f>
        <v>Cholla 3: 97.5th Percentile = 5.5830 lb Hg/TBtu</v>
      </c>
    </row>
    <row r="10" spans="1:7" ht="12.75">
      <c r="A10">
        <v>9643</v>
      </c>
      <c r="B10">
        <v>0.04</v>
      </c>
      <c r="C10">
        <v>100</v>
      </c>
      <c r="D10">
        <f t="shared" si="0"/>
        <v>1.4850150368142694</v>
      </c>
      <c r="E10">
        <f t="shared" si="1"/>
        <v>0.0759493670886076</v>
      </c>
      <c r="F10">
        <f t="shared" si="2"/>
        <v>6</v>
      </c>
      <c r="G10">
        <v>1.0509834621782954</v>
      </c>
    </row>
    <row r="11" spans="1:7" ht="12.75">
      <c r="A11">
        <v>9807</v>
      </c>
      <c r="B11">
        <v>0.04</v>
      </c>
      <c r="C11">
        <v>100</v>
      </c>
      <c r="D11">
        <f t="shared" si="0"/>
        <v>1.4601815030080554</v>
      </c>
      <c r="E11">
        <f t="shared" si="1"/>
        <v>0.08860759493670886</v>
      </c>
      <c r="F11">
        <f t="shared" si="2"/>
        <v>7</v>
      </c>
      <c r="G11">
        <v>1.1827868175435698</v>
      </c>
    </row>
    <row r="12" spans="1:13" ht="12.75">
      <c r="A12">
        <v>9420</v>
      </c>
      <c r="B12">
        <v>0.06</v>
      </c>
      <c r="C12">
        <v>100</v>
      </c>
      <c r="D12">
        <f t="shared" si="0"/>
        <v>2.2802547770700636</v>
      </c>
      <c r="E12">
        <f t="shared" si="1"/>
        <v>0.10126582278481013</v>
      </c>
      <c r="F12">
        <f t="shared" si="2"/>
        <v>8</v>
      </c>
      <c r="G12">
        <v>1.2017455521987244</v>
      </c>
      <c r="I12" s="14"/>
      <c r="J12" s="14"/>
      <c r="K12" s="14"/>
      <c r="L12" s="14"/>
      <c r="M12" s="14"/>
    </row>
    <row r="13" spans="1:13" ht="12.75">
      <c r="A13">
        <v>9707</v>
      </c>
      <c r="B13">
        <v>0.09</v>
      </c>
      <c r="C13">
        <v>100</v>
      </c>
      <c r="D13">
        <f t="shared" si="0"/>
        <v>3.3192541464922223</v>
      </c>
      <c r="E13">
        <f t="shared" si="1"/>
        <v>0.11392405063291139</v>
      </c>
      <c r="F13">
        <f t="shared" si="2"/>
        <v>9</v>
      </c>
      <c r="G13">
        <v>1.2135593220338983</v>
      </c>
      <c r="I13" s="14"/>
      <c r="J13" s="14"/>
      <c r="K13" s="14"/>
      <c r="L13" s="14"/>
      <c r="M13" s="14"/>
    </row>
    <row r="14" spans="1:13" ht="15">
      <c r="A14">
        <v>10077</v>
      </c>
      <c r="B14">
        <v>0.13</v>
      </c>
      <c r="C14">
        <v>100</v>
      </c>
      <c r="D14">
        <f t="shared" si="0"/>
        <v>4.618438027190632</v>
      </c>
      <c r="E14">
        <f t="shared" si="1"/>
        <v>0.12658227848101267</v>
      </c>
      <c r="F14">
        <f t="shared" si="2"/>
        <v>10</v>
      </c>
      <c r="G14">
        <v>1.2219472651250107</v>
      </c>
      <c r="I14" s="49"/>
      <c r="J14" s="50"/>
      <c r="K14" s="14"/>
      <c r="L14" s="14"/>
      <c r="M14" s="14"/>
    </row>
    <row r="15" spans="1:13" ht="12.75">
      <c r="A15">
        <v>10100</v>
      </c>
      <c r="B15">
        <v>0.08</v>
      </c>
      <c r="C15">
        <v>100</v>
      </c>
      <c r="D15">
        <f t="shared" si="0"/>
        <v>2.8356435643564355</v>
      </c>
      <c r="E15">
        <f t="shared" si="1"/>
        <v>0.13924050632911392</v>
      </c>
      <c r="F15">
        <f t="shared" si="2"/>
        <v>11</v>
      </c>
      <c r="G15">
        <v>1.2235133287764868</v>
      </c>
      <c r="I15" s="14"/>
      <c r="J15" s="14"/>
      <c r="K15" s="14"/>
      <c r="L15" s="14"/>
      <c r="M15" s="14"/>
    </row>
    <row r="16" spans="1:13" ht="12.75">
      <c r="A16">
        <v>9665</v>
      </c>
      <c r="B16">
        <v>0.07</v>
      </c>
      <c r="C16">
        <v>100</v>
      </c>
      <c r="D16">
        <f t="shared" si="0"/>
        <v>2.5928608380755302</v>
      </c>
      <c r="E16">
        <f t="shared" si="1"/>
        <v>0.1518987341772152</v>
      </c>
      <c r="F16">
        <f t="shared" si="2"/>
        <v>12</v>
      </c>
      <c r="G16">
        <v>1.231404248000688</v>
      </c>
      <c r="I16" s="51"/>
      <c r="J16" s="52"/>
      <c r="K16" s="14"/>
      <c r="L16" s="14"/>
      <c r="M16" s="14"/>
    </row>
    <row r="17" spans="1:13" ht="12.75">
      <c r="A17">
        <v>9541</v>
      </c>
      <c r="B17">
        <v>0.06</v>
      </c>
      <c r="C17">
        <v>100</v>
      </c>
      <c r="D17">
        <f t="shared" si="0"/>
        <v>2.251336337910072</v>
      </c>
      <c r="E17">
        <f t="shared" si="1"/>
        <v>0.16455696202531644</v>
      </c>
      <c r="F17">
        <f t="shared" si="2"/>
        <v>13</v>
      </c>
      <c r="G17">
        <v>1.231722002408395</v>
      </c>
      <c r="I17" s="14"/>
      <c r="J17" s="14"/>
      <c r="K17" s="14"/>
      <c r="L17" s="14"/>
      <c r="M17" s="14"/>
    </row>
    <row r="18" spans="1:13" ht="12.75">
      <c r="A18">
        <v>10075</v>
      </c>
      <c r="B18">
        <v>0.05</v>
      </c>
      <c r="C18">
        <v>100</v>
      </c>
      <c r="D18">
        <f t="shared" si="0"/>
        <v>1.7766749379652604</v>
      </c>
      <c r="E18">
        <f t="shared" si="1"/>
        <v>0.17721518987341772</v>
      </c>
      <c r="F18">
        <f t="shared" si="2"/>
        <v>14</v>
      </c>
      <c r="G18">
        <v>1.2376836646499567</v>
      </c>
      <c r="I18" s="14"/>
      <c r="J18" s="14"/>
      <c r="K18" s="14"/>
      <c r="L18" s="14"/>
      <c r="M18" s="14"/>
    </row>
    <row r="19" spans="1:13" ht="12.75">
      <c r="A19">
        <v>9240</v>
      </c>
      <c r="B19">
        <v>0.04</v>
      </c>
      <c r="C19">
        <v>100</v>
      </c>
      <c r="D19">
        <f t="shared" si="0"/>
        <v>1.5497835497835497</v>
      </c>
      <c r="E19">
        <f t="shared" si="1"/>
        <v>0.189873417721519</v>
      </c>
      <c r="F19">
        <f t="shared" si="2"/>
        <v>15</v>
      </c>
      <c r="G19">
        <v>1.2381117067266125</v>
      </c>
      <c r="I19" s="14"/>
      <c r="J19" s="14"/>
      <c r="K19" s="14"/>
      <c r="L19" s="14"/>
      <c r="M19" s="14"/>
    </row>
    <row r="20" spans="1:13" ht="12.75">
      <c r="A20">
        <v>9586</v>
      </c>
      <c r="B20">
        <v>0.04</v>
      </c>
      <c r="C20">
        <v>100</v>
      </c>
      <c r="D20">
        <f t="shared" si="0"/>
        <v>1.4938451909034007</v>
      </c>
      <c r="E20">
        <f t="shared" si="1"/>
        <v>0.20253164556962025</v>
      </c>
      <c r="F20">
        <f t="shared" si="2"/>
        <v>16</v>
      </c>
      <c r="G20">
        <v>1.2405787057090878</v>
      </c>
      <c r="I20" s="14"/>
      <c r="J20" s="14"/>
      <c r="K20" s="14"/>
      <c r="L20" s="14"/>
      <c r="M20" s="14"/>
    </row>
    <row r="21" spans="1:13" ht="15">
      <c r="A21">
        <v>9667</v>
      </c>
      <c r="B21">
        <v>0.05</v>
      </c>
      <c r="C21">
        <v>100</v>
      </c>
      <c r="D21">
        <f t="shared" si="0"/>
        <v>1.8516602875762904</v>
      </c>
      <c r="E21">
        <f t="shared" si="1"/>
        <v>0.21518987341772153</v>
      </c>
      <c r="F21">
        <f t="shared" si="2"/>
        <v>17</v>
      </c>
      <c r="G21">
        <v>1.2430555555555556</v>
      </c>
      <c r="I21" s="49"/>
      <c r="J21" s="50"/>
      <c r="K21" s="14"/>
      <c r="L21" s="14"/>
      <c r="M21" s="14"/>
    </row>
    <row r="22" spans="1:13" ht="12.75">
      <c r="A22">
        <v>9644</v>
      </c>
      <c r="B22">
        <v>0.13</v>
      </c>
      <c r="C22">
        <v>100</v>
      </c>
      <c r="D22">
        <f t="shared" si="0"/>
        <v>4.825798423890502</v>
      </c>
      <c r="E22">
        <f t="shared" si="1"/>
        <v>0.22784810126582278</v>
      </c>
      <c r="F22">
        <f t="shared" si="2"/>
        <v>18</v>
      </c>
      <c r="G22">
        <v>1.2454339885197425</v>
      </c>
      <c r="I22" s="14"/>
      <c r="J22" s="14"/>
      <c r="K22" s="14"/>
      <c r="L22" s="14"/>
      <c r="M22" s="14"/>
    </row>
    <row r="23" spans="1:13" ht="12.75">
      <c r="A23">
        <v>11542</v>
      </c>
      <c r="B23">
        <v>0.03</v>
      </c>
      <c r="C23">
        <v>100</v>
      </c>
      <c r="D23">
        <f t="shared" si="0"/>
        <v>0.9305146421763992</v>
      </c>
      <c r="E23">
        <f t="shared" si="1"/>
        <v>0.24050632911392406</v>
      </c>
      <c r="F23">
        <f t="shared" si="2"/>
        <v>19</v>
      </c>
      <c r="G23">
        <v>1.2530626531326565</v>
      </c>
      <c r="I23" s="51"/>
      <c r="J23" s="52"/>
      <c r="K23" s="14"/>
      <c r="L23" s="14"/>
      <c r="M23" s="14"/>
    </row>
    <row r="24" spans="1:13" ht="12.75">
      <c r="A24">
        <v>11520</v>
      </c>
      <c r="B24">
        <v>0.04</v>
      </c>
      <c r="C24">
        <v>100</v>
      </c>
      <c r="D24">
        <f t="shared" si="0"/>
        <v>1.2430555555555556</v>
      </c>
      <c r="E24">
        <f t="shared" si="1"/>
        <v>0.25316455696202533</v>
      </c>
      <c r="F24">
        <f t="shared" si="2"/>
        <v>20</v>
      </c>
      <c r="G24">
        <v>1.2536111354285213</v>
      </c>
      <c r="I24" s="14"/>
      <c r="J24" s="14"/>
      <c r="K24" s="14"/>
      <c r="L24" s="14"/>
      <c r="M24" s="14"/>
    </row>
    <row r="25" spans="1:13" ht="12.75">
      <c r="A25">
        <v>9193</v>
      </c>
      <c r="B25">
        <v>0.16</v>
      </c>
      <c r="C25">
        <v>100</v>
      </c>
      <c r="D25">
        <f t="shared" si="0"/>
        <v>6.2308278037637335</v>
      </c>
      <c r="E25">
        <f t="shared" si="1"/>
        <v>0.26582278481012656</v>
      </c>
      <c r="F25">
        <f t="shared" si="2"/>
        <v>21</v>
      </c>
      <c r="G25">
        <v>1.25514944342186</v>
      </c>
      <c r="I25" s="14"/>
      <c r="J25" s="14"/>
      <c r="K25" s="14"/>
      <c r="L25" s="14"/>
      <c r="M25" s="14"/>
    </row>
    <row r="26" spans="1:7" ht="12.75">
      <c r="A26">
        <v>10956</v>
      </c>
      <c r="B26">
        <v>0.06</v>
      </c>
      <c r="C26">
        <v>100</v>
      </c>
      <c r="D26">
        <f t="shared" si="0"/>
        <v>1.9605695509309966</v>
      </c>
      <c r="E26">
        <f t="shared" si="1"/>
        <v>0.27848101265822783</v>
      </c>
      <c r="F26">
        <f t="shared" si="2"/>
        <v>22</v>
      </c>
      <c r="G26">
        <v>1.2566915313734095</v>
      </c>
    </row>
    <row r="27" spans="1:7" ht="12.75">
      <c r="A27">
        <v>11425</v>
      </c>
      <c r="B27">
        <v>0.06</v>
      </c>
      <c r="C27">
        <v>100</v>
      </c>
      <c r="D27">
        <f t="shared" si="0"/>
        <v>1.8800875273522977</v>
      </c>
      <c r="E27">
        <f t="shared" si="1"/>
        <v>0.2911392405063291</v>
      </c>
      <c r="F27">
        <f t="shared" si="2"/>
        <v>23</v>
      </c>
      <c r="G27">
        <v>1.2673687936985574</v>
      </c>
    </row>
    <row r="28" spans="1:7" ht="12.75">
      <c r="A28">
        <v>9214</v>
      </c>
      <c r="B28">
        <v>0.17</v>
      </c>
      <c r="C28">
        <v>100</v>
      </c>
      <c r="D28">
        <f t="shared" si="0"/>
        <v>6.605166051660516</v>
      </c>
      <c r="E28">
        <f t="shared" si="1"/>
        <v>0.3037974683544304</v>
      </c>
      <c r="F28">
        <f t="shared" si="2"/>
        <v>24</v>
      </c>
      <c r="G28">
        <v>1.269166001949836</v>
      </c>
    </row>
    <row r="29" spans="1:7" ht="12.75">
      <c r="A29">
        <v>9031</v>
      </c>
      <c r="B29">
        <v>0.06</v>
      </c>
      <c r="C29">
        <v>100</v>
      </c>
      <c r="D29">
        <f t="shared" si="0"/>
        <v>2.3784741446129996</v>
      </c>
      <c r="E29">
        <f t="shared" si="1"/>
        <v>0.31645569620253167</v>
      </c>
      <c r="F29">
        <f t="shared" si="2"/>
        <v>25</v>
      </c>
      <c r="G29">
        <v>1.2695035460992907</v>
      </c>
    </row>
    <row r="30" spans="1:7" ht="12.75">
      <c r="A30">
        <v>11498</v>
      </c>
      <c r="B30">
        <v>0.04</v>
      </c>
      <c r="C30">
        <v>100</v>
      </c>
      <c r="D30">
        <f t="shared" si="0"/>
        <v>1.2454339885197425</v>
      </c>
      <c r="E30">
        <f t="shared" si="1"/>
        <v>0.3291139240506329</v>
      </c>
      <c r="F30">
        <f t="shared" si="2"/>
        <v>26</v>
      </c>
      <c r="G30">
        <v>1.2774308652988404</v>
      </c>
    </row>
    <row r="31" spans="1:7" ht="12.75">
      <c r="A31">
        <v>9058</v>
      </c>
      <c r="B31">
        <v>0.06</v>
      </c>
      <c r="C31">
        <v>100</v>
      </c>
      <c r="D31">
        <f t="shared" si="0"/>
        <v>2.371384411569883</v>
      </c>
      <c r="E31">
        <f t="shared" si="1"/>
        <v>0.34177215189873417</v>
      </c>
      <c r="F31">
        <f t="shared" si="2"/>
        <v>27</v>
      </c>
      <c r="G31">
        <v>1.278913994820041</v>
      </c>
    </row>
    <row r="32" spans="1:7" ht="12.75">
      <c r="A32">
        <v>9004</v>
      </c>
      <c r="B32">
        <v>0.12</v>
      </c>
      <c r="C32">
        <v>100</v>
      </c>
      <c r="D32">
        <f t="shared" si="0"/>
        <v>4.771212794313638</v>
      </c>
      <c r="E32">
        <f t="shared" si="1"/>
        <v>0.35443037974683544</v>
      </c>
      <c r="F32">
        <f t="shared" si="2"/>
        <v>28</v>
      </c>
      <c r="G32">
        <v>1.2976891708201177</v>
      </c>
    </row>
    <row r="33" spans="1:7" ht="12.75">
      <c r="A33">
        <v>11283</v>
      </c>
      <c r="B33">
        <v>0.04</v>
      </c>
      <c r="C33">
        <v>100</v>
      </c>
      <c r="D33">
        <f t="shared" si="0"/>
        <v>1.269166001949836</v>
      </c>
      <c r="E33">
        <f t="shared" si="1"/>
        <v>0.3670886075949367</v>
      </c>
      <c r="F33">
        <f t="shared" si="2"/>
        <v>29</v>
      </c>
      <c r="G33">
        <v>1.3135204549623922</v>
      </c>
    </row>
    <row r="34" spans="1:7" ht="12.75">
      <c r="A34">
        <v>12027</v>
      </c>
      <c r="B34">
        <v>0.03</v>
      </c>
      <c r="C34">
        <v>100</v>
      </c>
      <c r="D34">
        <f t="shared" si="0"/>
        <v>0.892990770765777</v>
      </c>
      <c r="E34">
        <f t="shared" si="1"/>
        <v>0.379746835443038</v>
      </c>
      <c r="F34">
        <f t="shared" si="2"/>
        <v>30</v>
      </c>
      <c r="G34">
        <v>1.3906963193163058</v>
      </c>
    </row>
    <row r="35" spans="1:7" ht="12.75">
      <c r="A35">
        <v>12239</v>
      </c>
      <c r="B35">
        <v>0.05</v>
      </c>
      <c r="C35">
        <v>100</v>
      </c>
      <c r="D35">
        <f t="shared" si="0"/>
        <v>1.462537789035052</v>
      </c>
      <c r="E35">
        <f t="shared" si="1"/>
        <v>0.3924050632911392</v>
      </c>
      <c r="F35">
        <f t="shared" si="2"/>
        <v>31</v>
      </c>
      <c r="G35">
        <v>1.452922077922078</v>
      </c>
    </row>
    <row r="36" spans="1:7" ht="12.75">
      <c r="A36">
        <v>11299</v>
      </c>
      <c r="B36">
        <v>0.04</v>
      </c>
      <c r="C36">
        <v>100</v>
      </c>
      <c r="D36">
        <f t="shared" si="0"/>
        <v>1.2673687936985574</v>
      </c>
      <c r="E36">
        <f t="shared" si="1"/>
        <v>0.4050632911392405</v>
      </c>
      <c r="F36">
        <f t="shared" si="2"/>
        <v>32</v>
      </c>
      <c r="G36">
        <v>1.4601815030080554</v>
      </c>
    </row>
    <row r="37" spans="1:7" ht="12.75">
      <c r="A37">
        <v>11665</v>
      </c>
      <c r="B37">
        <v>0.03</v>
      </c>
      <c r="C37">
        <v>100</v>
      </c>
      <c r="D37">
        <f t="shared" si="0"/>
        <v>0.9207029575653665</v>
      </c>
      <c r="E37">
        <f t="shared" si="1"/>
        <v>0.4177215189873418</v>
      </c>
      <c r="F37">
        <f t="shared" si="2"/>
        <v>33</v>
      </c>
      <c r="G37">
        <v>1.4609263415629463</v>
      </c>
    </row>
    <row r="38" spans="1:7" ht="12.75">
      <c r="A38">
        <v>11410</v>
      </c>
      <c r="B38">
        <v>0.05</v>
      </c>
      <c r="C38">
        <v>100</v>
      </c>
      <c r="D38">
        <f t="shared" si="0"/>
        <v>1.5687992988606485</v>
      </c>
      <c r="E38">
        <f t="shared" si="1"/>
        <v>0.43037974683544306</v>
      </c>
      <c r="F38">
        <f t="shared" si="2"/>
        <v>34</v>
      </c>
      <c r="G38">
        <v>1.462537789035052</v>
      </c>
    </row>
    <row r="39" spans="1:7" ht="12.75">
      <c r="A39">
        <v>11035</v>
      </c>
      <c r="B39">
        <v>0.04</v>
      </c>
      <c r="C39">
        <v>100</v>
      </c>
      <c r="D39">
        <f t="shared" si="0"/>
        <v>1.2976891708201177</v>
      </c>
      <c r="E39">
        <f t="shared" si="1"/>
        <v>0.4430379746835443</v>
      </c>
      <c r="F39">
        <f t="shared" si="2"/>
        <v>35</v>
      </c>
      <c r="G39">
        <v>1.4850150368142694</v>
      </c>
    </row>
    <row r="40" spans="1:7" ht="12.75">
      <c r="A40">
        <v>10297</v>
      </c>
      <c r="B40">
        <v>0.04</v>
      </c>
      <c r="C40">
        <v>100</v>
      </c>
      <c r="D40">
        <f t="shared" si="0"/>
        <v>1.3906963193163058</v>
      </c>
      <c r="E40">
        <f t="shared" si="1"/>
        <v>0.45569620253164556</v>
      </c>
      <c r="F40">
        <f t="shared" si="2"/>
        <v>36</v>
      </c>
      <c r="G40">
        <v>1.4938451909034007</v>
      </c>
    </row>
    <row r="41" spans="1:7" ht="12.75">
      <c r="A41">
        <v>11210</v>
      </c>
      <c r="B41">
        <v>0.04</v>
      </c>
      <c r="C41">
        <v>100</v>
      </c>
      <c r="D41">
        <f t="shared" si="0"/>
        <v>1.2774308652988404</v>
      </c>
      <c r="E41">
        <f t="shared" si="1"/>
        <v>0.46835443037974683</v>
      </c>
      <c r="F41">
        <f t="shared" si="2"/>
        <v>37</v>
      </c>
      <c r="G41">
        <v>1.5096567428523235</v>
      </c>
    </row>
    <row r="42" spans="1:7" ht="12.75">
      <c r="A42">
        <v>11106</v>
      </c>
      <c r="B42">
        <v>0.06</v>
      </c>
      <c r="C42">
        <v>100</v>
      </c>
      <c r="D42">
        <f t="shared" si="0"/>
        <v>1.9340896812533765</v>
      </c>
      <c r="E42">
        <f t="shared" si="1"/>
        <v>0.4810126582278481</v>
      </c>
      <c r="F42">
        <f t="shared" si="2"/>
        <v>38</v>
      </c>
      <c r="G42">
        <v>1.5360851282931434</v>
      </c>
    </row>
    <row r="43" spans="1:7" ht="12.75">
      <c r="A43">
        <v>11423</v>
      </c>
      <c r="B43">
        <v>0.04</v>
      </c>
      <c r="C43">
        <v>100</v>
      </c>
      <c r="D43">
        <f t="shared" si="0"/>
        <v>1.2536111354285213</v>
      </c>
      <c r="E43">
        <f t="shared" si="1"/>
        <v>0.4936708860759494</v>
      </c>
      <c r="F43">
        <f t="shared" si="2"/>
        <v>39</v>
      </c>
      <c r="G43">
        <v>1.5424386040499785</v>
      </c>
    </row>
    <row r="44" spans="1:7" ht="12.75">
      <c r="A44">
        <v>11629</v>
      </c>
      <c r="B44">
        <v>0.04</v>
      </c>
      <c r="C44">
        <v>100</v>
      </c>
      <c r="D44">
        <f t="shared" si="0"/>
        <v>1.231404248000688</v>
      </c>
      <c r="E44">
        <f t="shared" si="1"/>
        <v>0.5063291139240507</v>
      </c>
      <c r="F44">
        <f t="shared" si="2"/>
        <v>40</v>
      </c>
      <c r="G44">
        <v>1.5435026299905148</v>
      </c>
    </row>
    <row r="45" spans="1:7" ht="12.75">
      <c r="A45">
        <v>9193</v>
      </c>
      <c r="B45">
        <v>0.14</v>
      </c>
      <c r="C45">
        <v>100</v>
      </c>
      <c r="D45">
        <f t="shared" si="0"/>
        <v>5.451974328293266</v>
      </c>
      <c r="E45">
        <f t="shared" si="1"/>
        <v>0.5189873417721519</v>
      </c>
      <c r="F45">
        <f t="shared" si="2"/>
        <v>41</v>
      </c>
      <c r="G45">
        <v>1.54430161332068</v>
      </c>
    </row>
    <row r="46" spans="1:7" ht="12.75">
      <c r="A46">
        <v>9644</v>
      </c>
      <c r="B46">
        <v>0.05</v>
      </c>
      <c r="C46">
        <v>100</v>
      </c>
      <c r="D46">
        <f t="shared" si="0"/>
        <v>1.8560763168809622</v>
      </c>
      <c r="E46">
        <f t="shared" si="1"/>
        <v>0.5316455696202531</v>
      </c>
      <c r="F46">
        <f t="shared" si="2"/>
        <v>42</v>
      </c>
      <c r="G46">
        <v>1.5497835497835497</v>
      </c>
    </row>
    <row r="47" spans="1:7" ht="12.75">
      <c r="A47">
        <v>11591</v>
      </c>
      <c r="B47">
        <v>0.05</v>
      </c>
      <c r="C47">
        <v>100</v>
      </c>
      <c r="D47">
        <f t="shared" si="0"/>
        <v>1.54430161332068</v>
      </c>
      <c r="E47">
        <f t="shared" si="1"/>
        <v>0.5443037974683544</v>
      </c>
      <c r="F47">
        <f t="shared" si="2"/>
        <v>43</v>
      </c>
      <c r="G47">
        <v>1.5541567180377687</v>
      </c>
    </row>
    <row r="48" spans="1:7" ht="12.75">
      <c r="A48">
        <v>11192</v>
      </c>
      <c r="B48">
        <v>0.12</v>
      </c>
      <c r="C48">
        <v>100</v>
      </c>
      <c r="D48">
        <f t="shared" si="0"/>
        <v>3.838456040028592</v>
      </c>
      <c r="E48">
        <f t="shared" si="1"/>
        <v>0.5569620253164557</v>
      </c>
      <c r="F48">
        <f t="shared" si="2"/>
        <v>44</v>
      </c>
      <c r="G48">
        <v>1.5567924856496782</v>
      </c>
    </row>
    <row r="49" spans="1:7" ht="12.75">
      <c r="A49">
        <v>9031</v>
      </c>
      <c r="B49">
        <v>0.04</v>
      </c>
      <c r="C49">
        <v>100</v>
      </c>
      <c r="D49">
        <f t="shared" si="0"/>
        <v>1.5856494297419998</v>
      </c>
      <c r="E49">
        <f t="shared" si="1"/>
        <v>0.569620253164557</v>
      </c>
      <c r="F49">
        <f t="shared" si="2"/>
        <v>45</v>
      </c>
      <c r="G49">
        <v>1.5612734409071085</v>
      </c>
    </row>
    <row r="50" spans="1:7" ht="12.75">
      <c r="A50">
        <v>9004</v>
      </c>
      <c r="B50">
        <v>0.14</v>
      </c>
      <c r="C50">
        <v>100</v>
      </c>
      <c r="D50">
        <f t="shared" si="0"/>
        <v>5.566414926699244</v>
      </c>
      <c r="E50">
        <f t="shared" si="1"/>
        <v>0.5822784810126582</v>
      </c>
      <c r="F50">
        <f t="shared" si="2"/>
        <v>46</v>
      </c>
      <c r="G50">
        <v>1.5687992988606485</v>
      </c>
    </row>
    <row r="51" spans="1:7" ht="12.75">
      <c r="A51">
        <v>9058</v>
      </c>
      <c r="B51">
        <v>0.08</v>
      </c>
      <c r="C51">
        <v>100</v>
      </c>
      <c r="D51">
        <f>1000000*B51*$B$3*EXP(-$A$3*C51)/A51</f>
        <v>3.161845882093177</v>
      </c>
      <c r="E51">
        <f t="shared" si="1"/>
        <v>0.5949367088607594</v>
      </c>
      <c r="F51">
        <f>F50+1</f>
        <v>47</v>
      </c>
      <c r="G51">
        <v>1.5856494297419998</v>
      </c>
    </row>
    <row r="52" spans="1:7" ht="12.75">
      <c r="A52">
        <v>9214</v>
      </c>
      <c r="B52">
        <v>0.04</v>
      </c>
      <c r="C52">
        <v>100</v>
      </c>
      <c r="D52">
        <f>1000000*B52*$B$3*EXP(-$A$3*C52)/A52</f>
        <v>1.5541567180377687</v>
      </c>
      <c r="E52">
        <f t="shared" si="1"/>
        <v>0.6075949367088608</v>
      </c>
      <c r="F52">
        <f>F51+1</f>
        <v>48</v>
      </c>
      <c r="G52">
        <v>1.6537324464153733</v>
      </c>
    </row>
    <row r="53" spans="1:7" ht="12.75">
      <c r="A53">
        <v>11075</v>
      </c>
      <c r="B53">
        <v>0.11</v>
      </c>
      <c r="C53">
        <v>100</v>
      </c>
      <c r="D53">
        <f>1000000*B53*$B$3*EXP(-$A$3*C53)/A53</f>
        <v>3.5557562076749436</v>
      </c>
      <c r="E53">
        <f t="shared" si="1"/>
        <v>0.620253164556962</v>
      </c>
      <c r="F53">
        <f>F52+1</f>
        <v>49</v>
      </c>
      <c r="G53">
        <v>1.7143951728761613</v>
      </c>
    </row>
    <row r="54" spans="1:7" ht="12.75">
      <c r="A54">
        <v>10441</v>
      </c>
      <c r="B54">
        <v>0.05</v>
      </c>
      <c r="C54">
        <v>100</v>
      </c>
      <c r="D54">
        <f aca="true" t="shared" si="3" ref="D54:D83">1000000*B54*$B$3*EXP(-$A$3*C54)/A54</f>
        <v>1.7143951728761613</v>
      </c>
      <c r="E54">
        <f t="shared" si="1"/>
        <v>0.6329113924050633</v>
      </c>
      <c r="F54">
        <f aca="true" t="shared" si="4" ref="F54:F83">F53+1</f>
        <v>50</v>
      </c>
      <c r="G54">
        <v>1.7766749379652604</v>
      </c>
    </row>
    <row r="55" spans="1:7" ht="12.75">
      <c r="A55">
        <v>10721</v>
      </c>
      <c r="B55">
        <v>0.08</v>
      </c>
      <c r="C55">
        <v>100</v>
      </c>
      <c r="D55">
        <f t="shared" si="3"/>
        <v>2.6713925939744425</v>
      </c>
      <c r="E55">
        <f t="shared" si="1"/>
        <v>0.6455696202531646</v>
      </c>
      <c r="F55">
        <f t="shared" si="4"/>
        <v>51</v>
      </c>
      <c r="G55">
        <v>1.7869621643206548</v>
      </c>
    </row>
    <row r="56" spans="1:7" ht="12.75">
      <c r="A56">
        <v>11626</v>
      </c>
      <c r="B56">
        <v>0.04</v>
      </c>
      <c r="C56">
        <v>100</v>
      </c>
      <c r="D56">
        <f t="shared" si="3"/>
        <v>1.231722002408395</v>
      </c>
      <c r="E56">
        <f t="shared" si="1"/>
        <v>0.6582278481012658</v>
      </c>
      <c r="F56">
        <f t="shared" si="4"/>
        <v>52</v>
      </c>
      <c r="G56">
        <v>1.8516602875762904</v>
      </c>
    </row>
    <row r="57" spans="1:7" ht="12.75">
      <c r="A57">
        <v>11498</v>
      </c>
      <c r="B57">
        <v>0.05</v>
      </c>
      <c r="C57">
        <v>100</v>
      </c>
      <c r="D57">
        <f t="shared" si="3"/>
        <v>1.5567924856496782</v>
      </c>
      <c r="E57">
        <f t="shared" si="1"/>
        <v>0.6708860759493671</v>
      </c>
      <c r="F57">
        <f t="shared" si="4"/>
        <v>53</v>
      </c>
      <c r="G57">
        <v>1.8560763168809622</v>
      </c>
    </row>
    <row r="58" spans="1:7" ht="12.75">
      <c r="A58">
        <v>11605</v>
      </c>
      <c r="B58">
        <v>0.05</v>
      </c>
      <c r="C58">
        <v>100</v>
      </c>
      <c r="D58">
        <f t="shared" si="3"/>
        <v>1.5424386040499785</v>
      </c>
      <c r="E58">
        <f t="shared" si="1"/>
        <v>0.6835443037974683</v>
      </c>
      <c r="F58">
        <f t="shared" si="4"/>
        <v>54</v>
      </c>
      <c r="G58">
        <v>1.8800875273522977</v>
      </c>
    </row>
    <row r="59" spans="1:7" ht="12.75">
      <c r="A59">
        <v>11857</v>
      </c>
      <c r="B59">
        <v>0.05</v>
      </c>
      <c r="C59">
        <v>100</v>
      </c>
      <c r="D59">
        <f t="shared" si="3"/>
        <v>1.5096567428523235</v>
      </c>
      <c r="E59">
        <f t="shared" si="1"/>
        <v>0.6962025316455697</v>
      </c>
      <c r="F59">
        <f t="shared" si="4"/>
        <v>55</v>
      </c>
      <c r="G59">
        <v>1.8878537528563895</v>
      </c>
    </row>
    <row r="60" spans="1:7" ht="12.75">
      <c r="A60">
        <v>12107</v>
      </c>
      <c r="B60">
        <v>0.04</v>
      </c>
      <c r="C60">
        <v>100</v>
      </c>
      <c r="D60">
        <f t="shared" si="3"/>
        <v>1.1827868175435698</v>
      </c>
      <c r="E60">
        <f t="shared" si="1"/>
        <v>0.7088607594936709</v>
      </c>
      <c r="F60">
        <f t="shared" si="4"/>
        <v>56</v>
      </c>
      <c r="G60">
        <v>1.9340896812533765</v>
      </c>
    </row>
    <row r="61" spans="1:7" ht="12.75">
      <c r="A61">
        <v>11800</v>
      </c>
      <c r="B61">
        <v>0.04</v>
      </c>
      <c r="C61">
        <v>100</v>
      </c>
      <c r="D61">
        <f t="shared" si="3"/>
        <v>1.2135593220338983</v>
      </c>
      <c r="E61">
        <f t="shared" si="1"/>
        <v>0.7215189873417721</v>
      </c>
      <c r="F61">
        <f t="shared" si="4"/>
        <v>57</v>
      </c>
      <c r="G61">
        <v>1.9605695509309966</v>
      </c>
    </row>
    <row r="62" spans="1:7" ht="12.75">
      <c r="A62">
        <v>11409</v>
      </c>
      <c r="B62">
        <v>0.04</v>
      </c>
      <c r="C62">
        <v>100</v>
      </c>
      <c r="D62">
        <f t="shared" si="3"/>
        <v>1.25514944342186</v>
      </c>
      <c r="E62">
        <f t="shared" si="1"/>
        <v>0.7341772151898734</v>
      </c>
      <c r="F62">
        <f t="shared" si="4"/>
        <v>58</v>
      </c>
      <c r="G62">
        <v>2.1411483253588517</v>
      </c>
    </row>
    <row r="63" spans="1:7" ht="12.75">
      <c r="A63">
        <v>11378</v>
      </c>
      <c r="B63">
        <v>0.06</v>
      </c>
      <c r="C63">
        <v>100</v>
      </c>
      <c r="D63">
        <f t="shared" si="3"/>
        <v>1.8878537528563895</v>
      </c>
      <c r="E63">
        <f t="shared" si="1"/>
        <v>0.7468354430379747</v>
      </c>
      <c r="F63">
        <f t="shared" si="4"/>
        <v>59</v>
      </c>
      <c r="G63">
        <v>2.2044334975369457</v>
      </c>
    </row>
    <row r="64" spans="1:7" ht="12.75">
      <c r="A64">
        <v>11704</v>
      </c>
      <c r="B64">
        <v>0.04</v>
      </c>
      <c r="C64">
        <v>100</v>
      </c>
      <c r="D64">
        <f t="shared" si="3"/>
        <v>1.2235133287764868</v>
      </c>
      <c r="E64">
        <f t="shared" si="1"/>
        <v>0.759493670886076</v>
      </c>
      <c r="F64">
        <f t="shared" si="4"/>
        <v>60</v>
      </c>
      <c r="G64">
        <v>2.251336337910072</v>
      </c>
    </row>
    <row r="65" spans="1:7" ht="12.75">
      <c r="A65">
        <v>11704</v>
      </c>
      <c r="B65">
        <v>0.07</v>
      </c>
      <c r="C65">
        <v>100</v>
      </c>
      <c r="D65">
        <f t="shared" si="3"/>
        <v>2.1411483253588517</v>
      </c>
      <c r="E65">
        <f t="shared" si="1"/>
        <v>0.7721518987341772</v>
      </c>
      <c r="F65">
        <f t="shared" si="4"/>
        <v>61</v>
      </c>
      <c r="G65">
        <v>2.2802547770700636</v>
      </c>
    </row>
    <row r="66" spans="1:7" ht="12.75">
      <c r="A66">
        <v>11566</v>
      </c>
      <c r="B66">
        <v>0.04</v>
      </c>
      <c r="C66">
        <v>100</v>
      </c>
      <c r="D66">
        <f t="shared" si="3"/>
        <v>1.2381117067266125</v>
      </c>
      <c r="E66">
        <f t="shared" si="1"/>
        <v>0.7848101265822784</v>
      </c>
      <c r="F66">
        <f t="shared" si="4"/>
        <v>62</v>
      </c>
      <c r="G66">
        <v>2.371384411569883</v>
      </c>
    </row>
    <row r="67" spans="1:7" ht="12.75">
      <c r="A67">
        <v>11610</v>
      </c>
      <c r="B67">
        <v>0.08</v>
      </c>
      <c r="C67">
        <v>100</v>
      </c>
      <c r="D67">
        <f t="shared" si="3"/>
        <v>2.466838931955211</v>
      </c>
      <c r="E67">
        <f t="shared" si="1"/>
        <v>0.7974683544303798</v>
      </c>
      <c r="F67">
        <f t="shared" si="4"/>
        <v>63</v>
      </c>
      <c r="G67">
        <v>2.3784741446129996</v>
      </c>
    </row>
    <row r="68" spans="1:7" ht="12.75">
      <c r="A68">
        <v>11597</v>
      </c>
      <c r="B68">
        <v>0.05</v>
      </c>
      <c r="C68">
        <v>100</v>
      </c>
      <c r="D68">
        <f t="shared" si="3"/>
        <v>1.5435026299905148</v>
      </c>
      <c r="E68">
        <f t="shared" si="1"/>
        <v>0.810126582278481</v>
      </c>
      <c r="F68">
        <f t="shared" si="4"/>
        <v>64</v>
      </c>
      <c r="G68">
        <v>2.4378617637044604</v>
      </c>
    </row>
    <row r="69" spans="1:7" ht="12.75">
      <c r="A69">
        <v>11653</v>
      </c>
      <c r="B69">
        <v>0.05</v>
      </c>
      <c r="C69">
        <v>100</v>
      </c>
      <c r="D69">
        <f t="shared" si="3"/>
        <v>1.5360851282931434</v>
      </c>
      <c r="E69">
        <f aca="true" t="shared" si="5" ref="E69:E83">F69/MAX(Cholla_index)</f>
        <v>0.8227848101265823</v>
      </c>
      <c r="F69">
        <f t="shared" si="4"/>
        <v>65</v>
      </c>
      <c r="G69">
        <v>2.466838931955211</v>
      </c>
    </row>
    <row r="70" spans="1:7" ht="12.75">
      <c r="A70">
        <v>11543</v>
      </c>
      <c r="B70">
        <v>0.04</v>
      </c>
      <c r="C70">
        <v>100</v>
      </c>
      <c r="D70">
        <f t="shared" si="3"/>
        <v>1.2405787057090878</v>
      </c>
      <c r="E70">
        <f t="shared" si="5"/>
        <v>0.8354430379746836</v>
      </c>
      <c r="F70">
        <f t="shared" si="4"/>
        <v>66</v>
      </c>
      <c r="G70">
        <v>2.5928608380755302</v>
      </c>
    </row>
    <row r="71" spans="1:7" ht="12.75">
      <c r="A71">
        <v>10824</v>
      </c>
      <c r="B71">
        <v>0.05</v>
      </c>
      <c r="C71">
        <v>100</v>
      </c>
      <c r="D71">
        <f t="shared" si="3"/>
        <v>1.6537324464153733</v>
      </c>
      <c r="E71">
        <f t="shared" si="5"/>
        <v>0.8481012658227848</v>
      </c>
      <c r="F71">
        <f t="shared" si="4"/>
        <v>67</v>
      </c>
      <c r="G71">
        <v>2.6713925939744425</v>
      </c>
    </row>
    <row r="72" spans="1:7" ht="12.75">
      <c r="A72">
        <v>11748</v>
      </c>
      <c r="B72">
        <v>0.08</v>
      </c>
      <c r="C72">
        <v>100</v>
      </c>
      <c r="D72">
        <f t="shared" si="3"/>
        <v>2.4378617637044604</v>
      </c>
      <c r="E72">
        <f t="shared" si="5"/>
        <v>0.8607594936708861</v>
      </c>
      <c r="F72">
        <f t="shared" si="4"/>
        <v>68</v>
      </c>
      <c r="G72">
        <v>2.8356435643564355</v>
      </c>
    </row>
    <row r="73" spans="1:7" ht="12.75">
      <c r="A73">
        <v>10902</v>
      </c>
      <c r="B73">
        <v>0.04</v>
      </c>
      <c r="C73">
        <v>100</v>
      </c>
      <c r="D73">
        <f t="shared" si="3"/>
        <v>1.3135204549623922</v>
      </c>
      <c r="E73">
        <f t="shared" si="5"/>
        <v>0.8734177215189873</v>
      </c>
      <c r="F73">
        <f t="shared" si="4"/>
        <v>69</v>
      </c>
      <c r="G73">
        <v>3.161845882093177</v>
      </c>
    </row>
    <row r="74" spans="1:7" ht="12.75">
      <c r="A74">
        <v>11428</v>
      </c>
      <c r="B74">
        <v>0.04</v>
      </c>
      <c r="C74">
        <v>100</v>
      </c>
      <c r="D74">
        <f t="shared" si="3"/>
        <v>1.2530626531326565</v>
      </c>
      <c r="E74">
        <f t="shared" si="5"/>
        <v>0.8860759493670886</v>
      </c>
      <c r="F74">
        <f t="shared" si="4"/>
        <v>70</v>
      </c>
      <c r="G74">
        <v>3.3192541464922223</v>
      </c>
    </row>
    <row r="75" spans="1:7" ht="12.75">
      <c r="A75">
        <v>11280</v>
      </c>
      <c r="B75">
        <v>0.04</v>
      </c>
      <c r="C75">
        <v>100</v>
      </c>
      <c r="D75">
        <f t="shared" si="3"/>
        <v>1.2695035460992907</v>
      </c>
      <c r="E75">
        <f t="shared" si="5"/>
        <v>0.8987341772151899</v>
      </c>
      <c r="F75">
        <f t="shared" si="4"/>
        <v>71</v>
      </c>
      <c r="G75">
        <v>3.5557562076749436</v>
      </c>
    </row>
    <row r="76" spans="1:7" ht="12.75">
      <c r="A76">
        <v>11395</v>
      </c>
      <c r="B76">
        <v>0.04</v>
      </c>
      <c r="C76">
        <v>100</v>
      </c>
      <c r="D76">
        <f t="shared" si="3"/>
        <v>1.2566915313734095</v>
      </c>
      <c r="E76">
        <f t="shared" si="5"/>
        <v>0.9113924050632911</v>
      </c>
      <c r="F76">
        <f t="shared" si="4"/>
        <v>72</v>
      </c>
      <c r="G76">
        <v>3.838456040028592</v>
      </c>
    </row>
    <row r="77" spans="1:7" ht="12.75">
      <c r="A77">
        <v>11197</v>
      </c>
      <c r="B77">
        <v>0.04</v>
      </c>
      <c r="C77">
        <v>100</v>
      </c>
      <c r="D77">
        <f t="shared" si="3"/>
        <v>1.278913994820041</v>
      </c>
      <c r="E77">
        <f t="shared" si="5"/>
        <v>0.9240506329113924</v>
      </c>
      <c r="F77">
        <f t="shared" si="4"/>
        <v>73</v>
      </c>
      <c r="G77">
        <v>4.618438027190632</v>
      </c>
    </row>
    <row r="78" spans="1:7" ht="12.75">
      <c r="A78">
        <v>11465</v>
      </c>
      <c r="B78">
        <v>0.05</v>
      </c>
      <c r="C78">
        <v>100</v>
      </c>
      <c r="D78">
        <f t="shared" si="3"/>
        <v>1.5612734409071085</v>
      </c>
      <c r="E78">
        <f t="shared" si="5"/>
        <v>0.9367088607594937</v>
      </c>
      <c r="F78">
        <f t="shared" si="4"/>
        <v>74</v>
      </c>
      <c r="G78">
        <v>4.771212794313638</v>
      </c>
    </row>
    <row r="79" spans="1:7" ht="12.75">
      <c r="A79">
        <v>11335</v>
      </c>
      <c r="B79">
        <v>0.03</v>
      </c>
      <c r="C79">
        <v>100</v>
      </c>
      <c r="D79">
        <f t="shared" si="3"/>
        <v>0.9475077194530216</v>
      </c>
      <c r="E79">
        <f t="shared" si="5"/>
        <v>0.9493670886075949</v>
      </c>
      <c r="F79">
        <f t="shared" si="4"/>
        <v>75</v>
      </c>
      <c r="G79">
        <v>4.825798423890502</v>
      </c>
    </row>
    <row r="80" spans="1:7" ht="12.75">
      <c r="A80">
        <v>11611</v>
      </c>
      <c r="B80">
        <v>0.03</v>
      </c>
      <c r="C80">
        <v>100</v>
      </c>
      <c r="D80">
        <f t="shared" si="3"/>
        <v>0.9249849280854362</v>
      </c>
      <c r="E80">
        <f t="shared" si="5"/>
        <v>0.9620253164556962</v>
      </c>
      <c r="F80">
        <f t="shared" si="4"/>
        <v>76</v>
      </c>
      <c r="G80">
        <v>5.451974328293266</v>
      </c>
    </row>
    <row r="81" spans="1:7" ht="12.75">
      <c r="A81">
        <v>11570</v>
      </c>
      <c r="B81">
        <v>0.04</v>
      </c>
      <c r="C81">
        <v>100</v>
      </c>
      <c r="D81">
        <f t="shared" si="3"/>
        <v>1.2376836646499567</v>
      </c>
      <c r="E81">
        <f t="shared" si="5"/>
        <v>0.9746835443037974</v>
      </c>
      <c r="F81">
        <f t="shared" si="4"/>
        <v>77</v>
      </c>
      <c r="G81">
        <v>5.566414926699244</v>
      </c>
    </row>
    <row r="82" spans="1:7" ht="12.75">
      <c r="A82">
        <v>11719</v>
      </c>
      <c r="B82">
        <v>0.04</v>
      </c>
      <c r="C82">
        <v>100</v>
      </c>
      <c r="D82">
        <f t="shared" si="3"/>
        <v>1.2219472651250107</v>
      </c>
      <c r="E82">
        <f t="shared" si="5"/>
        <v>0.9873417721518988</v>
      </c>
      <c r="F82">
        <f t="shared" si="4"/>
        <v>78</v>
      </c>
      <c r="G82">
        <v>6.2308278037637335</v>
      </c>
    </row>
    <row r="83" spans="1:7" ht="12.75">
      <c r="A83">
        <v>11916</v>
      </c>
      <c r="B83">
        <v>0.04</v>
      </c>
      <c r="C83">
        <v>100</v>
      </c>
      <c r="D83">
        <f t="shared" si="3"/>
        <v>1.2017455521987244</v>
      </c>
      <c r="E83">
        <f t="shared" si="5"/>
        <v>1</v>
      </c>
      <c r="F83">
        <f t="shared" si="4"/>
        <v>79</v>
      </c>
      <c r="G83">
        <v>6.605166051660516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1" sqref="M1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E5">
      <selection activeCell="I19" sqref="I19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82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0.5964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11115</v>
      </c>
      <c r="B5">
        <v>0.095</v>
      </c>
      <c r="C5">
        <v>200</v>
      </c>
      <c r="D5">
        <f aca="true" t="shared" si="0" ref="D5:D37">1000000*B5*$B$3*EXP(-$A$3*C5)/A5</f>
        <v>5.097435897435898</v>
      </c>
      <c r="E5">
        <f aca="true" t="shared" si="1" ref="E5:E37">F5/MAX(Heskett_index)</f>
        <v>0.027777777777777776</v>
      </c>
      <c r="F5">
        <v>1</v>
      </c>
      <c r="G5">
        <v>1.6175752644426362</v>
      </c>
      <c r="I5">
        <f>VLOOKUP(0.975,Heskett_freqtab,3)</f>
        <v>7.690279531109108</v>
      </c>
      <c r="J5">
        <f>VLOOKUP(0.975,Heskett_freqtab,2)</f>
        <v>35</v>
      </c>
      <c r="K5">
        <f>J5/MAX(Heskett_index)</f>
        <v>0.9722222222222222</v>
      </c>
    </row>
    <row r="6" spans="1:11" ht="13.5" thickBot="1">
      <c r="A6">
        <v>11218</v>
      </c>
      <c r="B6">
        <v>0.165</v>
      </c>
      <c r="C6">
        <v>200</v>
      </c>
      <c r="D6">
        <f t="shared" si="0"/>
        <v>8.772151898734178</v>
      </c>
      <c r="E6">
        <f t="shared" si="1"/>
        <v>0.05555555555555555</v>
      </c>
      <c r="F6">
        <f aca="true" t="shared" si="2" ref="F6:F37">F5+1</f>
        <v>2</v>
      </c>
      <c r="G6">
        <v>2.2886066697121974</v>
      </c>
      <c r="I6">
        <f>VLOOKUP(J6,Heskett_freqindex,2)</f>
        <v>8.772151898734178</v>
      </c>
      <c r="J6">
        <f>J5+1</f>
        <v>36</v>
      </c>
      <c r="K6">
        <f>J6/MAX(Heskett_index)</f>
        <v>1</v>
      </c>
    </row>
    <row r="7" spans="1:10" ht="15.75" thickBot="1">
      <c r="A7">
        <v>10941</v>
      </c>
      <c r="B7">
        <v>0.087</v>
      </c>
      <c r="C7">
        <v>200</v>
      </c>
      <c r="D7">
        <f t="shared" si="0"/>
        <v>4.742418426103647</v>
      </c>
      <c r="E7">
        <f t="shared" si="1"/>
        <v>0.08333333333333333</v>
      </c>
      <c r="F7">
        <f t="shared" si="2"/>
        <v>3</v>
      </c>
      <c r="G7">
        <v>2.8081130025353134</v>
      </c>
      <c r="I7" s="46" t="s">
        <v>74</v>
      </c>
      <c r="J7" s="47">
        <f>$I$5+((0.975-$K$5)/($K$6-$K$5))*($I$6-$I$5)</f>
        <v>7.798466767871615</v>
      </c>
    </row>
    <row r="8" spans="1:7" ht="12.75">
      <c r="A8">
        <v>10882</v>
      </c>
      <c r="B8">
        <v>0.088</v>
      </c>
      <c r="C8">
        <v>200</v>
      </c>
      <c r="D8">
        <f t="shared" si="0"/>
        <v>4.822936960117626</v>
      </c>
      <c r="E8">
        <f t="shared" si="1"/>
        <v>0.1111111111111111</v>
      </c>
      <c r="F8">
        <f t="shared" si="2"/>
        <v>4</v>
      </c>
      <c r="G8">
        <v>2.8107060288102437</v>
      </c>
    </row>
    <row r="9" spans="1:10" ht="12.75">
      <c r="A9">
        <v>11041</v>
      </c>
      <c r="B9">
        <v>0.137</v>
      </c>
      <c r="C9">
        <v>200</v>
      </c>
      <c r="D9">
        <f t="shared" si="0"/>
        <v>7.400307943121095</v>
      </c>
      <c r="E9">
        <f t="shared" si="1"/>
        <v>0.1388888888888889</v>
      </c>
      <c r="F9">
        <f t="shared" si="2"/>
        <v>5</v>
      </c>
      <c r="G9">
        <v>2.8512718744362258</v>
      </c>
      <c r="I9" s="1" t="s">
        <v>73</v>
      </c>
      <c r="J9" s="48" t="str">
        <f>A1&amp;": 97.5th Percentile = "&amp;TEXT($J$7,"0.0000")&amp;" lb Hg/TBtu"</f>
        <v>Heskett B2: 97.5th Percentile = 7.7985 lb Hg/TBtu</v>
      </c>
    </row>
    <row r="10" spans="1:7" ht="12.75">
      <c r="A10">
        <v>11105</v>
      </c>
      <c r="B10">
        <v>0.072</v>
      </c>
      <c r="C10">
        <v>200</v>
      </c>
      <c r="D10">
        <f t="shared" si="0"/>
        <v>3.8667987393066188</v>
      </c>
      <c r="E10">
        <f t="shared" si="1"/>
        <v>0.16666666666666666</v>
      </c>
      <c r="F10">
        <f t="shared" si="2"/>
        <v>6</v>
      </c>
      <c r="G10">
        <v>3.1023497757847536</v>
      </c>
    </row>
    <row r="11" spans="1:7" ht="12.75">
      <c r="A11">
        <v>11044</v>
      </c>
      <c r="B11">
        <v>0.052</v>
      </c>
      <c r="C11">
        <v>200</v>
      </c>
      <c r="D11">
        <f t="shared" si="0"/>
        <v>2.8081130025353134</v>
      </c>
      <c r="E11">
        <f t="shared" si="1"/>
        <v>0.19444444444444445</v>
      </c>
      <c r="F11">
        <f t="shared" si="2"/>
        <v>7</v>
      </c>
      <c r="G11">
        <v>3.250586605080832</v>
      </c>
    </row>
    <row r="12" spans="1:13" ht="12.75">
      <c r="A12">
        <v>11150</v>
      </c>
      <c r="B12">
        <v>0.058</v>
      </c>
      <c r="C12">
        <v>200</v>
      </c>
      <c r="D12">
        <f t="shared" si="0"/>
        <v>3.1023497757847536</v>
      </c>
      <c r="E12">
        <f t="shared" si="1"/>
        <v>0.2222222222222222</v>
      </c>
      <c r="F12">
        <f t="shared" si="2"/>
        <v>8</v>
      </c>
      <c r="G12">
        <v>3.408608680121451</v>
      </c>
      <c r="I12" s="14"/>
      <c r="J12" s="14"/>
      <c r="K12" s="14"/>
      <c r="L12" s="14"/>
      <c r="M12" s="14"/>
    </row>
    <row r="13" spans="1:13" ht="12.75">
      <c r="A13">
        <v>11090</v>
      </c>
      <c r="B13">
        <v>0.143</v>
      </c>
      <c r="C13">
        <v>200</v>
      </c>
      <c r="D13">
        <f t="shared" si="0"/>
        <v>7.690279531109108</v>
      </c>
      <c r="E13">
        <f t="shared" si="1"/>
        <v>0.25</v>
      </c>
      <c r="F13">
        <f t="shared" si="2"/>
        <v>9</v>
      </c>
      <c r="G13">
        <v>3.4288575667655787</v>
      </c>
      <c r="I13" s="14"/>
      <c r="J13" s="14"/>
      <c r="K13" s="14"/>
      <c r="L13" s="14"/>
      <c r="M13" s="14"/>
    </row>
    <row r="14" spans="1:13" ht="15">
      <c r="A14">
        <v>11135</v>
      </c>
      <c r="B14">
        <v>0.08</v>
      </c>
      <c r="C14">
        <v>200</v>
      </c>
      <c r="D14">
        <f t="shared" si="0"/>
        <v>4.2848675348001795</v>
      </c>
      <c r="E14">
        <f t="shared" si="1"/>
        <v>0.2777777777777778</v>
      </c>
      <c r="F14">
        <f t="shared" si="2"/>
        <v>10</v>
      </c>
      <c r="G14">
        <v>3.7669700910273085</v>
      </c>
      <c r="I14" s="49"/>
      <c r="J14" s="50"/>
      <c r="K14" s="14"/>
      <c r="L14" s="14"/>
      <c r="M14" s="14"/>
    </row>
    <row r="15" spans="1:13" ht="12.75">
      <c r="A15">
        <v>11040</v>
      </c>
      <c r="B15">
        <v>0.107</v>
      </c>
      <c r="C15">
        <v>200</v>
      </c>
      <c r="D15">
        <f t="shared" si="0"/>
        <v>5.780326086956522</v>
      </c>
      <c r="E15">
        <f t="shared" si="1"/>
        <v>0.3055555555555556</v>
      </c>
      <c r="F15">
        <f t="shared" si="2"/>
        <v>11</v>
      </c>
      <c r="G15">
        <v>3.8275693753954623</v>
      </c>
      <c r="I15" s="14"/>
      <c r="J15" s="14"/>
      <c r="K15" s="14"/>
      <c r="L15" s="14"/>
      <c r="M15" s="14"/>
    </row>
    <row r="16" spans="1:13" ht="12.75">
      <c r="A16">
        <v>11059</v>
      </c>
      <c r="B16">
        <v>0.125</v>
      </c>
      <c r="C16">
        <v>200</v>
      </c>
      <c r="D16">
        <f t="shared" si="0"/>
        <v>6.74111583325798</v>
      </c>
      <c r="E16">
        <f t="shared" si="1"/>
        <v>0.3333333333333333</v>
      </c>
      <c r="F16">
        <f t="shared" si="2"/>
        <v>12</v>
      </c>
      <c r="G16">
        <v>3.8667987393066188</v>
      </c>
      <c r="I16" s="51"/>
      <c r="J16" s="52"/>
      <c r="K16" s="14"/>
      <c r="L16" s="14"/>
      <c r="M16" s="14"/>
    </row>
    <row r="17" spans="1:13" ht="12.75">
      <c r="A17">
        <v>11035</v>
      </c>
      <c r="B17">
        <v>0.09</v>
      </c>
      <c r="C17">
        <v>200</v>
      </c>
      <c r="D17">
        <f t="shared" si="0"/>
        <v>4.864159492523789</v>
      </c>
      <c r="E17">
        <f t="shared" si="1"/>
        <v>0.3611111111111111</v>
      </c>
      <c r="F17">
        <f t="shared" si="2"/>
        <v>13</v>
      </c>
      <c r="G17">
        <v>4.109747030555807</v>
      </c>
      <c r="I17" s="14"/>
      <c r="J17" s="14"/>
      <c r="K17" s="14"/>
      <c r="L17" s="14"/>
      <c r="M17" s="14"/>
    </row>
    <row r="18" spans="1:13" ht="12.75">
      <c r="A18">
        <v>11026</v>
      </c>
      <c r="B18">
        <v>0.093</v>
      </c>
      <c r="C18">
        <v>200</v>
      </c>
      <c r="D18">
        <f t="shared" si="0"/>
        <v>5.030400870669327</v>
      </c>
      <c r="E18">
        <f t="shared" si="1"/>
        <v>0.3888888888888889</v>
      </c>
      <c r="F18">
        <f t="shared" si="2"/>
        <v>14</v>
      </c>
      <c r="G18">
        <v>4.2848675348001795</v>
      </c>
      <c r="I18" s="14"/>
      <c r="J18" s="14"/>
      <c r="K18" s="14"/>
      <c r="L18" s="14"/>
      <c r="M18" s="14"/>
    </row>
    <row r="19" spans="1:13" ht="12.75">
      <c r="A19">
        <v>11943</v>
      </c>
      <c r="B19">
        <v>0.13</v>
      </c>
      <c r="C19">
        <v>200</v>
      </c>
      <c r="D19">
        <f t="shared" si="0"/>
        <v>6.4918362220547605</v>
      </c>
      <c r="E19">
        <f t="shared" si="1"/>
        <v>0.4166666666666667</v>
      </c>
      <c r="F19">
        <f t="shared" si="2"/>
        <v>15</v>
      </c>
      <c r="G19">
        <v>4.518996933068736</v>
      </c>
      <c r="I19" s="14"/>
      <c r="J19" s="14"/>
      <c r="K19" s="14"/>
      <c r="L19" s="14"/>
      <c r="M19" s="14"/>
    </row>
    <row r="20" spans="1:13" ht="12.75">
      <c r="A20">
        <v>10996</v>
      </c>
      <c r="B20">
        <v>0.103</v>
      </c>
      <c r="C20">
        <v>200</v>
      </c>
      <c r="D20">
        <f t="shared" si="0"/>
        <v>5.586504183339397</v>
      </c>
      <c r="E20">
        <f t="shared" si="1"/>
        <v>0.4444444444444444</v>
      </c>
      <c r="F20">
        <f t="shared" si="2"/>
        <v>16</v>
      </c>
      <c r="G20">
        <v>4.546399706098457</v>
      </c>
      <c r="I20" s="14"/>
      <c r="J20" s="14"/>
      <c r="K20" s="14"/>
      <c r="L20" s="14"/>
      <c r="M20" s="14"/>
    </row>
    <row r="21" spans="1:13" ht="15">
      <c r="A21">
        <v>11087</v>
      </c>
      <c r="B21">
        <v>0.088</v>
      </c>
      <c r="C21">
        <v>200</v>
      </c>
      <c r="D21">
        <f t="shared" si="0"/>
        <v>4.733760259763687</v>
      </c>
      <c r="E21">
        <f t="shared" si="1"/>
        <v>0.4722222222222222</v>
      </c>
      <c r="F21">
        <f t="shared" si="2"/>
        <v>17</v>
      </c>
      <c r="G21">
        <v>4.733760259763687</v>
      </c>
      <c r="I21" s="49"/>
      <c r="J21" s="50"/>
      <c r="K21" s="14"/>
      <c r="L21" s="14"/>
      <c r="M21" s="14"/>
    </row>
    <row r="22" spans="1:13" ht="12.75">
      <c r="A22">
        <v>11008</v>
      </c>
      <c r="B22">
        <v>0.111</v>
      </c>
      <c r="C22">
        <v>200</v>
      </c>
      <c r="D22">
        <f t="shared" si="0"/>
        <v>6.013844476744187</v>
      </c>
      <c r="E22">
        <f t="shared" si="1"/>
        <v>0.5</v>
      </c>
      <c r="F22">
        <f t="shared" si="2"/>
        <v>18</v>
      </c>
      <c r="G22">
        <v>4.742418426103647</v>
      </c>
      <c r="I22" s="14"/>
      <c r="J22" s="14"/>
      <c r="K22" s="14"/>
      <c r="L22" s="14"/>
      <c r="M22" s="14"/>
    </row>
    <row r="23" spans="1:13" ht="12.75">
      <c r="A23">
        <v>10935</v>
      </c>
      <c r="B23">
        <v>0.089</v>
      </c>
      <c r="C23">
        <v>200</v>
      </c>
      <c r="D23">
        <f t="shared" si="0"/>
        <v>4.854101508916324</v>
      </c>
      <c r="E23">
        <f t="shared" si="1"/>
        <v>0.5277777777777778</v>
      </c>
      <c r="F23">
        <f t="shared" si="2"/>
        <v>19</v>
      </c>
      <c r="G23">
        <v>4.822936960117626</v>
      </c>
      <c r="I23" s="51"/>
      <c r="J23" s="52"/>
      <c r="K23" s="14"/>
      <c r="L23" s="14"/>
      <c r="M23" s="14"/>
    </row>
    <row r="24" spans="1:13" ht="12.75">
      <c r="A24">
        <v>10854</v>
      </c>
      <c r="B24">
        <v>0.101</v>
      </c>
      <c r="C24">
        <v>200</v>
      </c>
      <c r="D24">
        <f t="shared" si="0"/>
        <v>5.549695964621338</v>
      </c>
      <c r="E24">
        <f t="shared" si="1"/>
        <v>0.5555555555555556</v>
      </c>
      <c r="F24">
        <f t="shared" si="2"/>
        <v>20</v>
      </c>
      <c r="G24">
        <v>4.854101508916324</v>
      </c>
      <c r="I24" s="14"/>
      <c r="J24" s="14"/>
      <c r="K24" s="14"/>
      <c r="L24" s="14"/>
      <c r="M24" s="14"/>
    </row>
    <row r="25" spans="1:7" ht="12.75">
      <c r="A25">
        <v>10888</v>
      </c>
      <c r="B25">
        <v>0.083</v>
      </c>
      <c r="C25">
        <v>200</v>
      </c>
      <c r="D25">
        <f t="shared" si="0"/>
        <v>4.546399706098457</v>
      </c>
      <c r="E25">
        <f t="shared" si="1"/>
        <v>0.5833333333333334</v>
      </c>
      <c r="F25">
        <f t="shared" si="2"/>
        <v>21</v>
      </c>
      <c r="G25">
        <v>4.864159492523789</v>
      </c>
    </row>
    <row r="26" spans="1:7" ht="12.75">
      <c r="A26">
        <v>11086</v>
      </c>
      <c r="B26">
        <v>0.084</v>
      </c>
      <c r="C26">
        <v>200</v>
      </c>
      <c r="D26">
        <f t="shared" si="0"/>
        <v>4.518996933068736</v>
      </c>
      <c r="E26">
        <f t="shared" si="1"/>
        <v>0.6111111111111112</v>
      </c>
      <c r="F26">
        <f t="shared" si="2"/>
        <v>22</v>
      </c>
      <c r="G26">
        <v>5.030400870669327</v>
      </c>
    </row>
    <row r="27" spans="1:7" ht="12.75">
      <c r="A27">
        <v>10945</v>
      </c>
      <c r="B27">
        <v>0.042</v>
      </c>
      <c r="C27">
        <v>200</v>
      </c>
      <c r="D27">
        <f t="shared" si="0"/>
        <v>2.2886066697121974</v>
      </c>
      <c r="E27">
        <f t="shared" si="1"/>
        <v>0.6388888888888888</v>
      </c>
      <c r="F27">
        <f t="shared" si="2"/>
        <v>23</v>
      </c>
      <c r="G27">
        <v>5.097435897435898</v>
      </c>
    </row>
    <row r="28" spans="1:7" ht="12.75">
      <c r="A28">
        <v>11246</v>
      </c>
      <c r="B28">
        <v>0.053</v>
      </c>
      <c r="C28">
        <v>200</v>
      </c>
      <c r="D28">
        <f t="shared" si="0"/>
        <v>2.8107060288102437</v>
      </c>
      <c r="E28">
        <f t="shared" si="1"/>
        <v>0.6666666666666666</v>
      </c>
      <c r="F28">
        <f t="shared" si="2"/>
        <v>24</v>
      </c>
      <c r="G28">
        <v>5.242262274704786</v>
      </c>
    </row>
    <row r="29" spans="1:7" ht="12.75">
      <c r="A29">
        <v>11063</v>
      </c>
      <c r="B29">
        <v>0.071</v>
      </c>
      <c r="C29">
        <v>200</v>
      </c>
      <c r="D29">
        <f t="shared" si="0"/>
        <v>3.8275693753954623</v>
      </c>
      <c r="E29">
        <f t="shared" si="1"/>
        <v>0.6944444444444444</v>
      </c>
      <c r="F29">
        <f t="shared" si="2"/>
        <v>25</v>
      </c>
      <c r="G29">
        <v>5.30903805976928</v>
      </c>
    </row>
    <row r="30" spans="1:7" ht="12.75">
      <c r="A30">
        <v>11061</v>
      </c>
      <c r="B30">
        <v>0.03</v>
      </c>
      <c r="C30">
        <v>200</v>
      </c>
      <c r="D30">
        <f t="shared" si="0"/>
        <v>1.6175752644426362</v>
      </c>
      <c r="E30">
        <f t="shared" si="1"/>
        <v>0.7222222222222222</v>
      </c>
      <c r="F30">
        <f t="shared" si="2"/>
        <v>26</v>
      </c>
      <c r="G30">
        <v>5.3924050632911396</v>
      </c>
    </row>
    <row r="31" spans="1:7" ht="12.75">
      <c r="A31">
        <v>11263</v>
      </c>
      <c r="B31">
        <v>0.099</v>
      </c>
      <c r="C31">
        <v>200</v>
      </c>
      <c r="D31">
        <f t="shared" si="0"/>
        <v>5.242262274704786</v>
      </c>
      <c r="E31">
        <f t="shared" si="1"/>
        <v>0.75</v>
      </c>
      <c r="F31">
        <f t="shared" si="2"/>
        <v>27</v>
      </c>
      <c r="G31">
        <v>5.549695964621338</v>
      </c>
    </row>
    <row r="32" spans="1:7" ht="12.75">
      <c r="A32">
        <v>10825</v>
      </c>
      <c r="B32">
        <v>0.059</v>
      </c>
      <c r="C32">
        <v>200</v>
      </c>
      <c r="D32">
        <f t="shared" si="0"/>
        <v>3.250586605080832</v>
      </c>
      <c r="E32">
        <f t="shared" si="1"/>
        <v>0.7777777777777778</v>
      </c>
      <c r="F32">
        <f t="shared" si="2"/>
        <v>28</v>
      </c>
      <c r="G32">
        <v>5.586504183339397</v>
      </c>
    </row>
    <row r="33" spans="1:7" ht="12.75">
      <c r="A33">
        <v>10766</v>
      </c>
      <c r="B33">
        <v>0.068</v>
      </c>
      <c r="C33">
        <v>200</v>
      </c>
      <c r="D33">
        <f t="shared" si="0"/>
        <v>3.7669700910273085</v>
      </c>
      <c r="E33">
        <f t="shared" si="1"/>
        <v>0.8055555555555556</v>
      </c>
      <c r="F33">
        <f t="shared" si="2"/>
        <v>29</v>
      </c>
      <c r="G33">
        <v>5.780326086956522</v>
      </c>
    </row>
    <row r="34" spans="1:7" ht="12.75">
      <c r="A34">
        <v>11060</v>
      </c>
      <c r="B34">
        <v>0.1</v>
      </c>
      <c r="C34">
        <v>200</v>
      </c>
      <c r="D34">
        <f t="shared" si="0"/>
        <v>5.3924050632911396</v>
      </c>
      <c r="E34">
        <f t="shared" si="1"/>
        <v>0.8333333333333334</v>
      </c>
      <c r="F34">
        <f t="shared" si="2"/>
        <v>30</v>
      </c>
      <c r="G34">
        <v>6.013844476744187</v>
      </c>
    </row>
    <row r="35" spans="1:7" ht="12.75">
      <c r="A35">
        <v>11029</v>
      </c>
      <c r="B35">
        <v>0.076</v>
      </c>
      <c r="C35">
        <v>200</v>
      </c>
      <c r="D35">
        <f t="shared" si="0"/>
        <v>4.109747030555807</v>
      </c>
      <c r="E35">
        <f t="shared" si="1"/>
        <v>0.8611111111111112</v>
      </c>
      <c r="F35">
        <f t="shared" si="2"/>
        <v>31</v>
      </c>
      <c r="G35">
        <v>6.4022209883398125</v>
      </c>
    </row>
    <row r="36" spans="1:7" ht="12.75">
      <c r="A36">
        <v>11009</v>
      </c>
      <c r="B36">
        <v>0.098</v>
      </c>
      <c r="C36">
        <v>200</v>
      </c>
      <c r="D36">
        <f t="shared" si="0"/>
        <v>5.30903805976928</v>
      </c>
      <c r="E36">
        <f t="shared" si="1"/>
        <v>0.8888888888888888</v>
      </c>
      <c r="F36">
        <f t="shared" si="2"/>
        <v>32</v>
      </c>
      <c r="G36">
        <v>6.4918362220547605</v>
      </c>
    </row>
    <row r="37" spans="1:7" ht="12.75">
      <c r="A37">
        <v>11086</v>
      </c>
      <c r="B37">
        <v>0.053</v>
      </c>
      <c r="C37">
        <v>200</v>
      </c>
      <c r="D37">
        <f t="shared" si="0"/>
        <v>2.8512718744362258</v>
      </c>
      <c r="E37">
        <f t="shared" si="1"/>
        <v>0.9166666666666666</v>
      </c>
      <c r="F37">
        <f t="shared" si="2"/>
        <v>33</v>
      </c>
      <c r="G37">
        <v>6.74111583325798</v>
      </c>
    </row>
    <row r="38" spans="1:7" ht="12.75">
      <c r="A38">
        <v>11198</v>
      </c>
      <c r="B38">
        <v>0.064</v>
      </c>
      <c r="C38">
        <v>200</v>
      </c>
      <c r="D38">
        <f>1000000*B38*$B$3*EXP(-$A$3*C38)/A38</f>
        <v>3.408608680121451</v>
      </c>
      <c r="E38">
        <f>F38/MAX(Heskett_index)</f>
        <v>0.9444444444444444</v>
      </c>
      <c r="F38">
        <f>F37+1</f>
        <v>34</v>
      </c>
      <c r="G38">
        <v>7.400307943121095</v>
      </c>
    </row>
    <row r="39" spans="1:7" ht="12.75">
      <c r="A39">
        <v>10784</v>
      </c>
      <c r="B39">
        <v>0.062</v>
      </c>
      <c r="C39">
        <v>200</v>
      </c>
      <c r="D39">
        <f>1000000*B39*$B$3*EXP(-$A$3*C39)/A39</f>
        <v>3.4288575667655787</v>
      </c>
      <c r="E39">
        <f>F39/MAX(Heskett_index)</f>
        <v>0.9722222222222222</v>
      </c>
      <c r="F39">
        <f>F38+1</f>
        <v>35</v>
      </c>
      <c r="G39">
        <v>7.690279531109108</v>
      </c>
    </row>
    <row r="40" spans="1:7" ht="12.75">
      <c r="A40">
        <v>10806</v>
      </c>
      <c r="B40">
        <v>0.116</v>
      </c>
      <c r="C40">
        <v>200</v>
      </c>
      <c r="D40">
        <f>1000000*B40*$B$3*EXP(-$A$3*C40)/A40</f>
        <v>6.4022209883398125</v>
      </c>
      <c r="E40">
        <f>F40/MAX(Heskett_index)</f>
        <v>1</v>
      </c>
      <c r="F40">
        <f>F39+1</f>
        <v>36</v>
      </c>
      <c r="G40">
        <v>8.772151898734178</v>
      </c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9" sqref="M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workbookViewId="0" topLeftCell="A5">
      <selection activeCell="K14" sqref="K14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45" t="s">
        <v>83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0.002164007</v>
      </c>
      <c r="B3">
        <v>0.818815299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10550</v>
      </c>
      <c r="B5">
        <v>0.064</v>
      </c>
      <c r="C5">
        <v>106</v>
      </c>
      <c r="D5">
        <f aca="true" t="shared" si="0" ref="D5:D68">1000000*B5*$B$3*EXP(-$A$3*C5)/A5</f>
        <v>3.949052752768739</v>
      </c>
      <c r="E5">
        <f aca="true" t="shared" si="1" ref="E5:E36">F5/MAX(Antelope_index)</f>
        <v>0.011494252873563218</v>
      </c>
      <c r="F5">
        <v>1</v>
      </c>
      <c r="G5">
        <v>1.3330050375232971</v>
      </c>
      <c r="I5">
        <f>VLOOKUP(0.975,Antelope_freqtab,3)</f>
        <v>6.917765783858763</v>
      </c>
      <c r="J5">
        <f>VLOOKUP(0.975,Antelope_freqtab,2)</f>
        <v>84</v>
      </c>
      <c r="K5">
        <f>J5/MAX(Antelope_index)</f>
        <v>0.9655172413793104</v>
      </c>
    </row>
    <row r="6" spans="1:11" ht="13.5" thickBot="1">
      <c r="A6">
        <v>10340</v>
      </c>
      <c r="B6">
        <v>0.056</v>
      </c>
      <c r="C6">
        <v>100</v>
      </c>
      <c r="D6">
        <f t="shared" si="0"/>
        <v>3.57167395533268</v>
      </c>
      <c r="E6">
        <f t="shared" si="1"/>
        <v>0.022988505747126436</v>
      </c>
      <c r="F6">
        <f>F5+1</f>
        <v>2</v>
      </c>
      <c r="G6">
        <v>1.4637519604609275</v>
      </c>
      <c r="I6">
        <f>VLOOKUP(J6,Antelope_freqindex,2)</f>
        <v>7.122906792775381</v>
      </c>
      <c r="J6">
        <f>J5+1</f>
        <v>85</v>
      </c>
      <c r="K6">
        <f>J6/MAX(Antelope_index)</f>
        <v>0.9770114942528736</v>
      </c>
    </row>
    <row r="7" spans="1:10" ht="15.75" thickBot="1">
      <c r="A7">
        <v>10470</v>
      </c>
      <c r="B7">
        <v>0.088</v>
      </c>
      <c r="C7">
        <v>96</v>
      </c>
      <c r="D7">
        <f t="shared" si="0"/>
        <v>5.5911297956891755</v>
      </c>
      <c r="E7">
        <f t="shared" si="1"/>
        <v>0.034482758620689655</v>
      </c>
      <c r="F7">
        <f aca="true" t="shared" si="2" ref="F7:F70">F6+1</f>
        <v>3</v>
      </c>
      <c r="G7">
        <v>1.5326165854009204</v>
      </c>
      <c r="I7" s="46" t="s">
        <v>74</v>
      </c>
      <c r="J7" s="47">
        <f>$I$5+((0.975-$K$5)/($K$6-$K$5))*($I$6-$I$5)</f>
        <v>7.087007116214972</v>
      </c>
    </row>
    <row r="8" spans="1:7" ht="12.75">
      <c r="A8">
        <v>10490</v>
      </c>
      <c r="B8">
        <v>0.068</v>
      </c>
      <c r="C8">
        <v>86</v>
      </c>
      <c r="D8">
        <f t="shared" si="0"/>
        <v>4.4065141735355216</v>
      </c>
      <c r="E8">
        <f t="shared" si="1"/>
        <v>0.04597701149425287</v>
      </c>
      <c r="F8">
        <f t="shared" si="2"/>
        <v>4</v>
      </c>
      <c r="G8">
        <v>1.5468986339114914</v>
      </c>
    </row>
    <row r="9" spans="1:10" ht="12.75">
      <c r="A9">
        <v>10710</v>
      </c>
      <c r="B9">
        <v>0.056</v>
      </c>
      <c r="C9">
        <v>131</v>
      </c>
      <c r="D9">
        <f t="shared" si="0"/>
        <v>3.2245459465442257</v>
      </c>
      <c r="E9">
        <f t="shared" si="1"/>
        <v>0.05747126436781609</v>
      </c>
      <c r="F9">
        <f t="shared" si="2"/>
        <v>5</v>
      </c>
      <c r="G9">
        <v>1.5755102897108624</v>
      </c>
      <c r="I9" s="1" t="s">
        <v>73</v>
      </c>
      <c r="J9" s="48" t="str">
        <f>A1&amp;": 97.5th Percentile = "&amp;TEXT($J$7,"0.0000")&amp;" lb Hg/TBtu"</f>
        <v>Antelope B1: 97.5th Percentile = 7.0870 lb Hg/TBtu</v>
      </c>
    </row>
    <row r="10" spans="1:7" ht="12.75">
      <c r="A10">
        <v>10650</v>
      </c>
      <c r="B10">
        <v>0.06</v>
      </c>
      <c r="C10">
        <v>98</v>
      </c>
      <c r="D10">
        <f t="shared" si="0"/>
        <v>3.7315184551799807</v>
      </c>
      <c r="E10">
        <f t="shared" si="1"/>
        <v>0.06896551724137931</v>
      </c>
      <c r="F10">
        <f t="shared" si="2"/>
        <v>6</v>
      </c>
      <c r="G10">
        <v>1.5987345471419399</v>
      </c>
    </row>
    <row r="11" spans="1:7" ht="12.75">
      <c r="A11">
        <v>10510</v>
      </c>
      <c r="B11">
        <v>0.025</v>
      </c>
      <c r="C11">
        <v>98</v>
      </c>
      <c r="D11">
        <f t="shared" si="0"/>
        <v>1.5755102897108624</v>
      </c>
      <c r="E11">
        <f t="shared" si="1"/>
        <v>0.08045977011494253</v>
      </c>
      <c r="F11">
        <f t="shared" si="2"/>
        <v>7</v>
      </c>
      <c r="G11">
        <v>1.610685710589905</v>
      </c>
    </row>
    <row r="12" spans="1:13" ht="12.75">
      <c r="A12">
        <v>10390</v>
      </c>
      <c r="B12">
        <v>0.062</v>
      </c>
      <c r="C12">
        <v>117</v>
      </c>
      <c r="D12">
        <f t="shared" si="0"/>
        <v>3.793181148591775</v>
      </c>
      <c r="E12">
        <f t="shared" si="1"/>
        <v>0.09195402298850575</v>
      </c>
      <c r="F12">
        <f t="shared" si="2"/>
        <v>8</v>
      </c>
      <c r="G12">
        <v>1.622052145048384</v>
      </c>
      <c r="I12" s="14"/>
      <c r="J12" s="14"/>
      <c r="K12" s="14"/>
      <c r="L12" s="14"/>
      <c r="M12" s="14"/>
    </row>
    <row r="13" spans="1:13" ht="12.75">
      <c r="A13">
        <v>10590</v>
      </c>
      <c r="B13">
        <v>0.057</v>
      </c>
      <c r="C13">
        <v>121</v>
      </c>
      <c r="D13">
        <f t="shared" si="0"/>
        <v>3.391931491051689</v>
      </c>
      <c r="E13">
        <f t="shared" si="1"/>
        <v>0.10344827586206896</v>
      </c>
      <c r="F13">
        <f t="shared" si="2"/>
        <v>9</v>
      </c>
      <c r="G13">
        <v>1.6293783880822443</v>
      </c>
      <c r="I13" s="14"/>
      <c r="J13" s="14"/>
      <c r="K13" s="14"/>
      <c r="L13" s="14"/>
      <c r="M13" s="14"/>
    </row>
    <row r="14" spans="1:13" ht="15">
      <c r="A14">
        <v>10480</v>
      </c>
      <c r="B14">
        <v>0.025</v>
      </c>
      <c r="C14">
        <v>74</v>
      </c>
      <c r="D14">
        <f t="shared" si="0"/>
        <v>1.6642488612665327</v>
      </c>
      <c r="E14">
        <f t="shared" si="1"/>
        <v>0.11494252873563218</v>
      </c>
      <c r="F14">
        <f t="shared" si="2"/>
        <v>10</v>
      </c>
      <c r="G14">
        <v>1.6642488612665327</v>
      </c>
      <c r="I14" s="49"/>
      <c r="J14" s="50"/>
      <c r="K14" s="14"/>
      <c r="L14" s="14"/>
      <c r="M14" s="14"/>
    </row>
    <row r="15" spans="1:13" ht="12.75">
      <c r="A15">
        <v>10580</v>
      </c>
      <c r="B15">
        <v>0.051</v>
      </c>
      <c r="C15">
        <v>92</v>
      </c>
      <c r="D15">
        <f t="shared" si="0"/>
        <v>3.2345015043119263</v>
      </c>
      <c r="E15">
        <f t="shared" si="1"/>
        <v>0.12643678160919541</v>
      </c>
      <c r="F15">
        <f t="shared" si="2"/>
        <v>11</v>
      </c>
      <c r="G15">
        <v>3.0338797954950163</v>
      </c>
      <c r="I15" s="14"/>
      <c r="J15" s="14"/>
      <c r="K15" s="14"/>
      <c r="L15" s="14"/>
      <c r="M15" s="14"/>
    </row>
    <row r="16" spans="1:13" ht="12.75">
      <c r="A16">
        <v>10510</v>
      </c>
      <c r="B16">
        <v>0.025</v>
      </c>
      <c r="C16">
        <v>132</v>
      </c>
      <c r="D16">
        <f t="shared" si="0"/>
        <v>1.4637519604609275</v>
      </c>
      <c r="E16">
        <f t="shared" si="1"/>
        <v>0.13793103448275862</v>
      </c>
      <c r="F16">
        <f t="shared" si="2"/>
        <v>12</v>
      </c>
      <c r="G16">
        <v>3.069452065298697</v>
      </c>
      <c r="I16" s="51"/>
      <c r="J16" s="52"/>
      <c r="K16" s="14"/>
      <c r="L16" s="14"/>
      <c r="M16" s="14"/>
    </row>
    <row r="17" spans="1:13" ht="12.75">
      <c r="A17">
        <v>10290</v>
      </c>
      <c r="B17">
        <v>0.06</v>
      </c>
      <c r="C17">
        <v>90</v>
      </c>
      <c r="D17">
        <f t="shared" si="0"/>
        <v>3.9295096286344973</v>
      </c>
      <c r="E17">
        <f t="shared" si="1"/>
        <v>0.14942528735632185</v>
      </c>
      <c r="F17">
        <f t="shared" si="2"/>
        <v>13</v>
      </c>
      <c r="G17">
        <v>3.07439636244794</v>
      </c>
      <c r="I17" s="14"/>
      <c r="J17" s="14"/>
      <c r="K17" s="14"/>
      <c r="L17" s="14"/>
      <c r="M17" s="14"/>
    </row>
    <row r="18" spans="1:13" ht="12.75">
      <c r="A18">
        <v>10610</v>
      </c>
      <c r="B18">
        <v>0.05</v>
      </c>
      <c r="C18">
        <v>105</v>
      </c>
      <c r="D18">
        <f t="shared" si="0"/>
        <v>3.07439636244794</v>
      </c>
      <c r="E18">
        <f t="shared" si="1"/>
        <v>0.16091954022988506</v>
      </c>
      <c r="F18">
        <f t="shared" si="2"/>
        <v>14</v>
      </c>
      <c r="G18">
        <v>3.085357400572514</v>
      </c>
      <c r="I18" s="14"/>
      <c r="J18" s="14"/>
      <c r="K18" s="14"/>
      <c r="L18" s="14"/>
      <c r="M18" s="14"/>
    </row>
    <row r="19" spans="1:13" ht="12.75">
      <c r="A19">
        <v>10550</v>
      </c>
      <c r="B19">
        <v>0.025</v>
      </c>
      <c r="C19">
        <v>109</v>
      </c>
      <c r="D19">
        <f t="shared" si="0"/>
        <v>1.5326165854009204</v>
      </c>
      <c r="E19">
        <f t="shared" si="1"/>
        <v>0.1724137931034483</v>
      </c>
      <c r="F19">
        <f t="shared" si="2"/>
        <v>15</v>
      </c>
      <c r="G19">
        <v>3.103826875462177</v>
      </c>
      <c r="I19" s="14"/>
      <c r="J19" s="14"/>
      <c r="K19" s="14"/>
      <c r="L19" s="14"/>
      <c r="M19" s="14"/>
    </row>
    <row r="20" spans="1:13" ht="12.75">
      <c r="A20">
        <v>11050</v>
      </c>
      <c r="B20">
        <v>0.079</v>
      </c>
      <c r="C20">
        <v>152</v>
      </c>
      <c r="D20">
        <f t="shared" si="0"/>
        <v>4.2130700914100725</v>
      </c>
      <c r="E20">
        <f t="shared" si="1"/>
        <v>0.1839080459770115</v>
      </c>
      <c r="F20">
        <f t="shared" si="2"/>
        <v>16</v>
      </c>
      <c r="G20">
        <v>3.1272168356678307</v>
      </c>
      <c r="I20" s="14"/>
      <c r="J20" s="14"/>
      <c r="K20" s="14"/>
      <c r="L20" s="14"/>
      <c r="M20" s="14"/>
    </row>
    <row r="21" spans="1:13" ht="15">
      <c r="A21">
        <v>10470</v>
      </c>
      <c r="B21">
        <v>0.025</v>
      </c>
      <c r="C21">
        <v>177</v>
      </c>
      <c r="D21">
        <f t="shared" si="0"/>
        <v>1.3330050375232971</v>
      </c>
      <c r="E21">
        <f t="shared" si="1"/>
        <v>0.19540229885057472</v>
      </c>
      <c r="F21">
        <f t="shared" si="2"/>
        <v>17</v>
      </c>
      <c r="G21">
        <v>3.1280838640870336</v>
      </c>
      <c r="I21" s="49"/>
      <c r="J21" s="50"/>
      <c r="K21" s="14"/>
      <c r="L21" s="14"/>
      <c r="M21" s="14"/>
    </row>
    <row r="22" spans="1:13" ht="12.75">
      <c r="A22">
        <v>10540</v>
      </c>
      <c r="B22">
        <v>0.058</v>
      </c>
      <c r="C22">
        <v>175</v>
      </c>
      <c r="D22">
        <f t="shared" si="0"/>
        <v>3.085357400572514</v>
      </c>
      <c r="E22">
        <f t="shared" si="1"/>
        <v>0.20689655172413793</v>
      </c>
      <c r="F22">
        <f t="shared" si="2"/>
        <v>18</v>
      </c>
      <c r="G22">
        <v>3.2245459465442257</v>
      </c>
      <c r="I22" s="14"/>
      <c r="J22" s="14"/>
      <c r="K22" s="14"/>
      <c r="L22" s="14"/>
      <c r="M22" s="14"/>
    </row>
    <row r="23" spans="1:13" ht="12.75">
      <c r="A23">
        <v>10920</v>
      </c>
      <c r="B23">
        <v>0.071</v>
      </c>
      <c r="C23">
        <v>122</v>
      </c>
      <c r="D23">
        <f t="shared" si="0"/>
        <v>4.088500643511886</v>
      </c>
      <c r="E23">
        <f t="shared" si="1"/>
        <v>0.21839080459770116</v>
      </c>
      <c r="F23">
        <f t="shared" si="2"/>
        <v>19</v>
      </c>
      <c r="G23">
        <v>3.2345015043119263</v>
      </c>
      <c r="I23" s="51"/>
      <c r="J23" s="52"/>
      <c r="K23" s="14"/>
      <c r="L23" s="14"/>
      <c r="M23" s="14"/>
    </row>
    <row r="24" spans="1:13" ht="12.75">
      <c r="A24">
        <v>10590</v>
      </c>
      <c r="B24">
        <v>0.093</v>
      </c>
      <c r="C24">
        <v>136</v>
      </c>
      <c r="D24">
        <f t="shared" si="0"/>
        <v>5.357447456390324</v>
      </c>
      <c r="E24">
        <f t="shared" si="1"/>
        <v>0.22988505747126436</v>
      </c>
      <c r="F24">
        <f t="shared" si="2"/>
        <v>20</v>
      </c>
      <c r="G24">
        <v>3.3478508070798205</v>
      </c>
      <c r="I24" s="14"/>
      <c r="J24" s="14"/>
      <c r="K24" s="14"/>
      <c r="L24" s="14"/>
      <c r="M24" s="14"/>
    </row>
    <row r="25" spans="1:13" ht="12.75">
      <c r="A25">
        <v>10300</v>
      </c>
      <c r="B25">
        <v>0.066</v>
      </c>
      <c r="C25">
        <v>89</v>
      </c>
      <c r="D25">
        <f t="shared" si="0"/>
        <v>4.327618899754422</v>
      </c>
      <c r="E25">
        <f t="shared" si="1"/>
        <v>0.2413793103448276</v>
      </c>
      <c r="F25">
        <f t="shared" si="2"/>
        <v>21</v>
      </c>
      <c r="G25">
        <v>3.3869482231668897</v>
      </c>
      <c r="I25" s="14"/>
      <c r="J25" s="14"/>
      <c r="K25" s="14"/>
      <c r="L25" s="14"/>
      <c r="M25" s="14"/>
    </row>
    <row r="26" spans="1:7" ht="12.75">
      <c r="A26">
        <v>10740</v>
      </c>
      <c r="B26">
        <v>0.103</v>
      </c>
      <c r="C26">
        <v>111</v>
      </c>
      <c r="D26">
        <f t="shared" si="0"/>
        <v>6.1758861694474545</v>
      </c>
      <c r="E26">
        <f t="shared" si="1"/>
        <v>0.25287356321839083</v>
      </c>
      <c r="F26">
        <f t="shared" si="2"/>
        <v>22</v>
      </c>
      <c r="G26">
        <v>3.391931491051689</v>
      </c>
    </row>
    <row r="27" spans="1:7" ht="12.75">
      <c r="A27">
        <v>10510</v>
      </c>
      <c r="B27">
        <v>0.069</v>
      </c>
      <c r="C27">
        <v>143</v>
      </c>
      <c r="D27">
        <f t="shared" si="0"/>
        <v>3.9449235612428994</v>
      </c>
      <c r="E27">
        <f t="shared" si="1"/>
        <v>0.26436781609195403</v>
      </c>
      <c r="F27">
        <f t="shared" si="2"/>
        <v>23</v>
      </c>
      <c r="G27">
        <v>3.4170018880873045</v>
      </c>
    </row>
    <row r="28" spans="1:7" ht="12.75">
      <c r="A28">
        <v>10790</v>
      </c>
      <c r="B28">
        <v>0.066</v>
      </c>
      <c r="C28">
        <v>94</v>
      </c>
      <c r="D28">
        <f t="shared" si="0"/>
        <v>4.086633655554019</v>
      </c>
      <c r="E28">
        <f t="shared" si="1"/>
        <v>0.27586206896551724</v>
      </c>
      <c r="F28">
        <f t="shared" si="2"/>
        <v>24</v>
      </c>
      <c r="G28">
        <v>3.427986884012711</v>
      </c>
    </row>
    <row r="29" spans="1:7" ht="12.75">
      <c r="A29">
        <v>10570</v>
      </c>
      <c r="B29">
        <v>0.06</v>
      </c>
      <c r="C29">
        <v>95</v>
      </c>
      <c r="D29">
        <f t="shared" si="0"/>
        <v>3.784248637557993</v>
      </c>
      <c r="E29">
        <f t="shared" si="1"/>
        <v>0.28735632183908044</v>
      </c>
      <c r="F29">
        <f t="shared" si="2"/>
        <v>25</v>
      </c>
      <c r="G29">
        <v>3.4364500648736387</v>
      </c>
    </row>
    <row r="30" spans="1:7" ht="12.75">
      <c r="A30">
        <v>10410</v>
      </c>
      <c r="B30">
        <v>0.065</v>
      </c>
      <c r="C30">
        <v>113</v>
      </c>
      <c r="D30">
        <f t="shared" si="0"/>
        <v>4.003587585644168</v>
      </c>
      <c r="E30">
        <f t="shared" si="1"/>
        <v>0.2988505747126437</v>
      </c>
      <c r="F30">
        <f t="shared" si="2"/>
        <v>26</v>
      </c>
      <c r="G30">
        <v>3.4410537188930705</v>
      </c>
    </row>
    <row r="31" spans="1:7" ht="12.75">
      <c r="A31">
        <v>10400</v>
      </c>
      <c r="B31">
        <v>0.058</v>
      </c>
      <c r="C31">
        <v>96</v>
      </c>
      <c r="D31">
        <f t="shared" si="0"/>
        <v>3.709866127327589</v>
      </c>
      <c r="E31">
        <f t="shared" si="1"/>
        <v>0.3103448275862069</v>
      </c>
      <c r="F31">
        <f t="shared" si="2"/>
        <v>27</v>
      </c>
      <c r="G31">
        <v>3.483139563903512</v>
      </c>
    </row>
    <row r="32" spans="1:7" ht="12.75">
      <c r="A32">
        <v>10600</v>
      </c>
      <c r="B32">
        <v>0.057</v>
      </c>
      <c r="C32">
        <v>106</v>
      </c>
      <c r="D32">
        <f t="shared" si="0"/>
        <v>3.500534895161381</v>
      </c>
      <c r="E32">
        <f t="shared" si="1"/>
        <v>0.3218390804597701</v>
      </c>
      <c r="F32">
        <f t="shared" si="2"/>
        <v>28</v>
      </c>
      <c r="G32">
        <v>3.500534895161381</v>
      </c>
    </row>
    <row r="33" spans="1:7" ht="12.75">
      <c r="A33">
        <v>10270</v>
      </c>
      <c r="B33">
        <v>0.062</v>
      </c>
      <c r="C33">
        <v>145</v>
      </c>
      <c r="D33">
        <f t="shared" si="0"/>
        <v>3.6118843089178023</v>
      </c>
      <c r="E33">
        <f t="shared" si="1"/>
        <v>0.3333333333333333</v>
      </c>
      <c r="F33">
        <f t="shared" si="2"/>
        <v>29</v>
      </c>
      <c r="G33">
        <v>3.57167395533268</v>
      </c>
    </row>
    <row r="34" spans="1:7" ht="12.75">
      <c r="A34">
        <v>10320</v>
      </c>
      <c r="B34">
        <v>0.062</v>
      </c>
      <c r="C34">
        <v>115</v>
      </c>
      <c r="D34">
        <f t="shared" si="0"/>
        <v>3.8354742058329037</v>
      </c>
      <c r="E34">
        <f t="shared" si="1"/>
        <v>0.3448275862068966</v>
      </c>
      <c r="F34">
        <f t="shared" si="2"/>
        <v>30</v>
      </c>
      <c r="G34">
        <v>3.5992437657097907</v>
      </c>
    </row>
    <row r="35" spans="1:7" ht="12.75">
      <c r="A35">
        <v>10400</v>
      </c>
      <c r="B35">
        <v>0.058</v>
      </c>
      <c r="C35">
        <v>134</v>
      </c>
      <c r="D35">
        <f t="shared" si="0"/>
        <v>3.4170018880873045</v>
      </c>
      <c r="E35">
        <f t="shared" si="1"/>
        <v>0.3563218390804598</v>
      </c>
      <c r="F35">
        <f t="shared" si="2"/>
        <v>31</v>
      </c>
      <c r="G35">
        <v>3.606616473502207</v>
      </c>
    </row>
    <row r="36" spans="1:7" ht="12.75">
      <c r="A36">
        <v>10477</v>
      </c>
      <c r="B36">
        <v>0.025</v>
      </c>
      <c r="C36">
        <v>86</v>
      </c>
      <c r="D36">
        <f t="shared" si="0"/>
        <v>1.622052145048384</v>
      </c>
      <c r="E36">
        <f t="shared" si="1"/>
        <v>0.367816091954023</v>
      </c>
      <c r="F36">
        <f t="shared" si="2"/>
        <v>32</v>
      </c>
      <c r="G36">
        <v>3.6118843089178023</v>
      </c>
    </row>
    <row r="37" spans="1:7" ht="12.75">
      <c r="A37">
        <v>10650</v>
      </c>
      <c r="B37">
        <v>0.067</v>
      </c>
      <c r="C37">
        <v>88</v>
      </c>
      <c r="D37">
        <f t="shared" si="0"/>
        <v>4.258016197697699</v>
      </c>
      <c r="E37">
        <f aca="true" t="shared" si="3" ref="E37:E68">F37/MAX(Antelope_index)</f>
        <v>0.3793103448275862</v>
      </c>
      <c r="F37">
        <f t="shared" si="2"/>
        <v>33</v>
      </c>
      <c r="G37">
        <v>3.616557118033422</v>
      </c>
    </row>
    <row r="38" spans="1:7" ht="12.75">
      <c r="A38">
        <v>10430</v>
      </c>
      <c r="B38">
        <v>0.079</v>
      </c>
      <c r="C38">
        <v>129</v>
      </c>
      <c r="D38">
        <f t="shared" si="0"/>
        <v>4.691291603494426</v>
      </c>
      <c r="E38">
        <f t="shared" si="3"/>
        <v>0.39080459770114945</v>
      </c>
      <c r="F38">
        <f t="shared" si="2"/>
        <v>34</v>
      </c>
      <c r="G38">
        <v>3.6538913574762564</v>
      </c>
    </row>
    <row r="39" spans="1:7" ht="12.75">
      <c r="A39">
        <v>10570</v>
      </c>
      <c r="B39">
        <v>0.052</v>
      </c>
      <c r="C39">
        <v>131</v>
      </c>
      <c r="D39">
        <f t="shared" si="0"/>
        <v>3.0338797954950163</v>
      </c>
      <c r="E39">
        <f t="shared" si="3"/>
        <v>0.40229885057471265</v>
      </c>
      <c r="F39">
        <f t="shared" si="2"/>
        <v>35</v>
      </c>
      <c r="G39">
        <v>3.692491209933943</v>
      </c>
    </row>
    <row r="40" spans="1:7" ht="12.75">
      <c r="A40">
        <v>10340</v>
      </c>
      <c r="B40">
        <v>0.092</v>
      </c>
      <c r="C40">
        <v>120</v>
      </c>
      <c r="D40">
        <f t="shared" si="0"/>
        <v>5.6192102395463595</v>
      </c>
      <c r="E40">
        <f t="shared" si="3"/>
        <v>0.41379310344827586</v>
      </c>
      <c r="F40">
        <f t="shared" si="2"/>
        <v>36</v>
      </c>
      <c r="G40">
        <v>3.709866127327589</v>
      </c>
    </row>
    <row r="41" spans="1:7" ht="12.75">
      <c r="A41">
        <v>10490</v>
      </c>
      <c r="B41">
        <v>0.069</v>
      </c>
      <c r="C41">
        <v>124</v>
      </c>
      <c r="D41">
        <f t="shared" si="0"/>
        <v>4.1183412516913736</v>
      </c>
      <c r="E41">
        <f t="shared" si="3"/>
        <v>0.42528735632183906</v>
      </c>
      <c r="F41">
        <f t="shared" si="2"/>
        <v>37</v>
      </c>
      <c r="G41">
        <v>3.7315184551799807</v>
      </c>
    </row>
    <row r="42" spans="1:7" ht="12.75">
      <c r="A42">
        <v>10670</v>
      </c>
      <c r="B42">
        <v>0.062</v>
      </c>
      <c r="C42">
        <v>122</v>
      </c>
      <c r="D42">
        <f t="shared" si="0"/>
        <v>3.6538913574762564</v>
      </c>
      <c r="E42">
        <f t="shared" si="3"/>
        <v>0.4367816091954023</v>
      </c>
      <c r="F42">
        <f t="shared" si="2"/>
        <v>38</v>
      </c>
      <c r="G42">
        <v>3.734029004220824</v>
      </c>
    </row>
    <row r="43" spans="1:7" ht="12.75">
      <c r="A43">
        <v>10970</v>
      </c>
      <c r="B43">
        <v>0.066</v>
      </c>
      <c r="C43">
        <v>113</v>
      </c>
      <c r="D43">
        <f t="shared" si="0"/>
        <v>3.8576605940574744</v>
      </c>
      <c r="E43">
        <f t="shared" si="3"/>
        <v>0.4482758620689655</v>
      </c>
      <c r="F43">
        <f t="shared" si="2"/>
        <v>39</v>
      </c>
      <c r="G43">
        <v>3.7755546097575556</v>
      </c>
    </row>
    <row r="44" spans="1:7" ht="12.75">
      <c r="A44">
        <v>10240</v>
      </c>
      <c r="B44">
        <v>0.05</v>
      </c>
      <c r="C44">
        <v>117</v>
      </c>
      <c r="D44">
        <f t="shared" si="0"/>
        <v>3.103826875462177</v>
      </c>
      <c r="E44">
        <f t="shared" si="3"/>
        <v>0.45977011494252873</v>
      </c>
      <c r="F44">
        <f t="shared" si="2"/>
        <v>40</v>
      </c>
      <c r="G44">
        <v>3.784248637557993</v>
      </c>
    </row>
    <row r="45" spans="1:7" ht="12.75">
      <c r="A45">
        <v>10390</v>
      </c>
      <c r="B45">
        <v>0.06</v>
      </c>
      <c r="C45">
        <v>104</v>
      </c>
      <c r="D45">
        <f t="shared" si="0"/>
        <v>3.7755546097575556</v>
      </c>
      <c r="E45">
        <f t="shared" si="3"/>
        <v>0.47126436781609193</v>
      </c>
      <c r="F45">
        <f t="shared" si="2"/>
        <v>41</v>
      </c>
      <c r="G45">
        <v>3.793181148591775</v>
      </c>
    </row>
    <row r="46" spans="1:7" ht="12.75">
      <c r="A46">
        <v>10560</v>
      </c>
      <c r="B46">
        <v>0.052</v>
      </c>
      <c r="C46">
        <v>75</v>
      </c>
      <c r="D46">
        <f t="shared" si="0"/>
        <v>3.427986884012711</v>
      </c>
      <c r="E46">
        <f t="shared" si="3"/>
        <v>0.4827586206896552</v>
      </c>
      <c r="F46">
        <f t="shared" si="2"/>
        <v>42</v>
      </c>
      <c r="G46">
        <v>3.7937714831953953</v>
      </c>
    </row>
    <row r="47" spans="1:7" ht="12.75">
      <c r="A47">
        <v>10490</v>
      </c>
      <c r="B47">
        <v>0.059</v>
      </c>
      <c r="C47">
        <v>142</v>
      </c>
      <c r="D47">
        <f t="shared" si="0"/>
        <v>3.3869482231668897</v>
      </c>
      <c r="E47">
        <f t="shared" si="3"/>
        <v>0.4942528735632184</v>
      </c>
      <c r="F47">
        <f t="shared" si="2"/>
        <v>43</v>
      </c>
      <c r="G47">
        <v>3.8242089633825564</v>
      </c>
    </row>
    <row r="48" spans="1:7" ht="12.75">
      <c r="A48">
        <v>10380</v>
      </c>
      <c r="B48">
        <v>0.066</v>
      </c>
      <c r="C48">
        <v>119</v>
      </c>
      <c r="D48">
        <f t="shared" si="0"/>
        <v>4.024337457864468</v>
      </c>
      <c r="E48">
        <f t="shared" si="3"/>
        <v>0.5057471264367817</v>
      </c>
      <c r="F48">
        <f t="shared" si="2"/>
        <v>44</v>
      </c>
      <c r="G48">
        <v>3.8354742058329037</v>
      </c>
    </row>
    <row r="49" spans="1:7" ht="12.75">
      <c r="A49">
        <v>9946</v>
      </c>
      <c r="B49">
        <v>0.083</v>
      </c>
      <c r="C49">
        <v>109</v>
      </c>
      <c r="D49">
        <f t="shared" si="0"/>
        <v>5.397288208350355</v>
      </c>
      <c r="E49">
        <f t="shared" si="3"/>
        <v>0.5172413793103449</v>
      </c>
      <c r="F49">
        <f t="shared" si="2"/>
        <v>45</v>
      </c>
      <c r="G49">
        <v>3.8576605940574744</v>
      </c>
    </row>
    <row r="50" spans="1:7" ht="12.75">
      <c r="A50">
        <v>10390</v>
      </c>
      <c r="B50">
        <v>0.05</v>
      </c>
      <c r="C50">
        <v>57</v>
      </c>
      <c r="D50">
        <f t="shared" si="0"/>
        <v>3.483139563903512</v>
      </c>
      <c r="E50">
        <f t="shared" si="3"/>
        <v>0.5287356321839081</v>
      </c>
      <c r="F50">
        <f t="shared" si="2"/>
        <v>46</v>
      </c>
      <c r="G50">
        <v>3.9295096286344973</v>
      </c>
    </row>
    <row r="51" spans="1:7" ht="12.75">
      <c r="A51">
        <v>10260</v>
      </c>
      <c r="B51">
        <v>0.054</v>
      </c>
      <c r="C51">
        <v>104</v>
      </c>
      <c r="D51">
        <f t="shared" si="0"/>
        <v>3.4410537188930705</v>
      </c>
      <c r="E51">
        <f t="shared" si="3"/>
        <v>0.5402298850574713</v>
      </c>
      <c r="F51">
        <f t="shared" si="2"/>
        <v>47</v>
      </c>
      <c r="G51">
        <v>3.9449235612428994</v>
      </c>
    </row>
    <row r="52" spans="1:7" ht="12.75">
      <c r="A52">
        <v>10180</v>
      </c>
      <c r="B52">
        <v>0.063</v>
      </c>
      <c r="C52">
        <v>108</v>
      </c>
      <c r="D52">
        <f t="shared" si="0"/>
        <v>4.011239190169731</v>
      </c>
      <c r="E52">
        <f t="shared" si="3"/>
        <v>0.5517241379310345</v>
      </c>
      <c r="F52">
        <f t="shared" si="2"/>
        <v>48</v>
      </c>
      <c r="G52">
        <v>3.949052752768739</v>
      </c>
    </row>
    <row r="53" spans="1:7" ht="12.75">
      <c r="A53">
        <v>10340</v>
      </c>
      <c r="B53">
        <v>0.025</v>
      </c>
      <c r="C53">
        <v>90</v>
      </c>
      <c r="D53">
        <f t="shared" si="0"/>
        <v>1.6293783880822443</v>
      </c>
      <c r="E53">
        <f t="shared" si="3"/>
        <v>0.5632183908045977</v>
      </c>
      <c r="F53">
        <f t="shared" si="2"/>
        <v>49</v>
      </c>
      <c r="G53">
        <v>4.003587585644168</v>
      </c>
    </row>
    <row r="54" spans="1:7" ht="12.75">
      <c r="A54">
        <v>10230</v>
      </c>
      <c r="B54">
        <v>0.053</v>
      </c>
      <c r="C54">
        <v>75</v>
      </c>
      <c r="D54">
        <f t="shared" si="0"/>
        <v>3.606616473502207</v>
      </c>
      <c r="E54">
        <f t="shared" si="3"/>
        <v>0.5747126436781609</v>
      </c>
      <c r="F54">
        <f t="shared" si="2"/>
        <v>50</v>
      </c>
      <c r="G54">
        <v>4.010612300546294</v>
      </c>
    </row>
    <row r="55" spans="1:7" ht="12.75">
      <c r="A55">
        <v>10320</v>
      </c>
      <c r="B55">
        <v>0.102</v>
      </c>
      <c r="C55">
        <v>59</v>
      </c>
      <c r="D55">
        <f t="shared" si="0"/>
        <v>7.122906792775381</v>
      </c>
      <c r="E55">
        <f t="shared" si="3"/>
        <v>0.5862068965517241</v>
      </c>
      <c r="F55">
        <f t="shared" si="2"/>
        <v>51</v>
      </c>
      <c r="G55">
        <v>4.011239190169731</v>
      </c>
    </row>
    <row r="56" spans="1:7" ht="12.75">
      <c r="A56">
        <v>10510</v>
      </c>
      <c r="B56">
        <v>0.05</v>
      </c>
      <c r="C56">
        <v>70</v>
      </c>
      <c r="D56">
        <f t="shared" si="0"/>
        <v>3.3478508070798205</v>
      </c>
      <c r="E56">
        <f t="shared" si="3"/>
        <v>0.5977011494252874</v>
      </c>
      <c r="F56">
        <f t="shared" si="2"/>
        <v>52</v>
      </c>
      <c r="G56">
        <v>4.024337457864468</v>
      </c>
    </row>
    <row r="57" spans="1:7" ht="12.75">
      <c r="A57">
        <v>10410</v>
      </c>
      <c r="B57">
        <v>0.079</v>
      </c>
      <c r="C57">
        <v>106</v>
      </c>
      <c r="D57">
        <f t="shared" si="0"/>
        <v>4.940168733181895</v>
      </c>
      <c r="E57">
        <f t="shared" si="3"/>
        <v>0.6091954022988506</v>
      </c>
      <c r="F57">
        <f t="shared" si="2"/>
        <v>53</v>
      </c>
      <c r="G57">
        <v>4.062089309255803</v>
      </c>
    </row>
    <row r="58" spans="1:7" ht="12.75">
      <c r="A58">
        <v>10400</v>
      </c>
      <c r="B58">
        <v>0.058</v>
      </c>
      <c r="C58">
        <v>93</v>
      </c>
      <c r="D58">
        <f t="shared" si="0"/>
        <v>3.734029004220824</v>
      </c>
      <c r="E58">
        <f t="shared" si="3"/>
        <v>0.6206896551724138</v>
      </c>
      <c r="F58">
        <f t="shared" si="2"/>
        <v>54</v>
      </c>
      <c r="G58">
        <v>4.086633655554019</v>
      </c>
    </row>
    <row r="59" spans="1:7" ht="12.75">
      <c r="A59">
        <v>10200</v>
      </c>
      <c r="B59">
        <v>0.107</v>
      </c>
      <c r="C59">
        <v>131</v>
      </c>
      <c r="D59">
        <f t="shared" si="0"/>
        <v>6.469245305254353</v>
      </c>
      <c r="E59">
        <f t="shared" si="3"/>
        <v>0.632183908045977</v>
      </c>
      <c r="F59">
        <f t="shared" si="2"/>
        <v>55</v>
      </c>
      <c r="G59">
        <v>4.088500643511886</v>
      </c>
    </row>
    <row r="60" spans="1:7" ht="12.75">
      <c r="A60">
        <v>10540</v>
      </c>
      <c r="B60">
        <v>0.071</v>
      </c>
      <c r="C60">
        <v>111</v>
      </c>
      <c r="D60">
        <f t="shared" si="0"/>
        <v>4.337945358090733</v>
      </c>
      <c r="E60">
        <f t="shared" si="3"/>
        <v>0.6436781609195402</v>
      </c>
      <c r="F60">
        <f t="shared" si="2"/>
        <v>56</v>
      </c>
      <c r="G60">
        <v>4.1183412516913736</v>
      </c>
    </row>
    <row r="61" spans="1:7" ht="12.75">
      <c r="A61">
        <v>10290</v>
      </c>
      <c r="B61">
        <v>0.105</v>
      </c>
      <c r="C61">
        <v>113</v>
      </c>
      <c r="D61">
        <f t="shared" si="0"/>
        <v>6.54275459443576</v>
      </c>
      <c r="E61">
        <f t="shared" si="3"/>
        <v>0.6551724137931034</v>
      </c>
      <c r="F61">
        <f t="shared" si="2"/>
        <v>57</v>
      </c>
      <c r="G61">
        <v>4.1324787297075085</v>
      </c>
    </row>
    <row r="62" spans="1:7" ht="12.75">
      <c r="A62">
        <v>10400</v>
      </c>
      <c r="B62">
        <v>0.082</v>
      </c>
      <c r="C62">
        <v>121</v>
      </c>
      <c r="D62">
        <f t="shared" si="0"/>
        <v>4.968767658905983</v>
      </c>
      <c r="E62">
        <f t="shared" si="3"/>
        <v>0.6666666666666666</v>
      </c>
      <c r="F62">
        <f t="shared" si="2"/>
        <v>58</v>
      </c>
      <c r="G62">
        <v>4.198653189622533</v>
      </c>
    </row>
    <row r="63" spans="1:7" ht="12.75">
      <c r="A63">
        <v>10300</v>
      </c>
      <c r="B63">
        <v>0.076</v>
      </c>
      <c r="C63">
        <v>84</v>
      </c>
      <c r="D63">
        <f t="shared" si="0"/>
        <v>5.037531177530861</v>
      </c>
      <c r="E63">
        <f t="shared" si="3"/>
        <v>0.6781609195402298</v>
      </c>
      <c r="F63">
        <f t="shared" si="2"/>
        <v>59</v>
      </c>
      <c r="G63">
        <v>4.2130700914100725</v>
      </c>
    </row>
    <row r="64" spans="1:7" ht="12.75">
      <c r="A64">
        <v>10240</v>
      </c>
      <c r="B64">
        <v>0.06</v>
      </c>
      <c r="C64">
        <v>121</v>
      </c>
      <c r="D64">
        <f t="shared" si="0"/>
        <v>3.692491209933943</v>
      </c>
      <c r="E64">
        <f t="shared" si="3"/>
        <v>0.6896551724137931</v>
      </c>
      <c r="F64">
        <f t="shared" si="2"/>
        <v>60</v>
      </c>
      <c r="G64">
        <v>4.258016197697699</v>
      </c>
    </row>
    <row r="65" spans="1:7" ht="12.75">
      <c r="A65">
        <v>10610</v>
      </c>
      <c r="B65">
        <v>0.05</v>
      </c>
      <c r="C65">
        <v>97</v>
      </c>
      <c r="D65">
        <f t="shared" si="0"/>
        <v>3.1280838640870336</v>
      </c>
      <c r="E65">
        <f t="shared" si="3"/>
        <v>0.7011494252873564</v>
      </c>
      <c r="F65">
        <f t="shared" si="2"/>
        <v>61</v>
      </c>
      <c r="G65">
        <v>4.320028470219793</v>
      </c>
    </row>
    <row r="66" spans="1:7" ht="12.75">
      <c r="A66">
        <v>10530</v>
      </c>
      <c r="B66">
        <v>0.073</v>
      </c>
      <c r="C66">
        <v>119</v>
      </c>
      <c r="D66">
        <f t="shared" si="0"/>
        <v>4.387754273967916</v>
      </c>
      <c r="E66">
        <f t="shared" si="3"/>
        <v>0.7126436781609196</v>
      </c>
      <c r="F66">
        <f t="shared" si="2"/>
        <v>62</v>
      </c>
      <c r="G66">
        <v>4.327618899754422</v>
      </c>
    </row>
    <row r="67" spans="1:7" ht="12.75">
      <c r="A67">
        <v>10390</v>
      </c>
      <c r="B67">
        <v>0.056</v>
      </c>
      <c r="C67">
        <v>92</v>
      </c>
      <c r="D67">
        <f t="shared" si="0"/>
        <v>3.616557118033422</v>
      </c>
      <c r="E67">
        <f t="shared" si="3"/>
        <v>0.7241379310344828</v>
      </c>
      <c r="F67">
        <f t="shared" si="2"/>
        <v>63</v>
      </c>
      <c r="G67">
        <v>4.337945358090733</v>
      </c>
    </row>
    <row r="68" spans="1:7" ht="12.75">
      <c r="A68">
        <v>10350</v>
      </c>
      <c r="B68">
        <v>0.056</v>
      </c>
      <c r="C68">
        <v>96</v>
      </c>
      <c r="D68">
        <f t="shared" si="0"/>
        <v>3.5992437657097907</v>
      </c>
      <c r="E68">
        <f t="shared" si="3"/>
        <v>0.735632183908046</v>
      </c>
      <c r="F68">
        <f t="shared" si="2"/>
        <v>64</v>
      </c>
      <c r="G68">
        <v>4.387754273967916</v>
      </c>
    </row>
    <row r="69" spans="1:7" ht="12.75">
      <c r="A69">
        <v>10480</v>
      </c>
      <c r="B69">
        <v>0.123</v>
      </c>
      <c r="C69">
        <v>106</v>
      </c>
      <c r="D69">
        <f aca="true" t="shared" si="4" ref="D69:D91">1000000*B69*$B$3*EXP(-$A$3*C69)/A69</f>
        <v>7.640279557237527</v>
      </c>
      <c r="E69">
        <f aca="true" t="shared" si="5" ref="E69:E91">F69/MAX(Antelope_index)</f>
        <v>0.7471264367816092</v>
      </c>
      <c r="F69">
        <f t="shared" si="2"/>
        <v>65</v>
      </c>
      <c r="G69">
        <v>4.4065141735355216</v>
      </c>
    </row>
    <row r="70" spans="1:7" ht="12.75">
      <c r="A70">
        <v>10490</v>
      </c>
      <c r="B70">
        <v>0.05</v>
      </c>
      <c r="C70">
        <v>111</v>
      </c>
      <c r="D70">
        <f t="shared" si="4"/>
        <v>3.069452065298697</v>
      </c>
      <c r="E70">
        <f t="shared" si="5"/>
        <v>0.7586206896551724</v>
      </c>
      <c r="F70">
        <f t="shared" si="2"/>
        <v>66</v>
      </c>
      <c r="G70">
        <v>4.524672833488195</v>
      </c>
    </row>
    <row r="71" spans="1:7" ht="12.75">
      <c r="A71">
        <v>10380</v>
      </c>
      <c r="B71">
        <v>0.061</v>
      </c>
      <c r="C71">
        <v>63</v>
      </c>
      <c r="D71">
        <f t="shared" si="4"/>
        <v>4.198653189622533</v>
      </c>
      <c r="E71">
        <f t="shared" si="5"/>
        <v>0.7701149425287356</v>
      </c>
      <c r="F71">
        <f aca="true" t="shared" si="6" ref="F71:F91">F70+1</f>
        <v>67</v>
      </c>
      <c r="G71">
        <v>4.575974600292127</v>
      </c>
    </row>
    <row r="72" spans="1:7" ht="12.75">
      <c r="A72">
        <v>10090</v>
      </c>
      <c r="B72">
        <v>0.09</v>
      </c>
      <c r="C72">
        <v>129</v>
      </c>
      <c r="D72">
        <f t="shared" si="4"/>
        <v>5.5246019096488785</v>
      </c>
      <c r="E72">
        <f t="shared" si="5"/>
        <v>0.7816091954022989</v>
      </c>
      <c r="F72">
        <f t="shared" si="6"/>
        <v>68</v>
      </c>
      <c r="G72">
        <v>4.691291603494426</v>
      </c>
    </row>
    <row r="73" spans="1:7" ht="12.75">
      <c r="A73">
        <v>10590</v>
      </c>
      <c r="B73">
        <v>0.05</v>
      </c>
      <c r="C73">
        <v>98</v>
      </c>
      <c r="D73">
        <f t="shared" si="4"/>
        <v>3.1272168356678307</v>
      </c>
      <c r="E73">
        <f t="shared" si="5"/>
        <v>0.7931034482758621</v>
      </c>
      <c r="F73">
        <f t="shared" si="6"/>
        <v>69</v>
      </c>
      <c r="G73">
        <v>4.703057869632735</v>
      </c>
    </row>
    <row r="74" spans="1:7" ht="12.75">
      <c r="A74">
        <v>10680</v>
      </c>
      <c r="B74">
        <v>0.061</v>
      </c>
      <c r="C74">
        <v>93</v>
      </c>
      <c r="D74">
        <f t="shared" si="4"/>
        <v>3.8242089633825564</v>
      </c>
      <c r="E74">
        <f t="shared" si="5"/>
        <v>0.8045977011494253</v>
      </c>
      <c r="F74">
        <f t="shared" si="6"/>
        <v>70</v>
      </c>
      <c r="G74">
        <v>4.940168733181895</v>
      </c>
    </row>
    <row r="75" spans="1:7" ht="12.75">
      <c r="A75">
        <v>10370</v>
      </c>
      <c r="B75">
        <v>0.058</v>
      </c>
      <c r="C75">
        <v>87</v>
      </c>
      <c r="D75">
        <f t="shared" si="4"/>
        <v>3.7937714831953953</v>
      </c>
      <c r="E75">
        <f t="shared" si="5"/>
        <v>0.8160919540229885</v>
      </c>
      <c r="F75">
        <f t="shared" si="6"/>
        <v>71</v>
      </c>
      <c r="G75">
        <v>4.968767658905983</v>
      </c>
    </row>
    <row r="76" spans="1:7" ht="12.75">
      <c r="A76">
        <v>10430</v>
      </c>
      <c r="B76">
        <v>0.025</v>
      </c>
      <c r="C76">
        <v>110</v>
      </c>
      <c r="D76">
        <f t="shared" si="4"/>
        <v>1.5468986339114914</v>
      </c>
      <c r="E76">
        <f t="shared" si="5"/>
        <v>0.8275862068965517</v>
      </c>
      <c r="F76">
        <f t="shared" si="6"/>
        <v>72</v>
      </c>
      <c r="G76">
        <v>4.99034170140925</v>
      </c>
    </row>
    <row r="77" spans="1:7" ht="12.75">
      <c r="A77">
        <v>10470</v>
      </c>
      <c r="B77">
        <v>0.109</v>
      </c>
      <c r="C77">
        <v>114</v>
      </c>
      <c r="D77">
        <f t="shared" si="4"/>
        <v>6.660804803631111</v>
      </c>
      <c r="E77">
        <f t="shared" si="5"/>
        <v>0.8390804597701149</v>
      </c>
      <c r="F77">
        <f t="shared" si="6"/>
        <v>73</v>
      </c>
      <c r="G77">
        <v>5.037531177530861</v>
      </c>
    </row>
    <row r="78" spans="1:7" ht="12.75">
      <c r="A78">
        <v>10460</v>
      </c>
      <c r="B78">
        <v>0.025</v>
      </c>
      <c r="C78">
        <v>90</v>
      </c>
      <c r="D78">
        <f t="shared" si="4"/>
        <v>1.610685710589905</v>
      </c>
      <c r="E78">
        <f t="shared" si="5"/>
        <v>0.8505747126436781</v>
      </c>
      <c r="F78">
        <f t="shared" si="6"/>
        <v>74</v>
      </c>
      <c r="G78">
        <v>5.357447456390324</v>
      </c>
    </row>
    <row r="79" spans="1:7" ht="12.75">
      <c r="A79">
        <v>10680</v>
      </c>
      <c r="B79">
        <v>0.059</v>
      </c>
      <c r="C79">
        <v>127</v>
      </c>
      <c r="D79">
        <f t="shared" si="4"/>
        <v>3.4364500648736387</v>
      </c>
      <c r="E79">
        <f t="shared" si="5"/>
        <v>0.8620689655172413</v>
      </c>
      <c r="F79">
        <f t="shared" si="6"/>
        <v>75</v>
      </c>
      <c r="G79">
        <v>5.397288208350355</v>
      </c>
    </row>
    <row r="80" spans="1:7" ht="12.75">
      <c r="A80">
        <v>10470</v>
      </c>
      <c r="B80">
        <v>0.025</v>
      </c>
      <c r="C80">
        <v>93</v>
      </c>
      <c r="D80">
        <f t="shared" si="4"/>
        <v>1.5987345471419399</v>
      </c>
      <c r="E80">
        <f t="shared" si="5"/>
        <v>0.8735632183908046</v>
      </c>
      <c r="F80">
        <f t="shared" si="6"/>
        <v>76</v>
      </c>
      <c r="G80">
        <v>5.5246019096488785</v>
      </c>
    </row>
    <row r="81" spans="1:7" ht="12.75">
      <c r="A81">
        <v>10430</v>
      </c>
      <c r="B81">
        <v>0.073</v>
      </c>
      <c r="C81">
        <v>104</v>
      </c>
      <c r="D81">
        <f t="shared" si="4"/>
        <v>4.575974600292127</v>
      </c>
      <c r="E81">
        <f t="shared" si="5"/>
        <v>0.8850574712643678</v>
      </c>
      <c r="F81">
        <f t="shared" si="6"/>
        <v>77</v>
      </c>
      <c r="G81">
        <v>5.5911297956891755</v>
      </c>
    </row>
    <row r="82" spans="1:7" ht="12.75">
      <c r="A82">
        <v>10480</v>
      </c>
      <c r="B82">
        <v>0.073</v>
      </c>
      <c r="C82">
        <v>107</v>
      </c>
      <c r="D82">
        <f t="shared" si="4"/>
        <v>4.524672833488195</v>
      </c>
      <c r="E82">
        <f t="shared" si="5"/>
        <v>0.896551724137931</v>
      </c>
      <c r="F82">
        <f t="shared" si="6"/>
        <v>78</v>
      </c>
      <c r="G82">
        <v>5.6192102395463595</v>
      </c>
    </row>
    <row r="83" spans="1:7" ht="12.75">
      <c r="A83">
        <v>10240</v>
      </c>
      <c r="B83">
        <v>0.071</v>
      </c>
      <c r="C83">
        <v>87</v>
      </c>
      <c r="D83">
        <f t="shared" si="4"/>
        <v>4.703057869632735</v>
      </c>
      <c r="E83">
        <f t="shared" si="5"/>
        <v>0.9080459770114943</v>
      </c>
      <c r="F83">
        <f t="shared" si="6"/>
        <v>79</v>
      </c>
      <c r="G83">
        <v>5.776398097571173</v>
      </c>
    </row>
    <row r="84" spans="1:7" ht="12.75">
      <c r="A84">
        <v>10630</v>
      </c>
      <c r="B84">
        <v>0.1</v>
      </c>
      <c r="C84">
        <v>133</v>
      </c>
      <c r="D84">
        <f t="shared" si="4"/>
        <v>5.776398097571173</v>
      </c>
      <c r="E84">
        <f t="shared" si="5"/>
        <v>0.9195402298850575</v>
      </c>
      <c r="F84">
        <f t="shared" si="6"/>
        <v>80</v>
      </c>
      <c r="G84">
        <v>6.1758861694474545</v>
      </c>
    </row>
    <row r="85" spans="1:7" ht="12.75">
      <c r="A85">
        <v>10410</v>
      </c>
      <c r="B85">
        <v>0.103</v>
      </c>
      <c r="C85">
        <v>73</v>
      </c>
      <c r="D85">
        <f t="shared" si="4"/>
        <v>6.917765783858763</v>
      </c>
      <c r="E85">
        <f t="shared" si="5"/>
        <v>0.9310344827586207</v>
      </c>
      <c r="F85">
        <f t="shared" si="6"/>
        <v>81</v>
      </c>
      <c r="G85">
        <v>6.469245305254353</v>
      </c>
    </row>
    <row r="86" spans="1:7" ht="12.75">
      <c r="A86">
        <v>10420</v>
      </c>
      <c r="B86">
        <v>0.078</v>
      </c>
      <c r="C86">
        <v>95</v>
      </c>
      <c r="D86">
        <f t="shared" si="4"/>
        <v>4.99034170140925</v>
      </c>
      <c r="E86">
        <f t="shared" si="5"/>
        <v>0.9425287356321839</v>
      </c>
      <c r="F86">
        <f t="shared" si="6"/>
        <v>82</v>
      </c>
      <c r="G86">
        <v>6.54275459443576</v>
      </c>
    </row>
    <row r="87" spans="1:7" ht="12.75">
      <c r="A87">
        <v>10480</v>
      </c>
      <c r="B87">
        <v>0.071</v>
      </c>
      <c r="C87">
        <v>144</v>
      </c>
      <c r="D87">
        <f t="shared" si="4"/>
        <v>4.062089309255803</v>
      </c>
      <c r="E87">
        <f t="shared" si="5"/>
        <v>0.9540229885057471</v>
      </c>
      <c r="F87">
        <f t="shared" si="6"/>
        <v>83</v>
      </c>
      <c r="G87">
        <v>6.660804803631111</v>
      </c>
    </row>
    <row r="88" spans="1:7" ht="12.75">
      <c r="A88">
        <v>10080</v>
      </c>
      <c r="B88">
        <v>0.25</v>
      </c>
      <c r="C88">
        <v>97</v>
      </c>
      <c r="D88">
        <f t="shared" si="4"/>
        <v>16.462782637878682</v>
      </c>
      <c r="E88">
        <f t="shared" si="5"/>
        <v>0.9655172413793104</v>
      </c>
      <c r="F88">
        <f t="shared" si="6"/>
        <v>84</v>
      </c>
      <c r="G88">
        <v>6.917765783858763</v>
      </c>
    </row>
    <row r="89" spans="1:7" ht="12.75">
      <c r="A89">
        <v>10280</v>
      </c>
      <c r="B89">
        <v>0.064</v>
      </c>
      <c r="C89">
        <v>97</v>
      </c>
      <c r="D89">
        <f t="shared" si="4"/>
        <v>4.1324787297075085</v>
      </c>
      <c r="E89">
        <f t="shared" si="5"/>
        <v>0.9770114942528736</v>
      </c>
      <c r="F89">
        <f t="shared" si="6"/>
        <v>85</v>
      </c>
      <c r="G89">
        <v>7.122906792775381</v>
      </c>
    </row>
    <row r="90" spans="1:7" ht="12.75">
      <c r="A90">
        <v>10420</v>
      </c>
      <c r="B90">
        <v>0.069</v>
      </c>
      <c r="C90">
        <v>105</v>
      </c>
      <c r="D90">
        <f t="shared" si="4"/>
        <v>4.320028470219793</v>
      </c>
      <c r="E90">
        <f t="shared" si="5"/>
        <v>0.9885057471264368</v>
      </c>
      <c r="F90">
        <f t="shared" si="6"/>
        <v>86</v>
      </c>
      <c r="G90">
        <v>7.640279557237527</v>
      </c>
    </row>
    <row r="91" spans="1:7" ht="12.75">
      <c r="A91">
        <v>10330</v>
      </c>
      <c r="B91">
        <v>0.059</v>
      </c>
      <c r="C91">
        <v>71</v>
      </c>
      <c r="D91">
        <f t="shared" si="4"/>
        <v>4.010612300546294</v>
      </c>
      <c r="E91">
        <f t="shared" si="5"/>
        <v>1</v>
      </c>
      <c r="F91">
        <f t="shared" si="6"/>
        <v>87</v>
      </c>
      <c r="G91">
        <v>16.462782637878682</v>
      </c>
    </row>
  </sheetData>
  <printOptions/>
  <pageMargins left="0.75" right="0.75" top="1" bottom="1" header="0.5" footer="0.5"/>
  <pageSetup fitToHeight="1" fitToWidth="1" horizontalDpi="600" verticalDpi="600" orientation="landscape" scale="4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2" sqref="M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workbookViewId="0" topLeftCell="D5">
      <selection activeCell="H14" sqref="H14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45" t="s">
        <v>84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0.9513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10830</v>
      </c>
      <c r="B5">
        <v>0.073</v>
      </c>
      <c r="C5">
        <v>103</v>
      </c>
      <c r="D5">
        <f aca="true" t="shared" si="0" ref="D5:D68">1000000*B5*$B$3*EXP(-$A$3*C5)/A5</f>
        <v>6.412271468144045</v>
      </c>
      <c r="E5">
        <f aca="true" t="shared" si="1" ref="E5:E36">F5/MAX(Leland_index)</f>
        <v>0.009708737864077669</v>
      </c>
      <c r="F5">
        <v>1</v>
      </c>
      <c r="G5">
        <v>2.195983379501385</v>
      </c>
      <c r="I5">
        <f>VLOOKUP(0.975,Leland_freqtab,3)</f>
        <v>9.27877840909091</v>
      </c>
      <c r="J5">
        <f>VLOOKUP(0.975,Leland_freqtab,2)</f>
        <v>100</v>
      </c>
      <c r="K5">
        <f>J5/MAX(Leland_index)</f>
        <v>0.970873786407767</v>
      </c>
    </row>
    <row r="6" spans="1:11" ht="13.5" thickBot="1">
      <c r="A6">
        <v>10920</v>
      </c>
      <c r="B6">
        <v>0.086</v>
      </c>
      <c r="C6">
        <v>93</v>
      </c>
      <c r="D6">
        <f t="shared" si="0"/>
        <v>7.491923076923078</v>
      </c>
      <c r="E6">
        <f t="shared" si="1"/>
        <v>0.019417475728155338</v>
      </c>
      <c r="F6">
        <f>F5+1</f>
        <v>2</v>
      </c>
      <c r="G6">
        <v>2.2082172701949863</v>
      </c>
      <c r="I6">
        <f>VLOOKUP(J6,Leland_freqindex,2)</f>
        <v>9.875399999999999</v>
      </c>
      <c r="J6">
        <f>J5+1</f>
        <v>101</v>
      </c>
      <c r="K6">
        <f>J6/MAX(Leland_index)</f>
        <v>0.9805825242718447</v>
      </c>
    </row>
    <row r="7" spans="1:10" ht="15.75" thickBot="1">
      <c r="A7">
        <v>10890</v>
      </c>
      <c r="B7">
        <v>0.069</v>
      </c>
      <c r="C7">
        <v>136</v>
      </c>
      <c r="D7">
        <f t="shared" si="0"/>
        <v>6.027520661157024</v>
      </c>
      <c r="E7">
        <f t="shared" si="1"/>
        <v>0.02912621359223301</v>
      </c>
      <c r="F7">
        <f aca="true" t="shared" si="2" ref="F7:F70">F6+1</f>
        <v>3</v>
      </c>
      <c r="G7">
        <v>2.2628449096098953</v>
      </c>
      <c r="I7" s="46" t="s">
        <v>74</v>
      </c>
      <c r="J7" s="47">
        <f>$I$5+((0.975-$K$5)/($K$6-$K$5))*($I$6-$I$5)</f>
        <v>9.532342585227271</v>
      </c>
    </row>
    <row r="8" spans="1:7" ht="12.75">
      <c r="A8">
        <v>10950</v>
      </c>
      <c r="B8">
        <v>0.079</v>
      </c>
      <c r="C8">
        <v>121</v>
      </c>
      <c r="D8">
        <f t="shared" si="0"/>
        <v>6.863260273972602</v>
      </c>
      <c r="E8">
        <f t="shared" si="1"/>
        <v>0.038834951456310676</v>
      </c>
      <c r="F8">
        <f t="shared" si="2"/>
        <v>4</v>
      </c>
      <c r="G8">
        <v>2.2671591992373687</v>
      </c>
    </row>
    <row r="9" spans="1:10" ht="12.75">
      <c r="A9">
        <v>11040</v>
      </c>
      <c r="B9">
        <v>0.064</v>
      </c>
      <c r="C9">
        <v>131</v>
      </c>
      <c r="D9">
        <f t="shared" si="0"/>
        <v>5.514782608695652</v>
      </c>
      <c r="E9">
        <f t="shared" si="1"/>
        <v>0.04854368932038835</v>
      </c>
      <c r="F9">
        <f t="shared" si="2"/>
        <v>5</v>
      </c>
      <c r="G9">
        <v>2.2671591992373687</v>
      </c>
      <c r="I9" s="1" t="s">
        <v>73</v>
      </c>
      <c r="J9" s="48" t="str">
        <f>A1&amp;": 97.5th Percentile = "&amp;TEXT($J$7,"0.0000")&amp;" lb Hg/TBtu"</f>
        <v>Leland 2: 97.5th Percentile = 9.5323 lb Hg/TBtu</v>
      </c>
    </row>
    <row r="10" spans="1:7" ht="12.75">
      <c r="A10">
        <v>10940</v>
      </c>
      <c r="B10">
        <v>0.05</v>
      </c>
      <c r="C10">
        <v>119</v>
      </c>
      <c r="D10">
        <f t="shared" si="0"/>
        <v>4.3478062157221204</v>
      </c>
      <c r="E10">
        <f t="shared" si="1"/>
        <v>0.05825242718446602</v>
      </c>
      <c r="F10">
        <f t="shared" si="2"/>
        <v>6</v>
      </c>
      <c r="G10">
        <v>4.3478062157221204</v>
      </c>
    </row>
    <row r="11" spans="1:7" ht="12.75">
      <c r="A11">
        <v>10930</v>
      </c>
      <c r="B11">
        <v>0.078</v>
      </c>
      <c r="C11">
        <v>85</v>
      </c>
      <c r="D11">
        <f t="shared" si="0"/>
        <v>6.788783165599269</v>
      </c>
      <c r="E11">
        <f t="shared" si="1"/>
        <v>0.06796116504854369</v>
      </c>
      <c r="F11">
        <f t="shared" si="2"/>
        <v>7</v>
      </c>
      <c r="G11">
        <v>4.432898415657037</v>
      </c>
    </row>
    <row r="12" spans="1:13" ht="12.75">
      <c r="A12">
        <v>10950</v>
      </c>
      <c r="B12">
        <v>0.07</v>
      </c>
      <c r="C12">
        <v>86</v>
      </c>
      <c r="D12">
        <f t="shared" si="0"/>
        <v>6.081369863013698</v>
      </c>
      <c r="E12">
        <f t="shared" si="1"/>
        <v>0.07766990291262135</v>
      </c>
      <c r="F12">
        <f t="shared" si="2"/>
        <v>8</v>
      </c>
      <c r="G12">
        <v>4.5</v>
      </c>
      <c r="I12" s="14"/>
      <c r="J12" s="14"/>
      <c r="K12" s="14"/>
      <c r="L12" s="14"/>
      <c r="M12" s="14"/>
    </row>
    <row r="13" spans="1:13" ht="12.75">
      <c r="A13">
        <v>10800</v>
      </c>
      <c r="B13">
        <v>0.072</v>
      </c>
      <c r="C13">
        <v>133</v>
      </c>
      <c r="D13">
        <f t="shared" si="0"/>
        <v>6.3420000000000005</v>
      </c>
      <c r="E13">
        <f t="shared" si="1"/>
        <v>0.08737864077669903</v>
      </c>
      <c r="F13">
        <f t="shared" si="2"/>
        <v>9</v>
      </c>
      <c r="G13">
        <v>4.564779270633397</v>
      </c>
      <c r="I13" s="14"/>
      <c r="J13" s="14"/>
      <c r="K13" s="14"/>
      <c r="L13" s="14"/>
      <c r="M13" s="14"/>
    </row>
    <row r="14" spans="1:13" ht="15">
      <c r="A14">
        <v>10630</v>
      </c>
      <c r="B14">
        <v>0.097</v>
      </c>
      <c r="C14">
        <v>78</v>
      </c>
      <c r="D14">
        <f t="shared" si="0"/>
        <v>8.680724365004703</v>
      </c>
      <c r="E14">
        <f t="shared" si="1"/>
        <v>0.0970873786407767</v>
      </c>
      <c r="F14">
        <f t="shared" si="2"/>
        <v>10</v>
      </c>
      <c r="G14">
        <v>4.738948339483395</v>
      </c>
      <c r="I14" s="49"/>
      <c r="J14" s="50"/>
      <c r="K14" s="14"/>
      <c r="L14" s="14"/>
      <c r="M14" s="14"/>
    </row>
    <row r="15" spans="1:13" ht="12.75">
      <c r="A15">
        <v>10690</v>
      </c>
      <c r="B15">
        <v>0.058</v>
      </c>
      <c r="C15">
        <v>127</v>
      </c>
      <c r="D15">
        <f t="shared" si="0"/>
        <v>5.161403180542563</v>
      </c>
      <c r="E15">
        <f t="shared" si="1"/>
        <v>0.10679611650485436</v>
      </c>
      <c r="F15">
        <f t="shared" si="2"/>
        <v>11</v>
      </c>
      <c r="G15">
        <v>4.8054443405051455</v>
      </c>
      <c r="I15" s="14"/>
      <c r="J15" s="14"/>
      <c r="K15" s="14"/>
      <c r="L15" s="14"/>
      <c r="M15" s="14"/>
    </row>
    <row r="16" spans="1:13" ht="12.75">
      <c r="A16">
        <v>10550</v>
      </c>
      <c r="B16">
        <v>0.089</v>
      </c>
      <c r="C16">
        <v>120</v>
      </c>
      <c r="D16">
        <f t="shared" si="0"/>
        <v>8.025184834123223</v>
      </c>
      <c r="E16">
        <f t="shared" si="1"/>
        <v>0.11650485436893204</v>
      </c>
      <c r="F16">
        <f t="shared" si="2"/>
        <v>12</v>
      </c>
      <c r="G16">
        <v>4.814451733833177</v>
      </c>
      <c r="I16" s="51"/>
      <c r="J16" s="52"/>
      <c r="K16" s="14"/>
      <c r="L16" s="14"/>
      <c r="M16" s="14"/>
    </row>
    <row r="17" spans="1:13" ht="12.75">
      <c r="A17">
        <v>10790</v>
      </c>
      <c r="B17">
        <v>0.078</v>
      </c>
      <c r="C17">
        <v>119</v>
      </c>
      <c r="D17">
        <f t="shared" si="0"/>
        <v>6.876867469879519</v>
      </c>
      <c r="E17">
        <f t="shared" si="1"/>
        <v>0.1262135922330097</v>
      </c>
      <c r="F17">
        <f t="shared" si="2"/>
        <v>13</v>
      </c>
      <c r="G17">
        <v>4.818968105065666</v>
      </c>
      <c r="I17" s="14"/>
      <c r="J17" s="14"/>
      <c r="K17" s="14"/>
      <c r="L17" s="14"/>
      <c r="M17" s="14"/>
    </row>
    <row r="18" spans="1:13" ht="12.75">
      <c r="A18">
        <v>10660</v>
      </c>
      <c r="B18">
        <v>0.065</v>
      </c>
      <c r="C18">
        <v>161</v>
      </c>
      <c r="D18">
        <f t="shared" si="0"/>
        <v>5.800609756097561</v>
      </c>
      <c r="E18">
        <f t="shared" si="1"/>
        <v>0.13592233009708737</v>
      </c>
      <c r="F18">
        <f t="shared" si="2"/>
        <v>14</v>
      </c>
      <c r="G18">
        <v>4.8554064272211725</v>
      </c>
      <c r="I18" s="14"/>
      <c r="J18" s="14"/>
      <c r="K18" s="14"/>
      <c r="L18" s="14"/>
      <c r="M18" s="14"/>
    </row>
    <row r="19" spans="1:13" ht="12.75">
      <c r="A19">
        <v>10790</v>
      </c>
      <c r="B19">
        <v>0.1</v>
      </c>
      <c r="C19">
        <v>97</v>
      </c>
      <c r="D19">
        <f t="shared" si="0"/>
        <v>8.816496756255793</v>
      </c>
      <c r="E19">
        <f t="shared" si="1"/>
        <v>0.14563106796116504</v>
      </c>
      <c r="F19">
        <f t="shared" si="2"/>
        <v>15</v>
      </c>
      <c r="G19">
        <v>4.899016853932585</v>
      </c>
      <c r="I19" s="14"/>
      <c r="J19" s="14"/>
      <c r="K19" s="14"/>
      <c r="L19" s="14"/>
      <c r="M19" s="14"/>
    </row>
    <row r="20" spans="1:13" ht="12.75">
      <c r="A20">
        <v>10500</v>
      </c>
      <c r="B20">
        <v>0.129</v>
      </c>
      <c r="C20">
        <v>107</v>
      </c>
      <c r="D20">
        <f t="shared" si="0"/>
        <v>11.6874</v>
      </c>
      <c r="E20">
        <f t="shared" si="1"/>
        <v>0.1553398058252427</v>
      </c>
      <c r="F20">
        <f t="shared" si="2"/>
        <v>16</v>
      </c>
      <c r="G20">
        <v>4.910972404730618</v>
      </c>
      <c r="I20" s="14"/>
      <c r="J20" s="14"/>
      <c r="K20" s="14"/>
      <c r="L20" s="14"/>
      <c r="M20" s="14"/>
    </row>
    <row r="21" spans="1:13" ht="15">
      <c r="A21">
        <v>10500</v>
      </c>
      <c r="B21">
        <v>0.109</v>
      </c>
      <c r="C21">
        <v>112</v>
      </c>
      <c r="D21">
        <f t="shared" si="0"/>
        <v>9.875399999999999</v>
      </c>
      <c r="E21">
        <f t="shared" si="1"/>
        <v>0.1650485436893204</v>
      </c>
      <c r="F21">
        <f t="shared" si="2"/>
        <v>17</v>
      </c>
      <c r="G21">
        <v>4.920517241379311</v>
      </c>
      <c r="I21" s="49"/>
      <c r="J21" s="50"/>
      <c r="K21" s="14"/>
      <c r="L21" s="14"/>
      <c r="M21" s="14"/>
    </row>
    <row r="22" spans="1:13" ht="12.75">
      <c r="A22">
        <v>10700</v>
      </c>
      <c r="B22">
        <v>0.089</v>
      </c>
      <c r="C22">
        <v>168</v>
      </c>
      <c r="D22">
        <f t="shared" si="0"/>
        <v>7.912682242990654</v>
      </c>
      <c r="E22">
        <f t="shared" si="1"/>
        <v>0.17475728155339806</v>
      </c>
      <c r="F22">
        <f t="shared" si="2"/>
        <v>18</v>
      </c>
      <c r="G22">
        <v>4.95</v>
      </c>
      <c r="I22" s="14"/>
      <c r="J22" s="14"/>
      <c r="K22" s="14"/>
      <c r="L22" s="14"/>
      <c r="M22" s="14"/>
    </row>
    <row r="23" spans="1:13" ht="12.75">
      <c r="A23">
        <v>10700</v>
      </c>
      <c r="B23">
        <v>0.113</v>
      </c>
      <c r="C23">
        <v>113</v>
      </c>
      <c r="D23">
        <f t="shared" si="0"/>
        <v>10.04643925233645</v>
      </c>
      <c r="E23">
        <f t="shared" si="1"/>
        <v>0.18446601941747573</v>
      </c>
      <c r="F23">
        <f t="shared" si="2"/>
        <v>19</v>
      </c>
      <c r="G23">
        <v>5.016105457909343</v>
      </c>
      <c r="I23" s="51"/>
      <c r="J23" s="52"/>
      <c r="K23" s="14"/>
      <c r="L23" s="14"/>
      <c r="M23" s="14"/>
    </row>
    <row r="24" spans="1:13" ht="12.75">
      <c r="A24">
        <v>10860</v>
      </c>
      <c r="B24">
        <v>0.095</v>
      </c>
      <c r="C24">
        <v>117</v>
      </c>
      <c r="D24">
        <f t="shared" si="0"/>
        <v>8.321685082872929</v>
      </c>
      <c r="E24">
        <f t="shared" si="1"/>
        <v>0.1941747572815534</v>
      </c>
      <c r="F24">
        <f t="shared" si="2"/>
        <v>20</v>
      </c>
      <c r="G24">
        <v>5.016105457909343</v>
      </c>
      <c r="I24" s="14"/>
      <c r="J24" s="14"/>
      <c r="K24" s="14"/>
      <c r="L24" s="14"/>
      <c r="M24" s="14"/>
    </row>
    <row r="25" spans="1:7" ht="12.75">
      <c r="A25">
        <v>10690</v>
      </c>
      <c r="B25">
        <v>0.084</v>
      </c>
      <c r="C25">
        <v>121</v>
      </c>
      <c r="D25">
        <f t="shared" si="0"/>
        <v>7.475135640785781</v>
      </c>
      <c r="E25">
        <f t="shared" si="1"/>
        <v>0.20388349514563106</v>
      </c>
      <c r="F25">
        <f t="shared" si="2"/>
        <v>21</v>
      </c>
      <c r="G25">
        <v>5.016442953020134</v>
      </c>
    </row>
    <row r="26" spans="1:7" ht="12.75">
      <c r="A26">
        <v>10710</v>
      </c>
      <c r="B26">
        <v>0.081</v>
      </c>
      <c r="C26">
        <v>140</v>
      </c>
      <c r="D26">
        <f t="shared" si="0"/>
        <v>7.194705882352942</v>
      </c>
      <c r="E26">
        <f t="shared" si="1"/>
        <v>0.21359223300970873</v>
      </c>
      <c r="F26">
        <f t="shared" si="2"/>
        <v>22</v>
      </c>
      <c r="G26">
        <v>5.079757281553398</v>
      </c>
    </row>
    <row r="27" spans="1:7" ht="12.75">
      <c r="A27">
        <v>10820</v>
      </c>
      <c r="B27">
        <v>0.078</v>
      </c>
      <c r="C27">
        <v>125</v>
      </c>
      <c r="D27">
        <f t="shared" si="0"/>
        <v>6.857800369685768</v>
      </c>
      <c r="E27">
        <f t="shared" si="1"/>
        <v>0.22330097087378642</v>
      </c>
      <c r="F27">
        <f t="shared" si="2"/>
        <v>23</v>
      </c>
      <c r="G27">
        <v>5.1135681186283595</v>
      </c>
    </row>
    <row r="28" spans="1:7" ht="12.75">
      <c r="A28">
        <v>10740</v>
      </c>
      <c r="B28">
        <v>0.091</v>
      </c>
      <c r="C28">
        <v>177</v>
      </c>
      <c r="D28">
        <f t="shared" si="0"/>
        <v>8.06036312849162</v>
      </c>
      <c r="E28">
        <f t="shared" si="1"/>
        <v>0.23300970873786409</v>
      </c>
      <c r="F28">
        <f t="shared" si="2"/>
        <v>24</v>
      </c>
      <c r="G28">
        <v>5.161403180542563</v>
      </c>
    </row>
    <row r="29" spans="1:7" ht="12.75">
      <c r="A29">
        <v>10680</v>
      </c>
      <c r="B29">
        <v>0.073</v>
      </c>
      <c r="C29">
        <v>147</v>
      </c>
      <c r="D29">
        <f t="shared" si="0"/>
        <v>6.502331460674158</v>
      </c>
      <c r="E29">
        <f t="shared" si="1"/>
        <v>0.24271844660194175</v>
      </c>
      <c r="F29">
        <f t="shared" si="2"/>
        <v>25</v>
      </c>
      <c r="G29">
        <v>5.222140896614822</v>
      </c>
    </row>
    <row r="30" spans="1:7" ht="12.75">
      <c r="A30">
        <v>10700</v>
      </c>
      <c r="B30">
        <v>0.095</v>
      </c>
      <c r="C30">
        <v>111</v>
      </c>
      <c r="D30">
        <f t="shared" si="0"/>
        <v>8.446121495327104</v>
      </c>
      <c r="E30">
        <f t="shared" si="1"/>
        <v>0.2524271844660194</v>
      </c>
      <c r="F30">
        <f t="shared" si="2"/>
        <v>26</v>
      </c>
      <c r="G30">
        <v>5.23651376146789</v>
      </c>
    </row>
    <row r="31" spans="1:7" ht="12.75">
      <c r="A31">
        <v>10770</v>
      </c>
      <c r="B31">
        <v>0.077</v>
      </c>
      <c r="C31">
        <v>73</v>
      </c>
      <c r="D31">
        <f t="shared" si="0"/>
        <v>6.8013091922005575</v>
      </c>
      <c r="E31">
        <f t="shared" si="1"/>
        <v>0.2621359223300971</v>
      </c>
      <c r="F31">
        <f t="shared" si="2"/>
        <v>27</v>
      </c>
      <c r="G31">
        <v>5.264828244274809</v>
      </c>
    </row>
    <row r="32" spans="1:7" ht="12.75">
      <c r="A32">
        <v>10720</v>
      </c>
      <c r="B32">
        <v>0.097</v>
      </c>
      <c r="C32">
        <v>90</v>
      </c>
      <c r="D32">
        <f t="shared" si="0"/>
        <v>8.607845149253732</v>
      </c>
      <c r="E32">
        <f t="shared" si="1"/>
        <v>0.27184466019417475</v>
      </c>
      <c r="F32">
        <f t="shared" si="2"/>
        <v>28</v>
      </c>
      <c r="G32">
        <v>5.304646840148699</v>
      </c>
    </row>
    <row r="33" spans="1:7" ht="12.75">
      <c r="A33">
        <v>10890</v>
      </c>
      <c r="B33">
        <v>0.087</v>
      </c>
      <c r="C33">
        <v>125</v>
      </c>
      <c r="D33">
        <f t="shared" si="0"/>
        <v>7.599917355371901</v>
      </c>
      <c r="E33">
        <f t="shared" si="1"/>
        <v>0.2815533980582524</v>
      </c>
      <c r="F33">
        <f t="shared" si="2"/>
        <v>29</v>
      </c>
      <c r="G33">
        <v>5.413180970149254</v>
      </c>
    </row>
    <row r="34" spans="1:7" ht="12.75">
      <c r="A34">
        <v>10800</v>
      </c>
      <c r="B34">
        <v>0.08</v>
      </c>
      <c r="C34">
        <v>116</v>
      </c>
      <c r="D34">
        <f t="shared" si="0"/>
        <v>7.046666666666667</v>
      </c>
      <c r="E34">
        <f t="shared" si="1"/>
        <v>0.2912621359223301</v>
      </c>
      <c r="F34">
        <f t="shared" si="2"/>
        <v>30</v>
      </c>
      <c r="G34">
        <v>5.45678776290631</v>
      </c>
    </row>
    <row r="35" spans="1:7" ht="12.75">
      <c r="A35">
        <v>10840</v>
      </c>
      <c r="B35">
        <v>0.054</v>
      </c>
      <c r="C35">
        <v>87</v>
      </c>
      <c r="D35">
        <f t="shared" si="0"/>
        <v>4.738948339483395</v>
      </c>
      <c r="E35">
        <f t="shared" si="1"/>
        <v>0.30097087378640774</v>
      </c>
      <c r="F35">
        <f t="shared" si="2"/>
        <v>31</v>
      </c>
      <c r="G35">
        <v>5.461166666666666</v>
      </c>
    </row>
    <row r="36" spans="1:7" ht="12.75">
      <c r="A36">
        <v>10727</v>
      </c>
      <c r="B36">
        <v>0.063</v>
      </c>
      <c r="C36">
        <v>98</v>
      </c>
      <c r="D36">
        <f t="shared" si="0"/>
        <v>5.587014076629067</v>
      </c>
      <c r="E36">
        <f t="shared" si="1"/>
        <v>0.3106796116504854</v>
      </c>
      <c r="F36">
        <f t="shared" si="2"/>
        <v>32</v>
      </c>
      <c r="G36">
        <v>5.485757437070938</v>
      </c>
    </row>
    <row r="37" spans="1:7" ht="12.75">
      <c r="A37">
        <v>10410</v>
      </c>
      <c r="B37">
        <v>0.072</v>
      </c>
      <c r="C37">
        <v>70</v>
      </c>
      <c r="D37">
        <f t="shared" si="0"/>
        <v>6.579596541786744</v>
      </c>
      <c r="E37">
        <f aca="true" t="shared" si="3" ref="E37:E68">F37/MAX(Leland_index)</f>
        <v>0.32038834951456313</v>
      </c>
      <c r="F37">
        <f t="shared" si="2"/>
        <v>33</v>
      </c>
      <c r="G37">
        <v>5.514782608695652</v>
      </c>
    </row>
    <row r="38" spans="1:7" ht="12.75">
      <c r="A38">
        <v>10632</v>
      </c>
      <c r="B38">
        <v>0.067</v>
      </c>
      <c r="C38">
        <v>166</v>
      </c>
      <c r="D38">
        <f t="shared" si="0"/>
        <v>5.994836343115125</v>
      </c>
      <c r="E38">
        <f t="shared" si="3"/>
        <v>0.3300970873786408</v>
      </c>
      <c r="F38">
        <f t="shared" si="2"/>
        <v>34</v>
      </c>
      <c r="G38">
        <v>5.587014076629067</v>
      </c>
    </row>
    <row r="39" spans="1:7" ht="12.75">
      <c r="A39">
        <v>10654</v>
      </c>
      <c r="B39">
        <v>0.055</v>
      </c>
      <c r="C39">
        <v>164</v>
      </c>
      <c r="D39">
        <f t="shared" si="0"/>
        <v>4.910972404730618</v>
      </c>
      <c r="E39">
        <f t="shared" si="3"/>
        <v>0.33980582524271846</v>
      </c>
      <c r="F39">
        <f t="shared" si="2"/>
        <v>35</v>
      </c>
      <c r="G39">
        <v>5.616860356138707</v>
      </c>
    </row>
    <row r="40" spans="1:7" ht="12.75">
      <c r="A40">
        <v>10750</v>
      </c>
      <c r="B40">
        <v>0.073</v>
      </c>
      <c r="C40">
        <v>126</v>
      </c>
      <c r="D40">
        <f t="shared" si="0"/>
        <v>6.459990697674419</v>
      </c>
      <c r="E40">
        <f t="shared" si="3"/>
        <v>0.34951456310679613</v>
      </c>
      <c r="F40">
        <f t="shared" si="2"/>
        <v>36</v>
      </c>
      <c r="G40">
        <v>5.637996237064911</v>
      </c>
    </row>
    <row r="41" spans="1:7" ht="12.75">
      <c r="A41">
        <v>10608</v>
      </c>
      <c r="B41">
        <v>0.076</v>
      </c>
      <c r="C41">
        <v>95</v>
      </c>
      <c r="D41">
        <f t="shared" si="0"/>
        <v>6.815497737556561</v>
      </c>
      <c r="E41">
        <f t="shared" si="3"/>
        <v>0.3592233009708738</v>
      </c>
      <c r="F41">
        <f t="shared" si="2"/>
        <v>37</v>
      </c>
      <c r="G41">
        <v>5.699032258064516</v>
      </c>
    </row>
    <row r="42" spans="1:7" ht="12.75">
      <c r="A42">
        <v>10925</v>
      </c>
      <c r="B42">
        <v>0.063</v>
      </c>
      <c r="C42">
        <v>120</v>
      </c>
      <c r="D42">
        <f t="shared" si="0"/>
        <v>5.485757437070938</v>
      </c>
      <c r="E42">
        <f t="shared" si="3"/>
        <v>0.36893203883495146</v>
      </c>
      <c r="F42">
        <f t="shared" si="2"/>
        <v>38</v>
      </c>
      <c r="G42">
        <v>5.723409298085689</v>
      </c>
    </row>
    <row r="43" spans="1:7" ht="12.75">
      <c r="A43">
        <v>10480</v>
      </c>
      <c r="B43">
        <v>0.071</v>
      </c>
      <c r="C43">
        <v>123</v>
      </c>
      <c r="D43">
        <f t="shared" si="0"/>
        <v>6.444875954198474</v>
      </c>
      <c r="E43">
        <f t="shared" si="3"/>
        <v>0.3786407766990291</v>
      </c>
      <c r="F43">
        <f t="shared" si="2"/>
        <v>39</v>
      </c>
      <c r="G43">
        <v>5.746107382550336</v>
      </c>
    </row>
    <row r="44" spans="1:7" ht="12.75">
      <c r="A44">
        <v>10801</v>
      </c>
      <c r="B44">
        <v>0.067</v>
      </c>
      <c r="C44">
        <v>133</v>
      </c>
      <c r="D44">
        <f t="shared" si="0"/>
        <v>5.90103694102398</v>
      </c>
      <c r="E44">
        <f t="shared" si="3"/>
        <v>0.3883495145631068</v>
      </c>
      <c r="F44">
        <f t="shared" si="2"/>
        <v>40</v>
      </c>
      <c r="G44">
        <v>5.781381215469613</v>
      </c>
    </row>
    <row r="45" spans="1:7" ht="12.75">
      <c r="A45">
        <v>10490</v>
      </c>
      <c r="B45">
        <v>0.089</v>
      </c>
      <c r="C45">
        <v>97</v>
      </c>
      <c r="D45">
        <f t="shared" si="0"/>
        <v>8.071086749285033</v>
      </c>
      <c r="E45">
        <f t="shared" si="3"/>
        <v>0.39805825242718446</v>
      </c>
      <c r="F45">
        <f t="shared" si="2"/>
        <v>41</v>
      </c>
      <c r="G45">
        <v>5.800609756097561</v>
      </c>
    </row>
    <row r="46" spans="1:7" ht="12.75">
      <c r="A46">
        <v>10430</v>
      </c>
      <c r="B46">
        <v>0.055</v>
      </c>
      <c r="C46">
        <v>174</v>
      </c>
      <c r="D46">
        <f t="shared" si="0"/>
        <v>5.016442953020134</v>
      </c>
      <c r="E46">
        <f t="shared" si="3"/>
        <v>0.4077669902912621</v>
      </c>
      <c r="F46">
        <f t="shared" si="2"/>
        <v>42</v>
      </c>
      <c r="G46">
        <v>5.90103694102398</v>
      </c>
    </row>
    <row r="47" spans="1:7" ht="12.75">
      <c r="A47">
        <v>10580</v>
      </c>
      <c r="B47">
        <v>0.054</v>
      </c>
      <c r="C47">
        <v>127</v>
      </c>
      <c r="D47">
        <f t="shared" si="0"/>
        <v>4.8554064272211725</v>
      </c>
      <c r="E47">
        <f t="shared" si="3"/>
        <v>0.4174757281553398</v>
      </c>
      <c r="F47">
        <f t="shared" si="2"/>
        <v>43</v>
      </c>
      <c r="G47">
        <v>5.940083876980429</v>
      </c>
    </row>
    <row r="48" spans="1:7" ht="12.75">
      <c r="A48">
        <v>10690</v>
      </c>
      <c r="B48">
        <v>0.054</v>
      </c>
      <c r="C48">
        <v>160</v>
      </c>
      <c r="D48">
        <f t="shared" si="0"/>
        <v>4.8054443405051455</v>
      </c>
      <c r="E48">
        <f t="shared" si="3"/>
        <v>0.42718446601941745</v>
      </c>
      <c r="F48">
        <f t="shared" si="2"/>
        <v>44</v>
      </c>
      <c r="G48">
        <v>5.994836343115125</v>
      </c>
    </row>
    <row r="49" spans="1:7" ht="12.75">
      <c r="A49">
        <v>10420</v>
      </c>
      <c r="B49">
        <v>0.05</v>
      </c>
      <c r="C49">
        <v>103</v>
      </c>
      <c r="D49">
        <f t="shared" si="0"/>
        <v>4.564779270633397</v>
      </c>
      <c r="E49">
        <f t="shared" si="3"/>
        <v>0.4368932038834951</v>
      </c>
      <c r="F49">
        <f t="shared" si="2"/>
        <v>45</v>
      </c>
      <c r="G49">
        <v>6.0063509749303625</v>
      </c>
    </row>
    <row r="50" spans="1:7" ht="12.75">
      <c r="A50">
        <v>10430</v>
      </c>
      <c r="B50">
        <v>0.063</v>
      </c>
      <c r="C50">
        <v>103</v>
      </c>
      <c r="D50">
        <f t="shared" si="0"/>
        <v>5.746107382550336</v>
      </c>
      <c r="E50">
        <f t="shared" si="3"/>
        <v>0.44660194174757284</v>
      </c>
      <c r="F50">
        <f t="shared" si="2"/>
        <v>46</v>
      </c>
      <c r="G50">
        <v>6.027520661157024</v>
      </c>
    </row>
    <row r="51" spans="1:7" ht="12.75">
      <c r="A51">
        <v>10630</v>
      </c>
      <c r="B51">
        <v>0.063</v>
      </c>
      <c r="C51">
        <v>75</v>
      </c>
      <c r="D51">
        <f t="shared" si="0"/>
        <v>5.637996237064911</v>
      </c>
      <c r="E51">
        <f t="shared" si="3"/>
        <v>0.4563106796116505</v>
      </c>
      <c r="F51">
        <f t="shared" si="2"/>
        <v>47</v>
      </c>
      <c r="G51">
        <v>6.042906641000963</v>
      </c>
    </row>
    <row r="52" spans="1:7" ht="12.75">
      <c r="A52">
        <v>10720</v>
      </c>
      <c r="B52">
        <v>0.061</v>
      </c>
      <c r="C52">
        <v>83</v>
      </c>
      <c r="D52">
        <f t="shared" si="0"/>
        <v>5.413180970149254</v>
      </c>
      <c r="E52">
        <f t="shared" si="3"/>
        <v>0.46601941747572817</v>
      </c>
      <c r="F52">
        <f t="shared" si="2"/>
        <v>48</v>
      </c>
      <c r="G52">
        <v>6.081369863013698</v>
      </c>
    </row>
    <row r="53" spans="1:7" ht="12.75">
      <c r="A53">
        <v>10440</v>
      </c>
      <c r="B53">
        <v>0.054</v>
      </c>
      <c r="C53">
        <v>147</v>
      </c>
      <c r="D53">
        <f t="shared" si="0"/>
        <v>4.920517241379311</v>
      </c>
      <c r="E53">
        <f t="shared" si="3"/>
        <v>0.47572815533980584</v>
      </c>
      <c r="F53">
        <f t="shared" si="2"/>
        <v>49</v>
      </c>
      <c r="G53">
        <v>6.11739981360671</v>
      </c>
    </row>
    <row r="54" spans="1:7" ht="12.75">
      <c r="A54">
        <v>10570</v>
      </c>
      <c r="B54">
        <v>0.055</v>
      </c>
      <c r="C54">
        <v>97</v>
      </c>
      <c r="D54">
        <f t="shared" si="0"/>
        <v>4.95</v>
      </c>
      <c r="E54">
        <f t="shared" si="3"/>
        <v>0.4854368932038835</v>
      </c>
      <c r="F54">
        <f t="shared" si="2"/>
        <v>50</v>
      </c>
      <c r="G54">
        <v>6.13142578125</v>
      </c>
    </row>
    <row r="55" spans="1:7" ht="12.75">
      <c r="A55">
        <v>10490</v>
      </c>
      <c r="B55">
        <v>0.025</v>
      </c>
      <c r="C55">
        <v>97</v>
      </c>
      <c r="D55">
        <f t="shared" si="0"/>
        <v>2.2671591992373687</v>
      </c>
      <c r="E55">
        <f t="shared" si="3"/>
        <v>0.49514563106796117</v>
      </c>
      <c r="F55">
        <f t="shared" si="2"/>
        <v>51</v>
      </c>
      <c r="G55">
        <v>6.1316018957345975</v>
      </c>
    </row>
    <row r="56" spans="1:7" ht="12.75">
      <c r="A56">
        <v>10560</v>
      </c>
      <c r="B56">
        <v>0.082</v>
      </c>
      <c r="C56">
        <v>88</v>
      </c>
      <c r="D56">
        <f t="shared" si="0"/>
        <v>7.386988636363637</v>
      </c>
      <c r="E56">
        <f t="shared" si="3"/>
        <v>0.5048543689320388</v>
      </c>
      <c r="F56">
        <f t="shared" si="2"/>
        <v>52</v>
      </c>
      <c r="G56">
        <v>6.330277264325324</v>
      </c>
    </row>
    <row r="57" spans="1:7" ht="12.75">
      <c r="A57">
        <v>10520</v>
      </c>
      <c r="B57">
        <v>0.077</v>
      </c>
      <c r="C57">
        <v>121</v>
      </c>
      <c r="D57">
        <f t="shared" si="0"/>
        <v>6.962937262357415</v>
      </c>
      <c r="E57">
        <f t="shared" si="3"/>
        <v>0.5145631067961165</v>
      </c>
      <c r="F57">
        <f t="shared" si="2"/>
        <v>53</v>
      </c>
      <c r="G57">
        <v>6.3420000000000005</v>
      </c>
    </row>
    <row r="58" spans="1:7" ht="12.75">
      <c r="A58">
        <v>10760</v>
      </c>
      <c r="B58">
        <v>0.06</v>
      </c>
      <c r="C58">
        <v>134</v>
      </c>
      <c r="D58">
        <f t="shared" si="0"/>
        <v>5.304646840148699</v>
      </c>
      <c r="E58">
        <f t="shared" si="3"/>
        <v>0.5242718446601942</v>
      </c>
      <c r="F58">
        <f t="shared" si="2"/>
        <v>54</v>
      </c>
      <c r="G58">
        <v>6.412271468144045</v>
      </c>
    </row>
    <row r="59" spans="1:7" ht="12.75">
      <c r="A59">
        <v>10770</v>
      </c>
      <c r="B59">
        <v>0.025</v>
      </c>
      <c r="C59">
        <v>89</v>
      </c>
      <c r="D59">
        <f t="shared" si="0"/>
        <v>2.2082172701949863</v>
      </c>
      <c r="E59">
        <f t="shared" si="3"/>
        <v>0.5339805825242718</v>
      </c>
      <c r="F59">
        <f t="shared" si="2"/>
        <v>55</v>
      </c>
      <c r="G59">
        <v>6.444875954198474</v>
      </c>
    </row>
    <row r="60" spans="1:7" ht="12.75">
      <c r="A60">
        <v>10830</v>
      </c>
      <c r="B60">
        <v>0.025</v>
      </c>
      <c r="C60">
        <v>119</v>
      </c>
      <c r="D60">
        <f t="shared" si="0"/>
        <v>2.195983379501385</v>
      </c>
      <c r="E60">
        <f t="shared" si="3"/>
        <v>0.5436893203883495</v>
      </c>
      <c r="F60">
        <f t="shared" si="2"/>
        <v>56</v>
      </c>
      <c r="G60">
        <v>6.459990697674419</v>
      </c>
    </row>
    <row r="61" spans="1:7" ht="12.75">
      <c r="A61">
        <v>10670</v>
      </c>
      <c r="B61">
        <v>0.054</v>
      </c>
      <c r="C61">
        <v>138</v>
      </c>
      <c r="D61">
        <f t="shared" si="0"/>
        <v>4.814451733833177</v>
      </c>
      <c r="E61">
        <f t="shared" si="3"/>
        <v>0.5533980582524272</v>
      </c>
      <c r="F61">
        <f t="shared" si="2"/>
        <v>57</v>
      </c>
      <c r="G61">
        <v>6.484117647058825</v>
      </c>
    </row>
    <row r="62" spans="1:7" ht="12.75">
      <c r="A62">
        <v>10810</v>
      </c>
      <c r="B62">
        <v>0.057</v>
      </c>
      <c r="C62">
        <v>142</v>
      </c>
      <c r="D62">
        <f t="shared" si="0"/>
        <v>5.016105457909343</v>
      </c>
      <c r="E62">
        <f t="shared" si="3"/>
        <v>0.5631067961165048</v>
      </c>
      <c r="F62">
        <f t="shared" si="2"/>
        <v>58</v>
      </c>
      <c r="G62">
        <v>6.502331460674158</v>
      </c>
    </row>
    <row r="63" spans="1:7" ht="12.75">
      <c r="A63">
        <v>10660</v>
      </c>
      <c r="B63">
        <v>0.054</v>
      </c>
      <c r="C63">
        <v>97</v>
      </c>
      <c r="D63">
        <f t="shared" si="0"/>
        <v>4.818968105065666</v>
      </c>
      <c r="E63">
        <f t="shared" si="3"/>
        <v>0.5728155339805825</v>
      </c>
      <c r="F63">
        <f t="shared" si="2"/>
        <v>59</v>
      </c>
      <c r="G63">
        <v>6.545230914231857</v>
      </c>
    </row>
    <row r="64" spans="1:7" ht="12.75">
      <c r="A64">
        <v>10550</v>
      </c>
      <c r="B64">
        <v>0.068</v>
      </c>
      <c r="C64">
        <v>91</v>
      </c>
      <c r="D64">
        <f t="shared" si="0"/>
        <v>6.1316018957345975</v>
      </c>
      <c r="E64">
        <f t="shared" si="3"/>
        <v>0.5825242718446602</v>
      </c>
      <c r="F64">
        <f t="shared" si="2"/>
        <v>60</v>
      </c>
      <c r="G64">
        <v>6.579596541786744</v>
      </c>
    </row>
    <row r="65" spans="1:7" ht="12.75">
      <c r="A65">
        <v>10770</v>
      </c>
      <c r="B65">
        <v>0.068</v>
      </c>
      <c r="C65">
        <v>106</v>
      </c>
      <c r="D65">
        <f t="shared" si="0"/>
        <v>6.0063509749303625</v>
      </c>
      <c r="E65">
        <f t="shared" si="3"/>
        <v>0.5922330097087378</v>
      </c>
      <c r="F65">
        <f t="shared" si="2"/>
        <v>61</v>
      </c>
      <c r="G65">
        <v>6.788783165599269</v>
      </c>
    </row>
    <row r="66" spans="1:7" ht="12.75">
      <c r="A66">
        <v>10390</v>
      </c>
      <c r="B66">
        <v>0.066</v>
      </c>
      <c r="C66">
        <v>137</v>
      </c>
      <c r="D66">
        <f t="shared" si="0"/>
        <v>6.042906641000963</v>
      </c>
      <c r="E66">
        <f t="shared" si="3"/>
        <v>0.6019417475728155</v>
      </c>
      <c r="F66">
        <f t="shared" si="2"/>
        <v>62</v>
      </c>
      <c r="G66">
        <v>6.8013091922005575</v>
      </c>
    </row>
    <row r="67" spans="1:7" ht="12.75">
      <c r="A67">
        <v>10670</v>
      </c>
      <c r="B67">
        <v>0.063</v>
      </c>
      <c r="C67">
        <v>115</v>
      </c>
      <c r="D67">
        <f t="shared" si="0"/>
        <v>5.616860356138707</v>
      </c>
      <c r="E67">
        <f t="shared" si="3"/>
        <v>0.6116504854368932</v>
      </c>
      <c r="F67">
        <f t="shared" si="2"/>
        <v>63</v>
      </c>
      <c r="G67">
        <v>6.815497737556561</v>
      </c>
    </row>
    <row r="68" spans="1:7" ht="12.75">
      <c r="A68">
        <v>10240</v>
      </c>
      <c r="B68">
        <v>0.066</v>
      </c>
      <c r="C68">
        <v>116</v>
      </c>
      <c r="D68">
        <f t="shared" si="0"/>
        <v>6.13142578125</v>
      </c>
      <c r="E68">
        <f t="shared" si="3"/>
        <v>0.6213592233009708</v>
      </c>
      <c r="F68">
        <f t="shared" si="2"/>
        <v>64</v>
      </c>
      <c r="G68">
        <v>6.820641509433963</v>
      </c>
    </row>
    <row r="69" spans="1:7" ht="12.75">
      <c r="A69">
        <v>10510</v>
      </c>
      <c r="B69">
        <v>0.025</v>
      </c>
      <c r="C69">
        <v>83</v>
      </c>
      <c r="D69">
        <f aca="true" t="shared" si="4" ref="D69:D107">1000000*B69*$B$3*EXP(-$A$3*C69)/A69</f>
        <v>2.2628449096098953</v>
      </c>
      <c r="E69">
        <f aca="true" t="shared" si="5" ref="E69:E91">F69/MAX(Leland_index)</f>
        <v>0.6310679611650486</v>
      </c>
      <c r="F69">
        <f t="shared" si="2"/>
        <v>65</v>
      </c>
      <c r="G69">
        <v>6.857800369685768</v>
      </c>
    </row>
    <row r="70" spans="1:7" ht="12.75">
      <c r="A70">
        <v>10460</v>
      </c>
      <c r="B70">
        <v>0.06</v>
      </c>
      <c r="C70">
        <v>124</v>
      </c>
      <c r="D70">
        <f t="shared" si="4"/>
        <v>5.45678776290631</v>
      </c>
      <c r="E70">
        <f t="shared" si="5"/>
        <v>0.6407766990291263</v>
      </c>
      <c r="F70">
        <f t="shared" si="2"/>
        <v>66</v>
      </c>
      <c r="G70">
        <v>6.863260273972602</v>
      </c>
    </row>
    <row r="71" spans="1:7" ht="12.75">
      <c r="A71">
        <v>10490</v>
      </c>
      <c r="B71">
        <v>0.025</v>
      </c>
      <c r="C71">
        <v>95</v>
      </c>
      <c r="D71">
        <f t="shared" si="4"/>
        <v>2.2671591992373687</v>
      </c>
      <c r="E71">
        <f t="shared" si="5"/>
        <v>0.6504854368932039</v>
      </c>
      <c r="F71">
        <f aca="true" t="shared" si="6" ref="F71:F107">F70+1</f>
        <v>67</v>
      </c>
      <c r="G71">
        <v>6.876867469879519</v>
      </c>
    </row>
    <row r="72" spans="1:7" ht="12.75">
      <c r="A72">
        <v>10790</v>
      </c>
      <c r="B72">
        <v>0.058</v>
      </c>
      <c r="C72">
        <v>137</v>
      </c>
      <c r="D72">
        <f t="shared" si="4"/>
        <v>5.1135681186283595</v>
      </c>
      <c r="E72">
        <f t="shared" si="5"/>
        <v>0.6601941747572816</v>
      </c>
      <c r="F72">
        <f t="shared" si="6"/>
        <v>68</v>
      </c>
      <c r="G72">
        <v>6.962937262357415</v>
      </c>
    </row>
    <row r="73" spans="1:7" ht="12.75">
      <c r="A73">
        <v>10970</v>
      </c>
      <c r="B73">
        <v>0.066</v>
      </c>
      <c r="C73">
        <v>120</v>
      </c>
      <c r="D73">
        <f t="shared" si="4"/>
        <v>5.723409298085689</v>
      </c>
      <c r="E73">
        <f t="shared" si="5"/>
        <v>0.6699029126213593</v>
      </c>
      <c r="F73">
        <f t="shared" si="6"/>
        <v>69</v>
      </c>
      <c r="G73">
        <v>7.046666666666667</v>
      </c>
    </row>
    <row r="74" spans="1:7" ht="12.75">
      <c r="A74">
        <v>10600</v>
      </c>
      <c r="B74">
        <v>0.087</v>
      </c>
      <c r="C74">
        <v>122</v>
      </c>
      <c r="D74">
        <f t="shared" si="4"/>
        <v>7.80783962264151</v>
      </c>
      <c r="E74">
        <f t="shared" si="5"/>
        <v>0.6796116504854369</v>
      </c>
      <c r="F74">
        <f t="shared" si="6"/>
        <v>70</v>
      </c>
      <c r="G74">
        <v>7.083195098963242</v>
      </c>
    </row>
    <row r="75" spans="1:7" ht="12.75">
      <c r="A75">
        <v>10850</v>
      </c>
      <c r="B75">
        <v>0.065</v>
      </c>
      <c r="C75">
        <v>71</v>
      </c>
      <c r="D75">
        <f t="shared" si="4"/>
        <v>5.699032258064516</v>
      </c>
      <c r="E75">
        <f t="shared" si="5"/>
        <v>0.6893203883495146</v>
      </c>
      <c r="F75">
        <f t="shared" si="6"/>
        <v>71</v>
      </c>
      <c r="G75">
        <v>7.194705882352942</v>
      </c>
    </row>
    <row r="76" spans="1:7" ht="12.75">
      <c r="A76">
        <v>10640</v>
      </c>
      <c r="B76">
        <v>0.097</v>
      </c>
      <c r="C76">
        <v>118</v>
      </c>
      <c r="D76">
        <f t="shared" si="4"/>
        <v>8.672565789473685</v>
      </c>
      <c r="E76">
        <f t="shared" si="5"/>
        <v>0.6990291262135923</v>
      </c>
      <c r="F76">
        <f t="shared" si="6"/>
        <v>72</v>
      </c>
      <c r="G76">
        <v>7.317692307692308</v>
      </c>
    </row>
    <row r="77" spans="1:7" ht="12.75">
      <c r="A77">
        <v>10930</v>
      </c>
      <c r="B77">
        <v>0.06</v>
      </c>
      <c r="C77">
        <v>117</v>
      </c>
      <c r="D77">
        <f t="shared" si="4"/>
        <v>5.222140896614822</v>
      </c>
      <c r="E77">
        <f t="shared" si="5"/>
        <v>0.7087378640776699</v>
      </c>
      <c r="F77">
        <f t="shared" si="6"/>
        <v>73</v>
      </c>
      <c r="G77">
        <v>7.3861459307764274</v>
      </c>
    </row>
    <row r="78" spans="1:7" ht="12.75">
      <c r="A78">
        <v>10900</v>
      </c>
      <c r="B78">
        <v>0.06</v>
      </c>
      <c r="C78">
        <v>120</v>
      </c>
      <c r="D78">
        <f t="shared" si="4"/>
        <v>5.23651376146789</v>
      </c>
      <c r="E78">
        <f t="shared" si="5"/>
        <v>0.7184466019417476</v>
      </c>
      <c r="F78">
        <f t="shared" si="6"/>
        <v>74</v>
      </c>
      <c r="G78">
        <v>7.386988636363637</v>
      </c>
    </row>
    <row r="79" spans="1:7" ht="12.75">
      <c r="A79">
        <v>10790</v>
      </c>
      <c r="B79">
        <v>0.091</v>
      </c>
      <c r="C79">
        <v>112</v>
      </c>
      <c r="D79">
        <f t="shared" si="4"/>
        <v>8.023012048192772</v>
      </c>
      <c r="E79">
        <f t="shared" si="5"/>
        <v>0.7281553398058253</v>
      </c>
      <c r="F79">
        <f t="shared" si="6"/>
        <v>75</v>
      </c>
      <c r="G79">
        <v>7.475135640785781</v>
      </c>
    </row>
    <row r="80" spans="1:7" ht="12.75">
      <c r="A80">
        <v>10300</v>
      </c>
      <c r="B80">
        <v>0.055</v>
      </c>
      <c r="C80">
        <v>117</v>
      </c>
      <c r="D80">
        <f t="shared" si="4"/>
        <v>5.079757281553398</v>
      </c>
      <c r="E80">
        <f t="shared" si="5"/>
        <v>0.7378640776699029</v>
      </c>
      <c r="F80">
        <f t="shared" si="6"/>
        <v>76</v>
      </c>
      <c r="G80">
        <v>7.491923076923078</v>
      </c>
    </row>
    <row r="81" spans="1:7" ht="12.75">
      <c r="A81">
        <v>10570</v>
      </c>
      <c r="B81">
        <v>0.05</v>
      </c>
      <c r="C81">
        <v>122</v>
      </c>
      <c r="D81">
        <f t="shared" si="4"/>
        <v>4.5</v>
      </c>
      <c r="E81">
        <f t="shared" si="5"/>
        <v>0.7475728155339806</v>
      </c>
      <c r="F81">
        <f t="shared" si="6"/>
        <v>77</v>
      </c>
      <c r="G81">
        <v>7.599917355371901</v>
      </c>
    </row>
    <row r="82" spans="1:7" ht="12.75">
      <c r="A82">
        <v>10560</v>
      </c>
      <c r="B82">
        <v>0.103</v>
      </c>
      <c r="C82">
        <v>103</v>
      </c>
      <c r="D82">
        <f t="shared" si="4"/>
        <v>9.27877840909091</v>
      </c>
      <c r="E82">
        <f t="shared" si="5"/>
        <v>0.7572815533980582</v>
      </c>
      <c r="F82">
        <f t="shared" si="6"/>
        <v>78</v>
      </c>
      <c r="G82">
        <v>7.646813397129186</v>
      </c>
    </row>
    <row r="83" spans="1:7" ht="12.75">
      <c r="A83">
        <v>10580</v>
      </c>
      <c r="B83">
        <v>0.09</v>
      </c>
      <c r="C83">
        <v>134</v>
      </c>
      <c r="D83">
        <f t="shared" si="4"/>
        <v>8.09234404536862</v>
      </c>
      <c r="E83">
        <f t="shared" si="5"/>
        <v>0.7669902912621359</v>
      </c>
      <c r="F83">
        <f t="shared" si="6"/>
        <v>79</v>
      </c>
      <c r="G83">
        <v>7.667460168697282</v>
      </c>
    </row>
    <row r="84" spans="1:7" ht="12.75">
      <c r="A84">
        <v>10820</v>
      </c>
      <c r="B84">
        <v>0.072</v>
      </c>
      <c r="C84">
        <v>151</v>
      </c>
      <c r="D84">
        <f t="shared" si="4"/>
        <v>6.330277264325324</v>
      </c>
      <c r="E84">
        <f t="shared" si="5"/>
        <v>0.7766990291262136</v>
      </c>
      <c r="F84">
        <f t="shared" si="6"/>
        <v>80</v>
      </c>
      <c r="G84">
        <v>7.80048067860509</v>
      </c>
    </row>
    <row r="85" spans="1:7" ht="12.75">
      <c r="A85">
        <v>10680</v>
      </c>
      <c r="B85">
        <v>0.055</v>
      </c>
      <c r="C85">
        <v>115</v>
      </c>
      <c r="D85">
        <f t="shared" si="4"/>
        <v>4.899016853932585</v>
      </c>
      <c r="E85">
        <f t="shared" si="5"/>
        <v>0.7864077669902912</v>
      </c>
      <c r="F85">
        <f t="shared" si="6"/>
        <v>81</v>
      </c>
      <c r="G85">
        <v>7.80783962264151</v>
      </c>
    </row>
    <row r="86" spans="1:7" ht="12.75">
      <c r="A86">
        <v>10600</v>
      </c>
      <c r="B86">
        <v>0.076</v>
      </c>
      <c r="C86">
        <v>122</v>
      </c>
      <c r="D86">
        <f t="shared" si="4"/>
        <v>6.820641509433963</v>
      </c>
      <c r="E86">
        <f t="shared" si="5"/>
        <v>0.7961165048543689</v>
      </c>
      <c r="F86">
        <f t="shared" si="6"/>
        <v>82</v>
      </c>
      <c r="G86">
        <v>7.912682242990654</v>
      </c>
    </row>
    <row r="87" spans="1:7" ht="12.75">
      <c r="A87">
        <v>10730</v>
      </c>
      <c r="B87">
        <v>0.05</v>
      </c>
      <c r="C87">
        <v>87</v>
      </c>
      <c r="D87">
        <f t="shared" si="4"/>
        <v>4.432898415657037</v>
      </c>
      <c r="E87">
        <f t="shared" si="5"/>
        <v>0.8058252427184466</v>
      </c>
      <c r="F87">
        <f t="shared" si="6"/>
        <v>83</v>
      </c>
      <c r="G87">
        <v>8.023012048192772</v>
      </c>
    </row>
    <row r="88" spans="1:7" ht="12.75">
      <c r="A88">
        <v>10480</v>
      </c>
      <c r="B88">
        <v>0.058</v>
      </c>
      <c r="C88">
        <v>94</v>
      </c>
      <c r="D88">
        <f t="shared" si="4"/>
        <v>5.264828244274809</v>
      </c>
      <c r="E88">
        <f t="shared" si="5"/>
        <v>0.8155339805825242</v>
      </c>
      <c r="F88">
        <f t="shared" si="6"/>
        <v>84</v>
      </c>
      <c r="G88">
        <v>8.025184834123223</v>
      </c>
    </row>
    <row r="89" spans="1:7" ht="12.75">
      <c r="A89">
        <v>10670</v>
      </c>
      <c r="B89">
        <v>0.093</v>
      </c>
      <c r="C89">
        <v>96</v>
      </c>
      <c r="D89">
        <f t="shared" si="4"/>
        <v>8.291555763823807</v>
      </c>
      <c r="E89">
        <f t="shared" si="5"/>
        <v>0.8252427184466019</v>
      </c>
      <c r="F89">
        <f t="shared" si="6"/>
        <v>85</v>
      </c>
      <c r="G89">
        <v>8.06036312849162</v>
      </c>
    </row>
    <row r="90" spans="1:7" ht="12.75">
      <c r="A90">
        <v>10860</v>
      </c>
      <c r="B90">
        <v>0.066</v>
      </c>
      <c r="C90">
        <v>83</v>
      </c>
      <c r="D90">
        <f t="shared" si="4"/>
        <v>5.781381215469613</v>
      </c>
      <c r="E90">
        <f t="shared" si="5"/>
        <v>0.8349514563106796</v>
      </c>
      <c r="F90">
        <f t="shared" si="6"/>
        <v>86</v>
      </c>
      <c r="G90">
        <v>8.0634</v>
      </c>
    </row>
    <row r="91" spans="1:7" ht="12.75">
      <c r="A91">
        <v>10610</v>
      </c>
      <c r="B91">
        <v>0.079</v>
      </c>
      <c r="C91">
        <v>106</v>
      </c>
      <c r="D91">
        <f t="shared" si="4"/>
        <v>7.083195098963242</v>
      </c>
      <c r="E91">
        <f t="shared" si="5"/>
        <v>0.8446601941747572</v>
      </c>
      <c r="F91">
        <f t="shared" si="6"/>
        <v>87</v>
      </c>
      <c r="G91">
        <v>8.071086749285033</v>
      </c>
    </row>
    <row r="92" spans="1:7" ht="12.75">
      <c r="A92">
        <v>10660</v>
      </c>
      <c r="B92">
        <v>0.092</v>
      </c>
      <c r="C92">
        <v>114</v>
      </c>
      <c r="D92">
        <f t="shared" si="4"/>
        <v>8.210093808630395</v>
      </c>
      <c r="E92">
        <f aca="true" t="shared" si="7" ref="E92:E107">F92/MAX(Leland_index)</f>
        <v>0.8543689320388349</v>
      </c>
      <c r="F92">
        <f t="shared" si="6"/>
        <v>88</v>
      </c>
      <c r="G92">
        <v>8.09234404536862</v>
      </c>
    </row>
    <row r="93" spans="1:7" ht="12.75">
      <c r="A93">
        <v>10730</v>
      </c>
      <c r="B93">
        <v>0.069</v>
      </c>
      <c r="C93">
        <v>85</v>
      </c>
      <c r="D93">
        <f t="shared" si="4"/>
        <v>6.11739981360671</v>
      </c>
      <c r="E93">
        <f t="shared" si="7"/>
        <v>0.8640776699029126</v>
      </c>
      <c r="F93">
        <f t="shared" si="6"/>
        <v>89</v>
      </c>
      <c r="G93">
        <v>8.210093808630395</v>
      </c>
    </row>
    <row r="94" spans="1:7" ht="12.75">
      <c r="A94">
        <v>10730</v>
      </c>
      <c r="B94">
        <v>0.067</v>
      </c>
      <c r="C94">
        <v>132</v>
      </c>
      <c r="D94">
        <f t="shared" si="4"/>
        <v>5.940083876980429</v>
      </c>
      <c r="E94">
        <f t="shared" si="7"/>
        <v>0.8737864077669902</v>
      </c>
      <c r="F94">
        <f t="shared" si="6"/>
        <v>90</v>
      </c>
      <c r="G94">
        <v>8.291555763823807</v>
      </c>
    </row>
    <row r="95" spans="1:7" ht="12.75">
      <c r="A95">
        <v>10270</v>
      </c>
      <c r="B95">
        <v>0.091</v>
      </c>
      <c r="C95">
        <v>64</v>
      </c>
      <c r="D95">
        <f t="shared" si="4"/>
        <v>8.429240506329114</v>
      </c>
      <c r="E95">
        <f t="shared" si="7"/>
        <v>0.883495145631068</v>
      </c>
      <c r="F95">
        <f t="shared" si="6"/>
        <v>91</v>
      </c>
      <c r="G95">
        <v>8.311452991452992</v>
      </c>
    </row>
    <row r="96" spans="1:7" ht="12.75">
      <c r="A96">
        <v>10610</v>
      </c>
      <c r="B96">
        <v>0.073</v>
      </c>
      <c r="C96">
        <v>145</v>
      </c>
      <c r="D96">
        <f t="shared" si="4"/>
        <v>6.545230914231857</v>
      </c>
      <c r="E96">
        <f t="shared" si="7"/>
        <v>0.8932038834951457</v>
      </c>
      <c r="F96">
        <f t="shared" si="6"/>
        <v>92</v>
      </c>
      <c r="G96">
        <v>8.321685082872929</v>
      </c>
    </row>
    <row r="97" spans="1:7" ht="12.75">
      <c r="A97">
        <v>10810</v>
      </c>
      <c r="B97">
        <v>0.057</v>
      </c>
      <c r="C97">
        <v>136</v>
      </c>
      <c r="D97">
        <f t="shared" si="4"/>
        <v>5.016105457909343</v>
      </c>
      <c r="E97">
        <f t="shared" si="7"/>
        <v>0.9029126213592233</v>
      </c>
      <c r="F97">
        <f t="shared" si="6"/>
        <v>93</v>
      </c>
      <c r="G97">
        <v>8.429240506329114</v>
      </c>
    </row>
    <row r="98" spans="1:7" ht="12.75">
      <c r="A98">
        <v>10800</v>
      </c>
      <c r="B98">
        <v>0.062</v>
      </c>
      <c r="C98">
        <v>140</v>
      </c>
      <c r="D98">
        <f t="shared" si="4"/>
        <v>5.461166666666666</v>
      </c>
      <c r="E98">
        <f t="shared" si="7"/>
        <v>0.912621359223301</v>
      </c>
      <c r="F98">
        <f t="shared" si="6"/>
        <v>94</v>
      </c>
      <c r="G98">
        <v>8.446121495327104</v>
      </c>
    </row>
    <row r="99" spans="1:7" ht="12.75">
      <c r="A99">
        <v>10710</v>
      </c>
      <c r="B99">
        <v>0.073</v>
      </c>
      <c r="C99">
        <v>103</v>
      </c>
      <c r="D99">
        <f t="shared" si="4"/>
        <v>6.484117647058825</v>
      </c>
      <c r="E99">
        <f t="shared" si="7"/>
        <v>0.9223300970873787</v>
      </c>
      <c r="F99">
        <f t="shared" si="6"/>
        <v>95</v>
      </c>
      <c r="G99">
        <v>8.607845149253732</v>
      </c>
    </row>
    <row r="100" spans="1:7" ht="12.75">
      <c r="A100">
        <v>10610</v>
      </c>
      <c r="B100">
        <v>0.087</v>
      </c>
      <c r="C100">
        <v>84</v>
      </c>
      <c r="D100">
        <f t="shared" si="4"/>
        <v>7.80048067860509</v>
      </c>
      <c r="E100">
        <f t="shared" si="7"/>
        <v>0.9320388349514563</v>
      </c>
      <c r="F100">
        <f t="shared" si="6"/>
        <v>96</v>
      </c>
      <c r="G100">
        <v>8.672565789473685</v>
      </c>
    </row>
    <row r="101" spans="1:7" ht="12.75">
      <c r="A101">
        <v>10670</v>
      </c>
      <c r="B101">
        <v>0.086</v>
      </c>
      <c r="C101">
        <v>86</v>
      </c>
      <c r="D101">
        <f t="shared" si="4"/>
        <v>7.667460168697282</v>
      </c>
      <c r="E101">
        <f t="shared" si="7"/>
        <v>0.941747572815534</v>
      </c>
      <c r="F101">
        <f t="shared" si="6"/>
        <v>97</v>
      </c>
      <c r="G101">
        <v>8.680724365004703</v>
      </c>
    </row>
    <row r="102" spans="1:7" ht="12.75">
      <c r="A102">
        <v>10530</v>
      </c>
      <c r="B102">
        <v>0.092</v>
      </c>
      <c r="C102">
        <v>91</v>
      </c>
      <c r="D102">
        <f t="shared" si="4"/>
        <v>8.311452991452992</v>
      </c>
      <c r="E102">
        <f t="shared" si="7"/>
        <v>0.9514563106796117</v>
      </c>
      <c r="F102">
        <f t="shared" si="6"/>
        <v>98</v>
      </c>
      <c r="G102">
        <v>8.816496756255793</v>
      </c>
    </row>
    <row r="103" spans="1:7" ht="12.75">
      <c r="A103">
        <v>10450</v>
      </c>
      <c r="B103">
        <v>0.084</v>
      </c>
      <c r="C103">
        <v>103</v>
      </c>
      <c r="D103">
        <f t="shared" si="4"/>
        <v>7.646813397129186</v>
      </c>
      <c r="E103">
        <f t="shared" si="7"/>
        <v>0.9611650485436893</v>
      </c>
      <c r="F103">
        <f t="shared" si="6"/>
        <v>99</v>
      </c>
      <c r="G103">
        <v>9.029597315436241</v>
      </c>
    </row>
    <row r="104" spans="1:7" ht="12.75">
      <c r="A104">
        <v>10790</v>
      </c>
      <c r="B104">
        <v>0.083</v>
      </c>
      <c r="C104">
        <v>116</v>
      </c>
      <c r="D104">
        <f t="shared" si="4"/>
        <v>7.317692307692308</v>
      </c>
      <c r="E104">
        <f t="shared" si="7"/>
        <v>0.970873786407767</v>
      </c>
      <c r="F104">
        <f t="shared" si="6"/>
        <v>100</v>
      </c>
      <c r="G104">
        <v>9.27877840909091</v>
      </c>
    </row>
    <row r="105" spans="1:7" ht="12.75">
      <c r="A105">
        <v>10690</v>
      </c>
      <c r="B105">
        <v>0.083</v>
      </c>
      <c r="C105">
        <v>107</v>
      </c>
      <c r="D105">
        <f t="shared" si="4"/>
        <v>7.3861459307764274</v>
      </c>
      <c r="E105">
        <f t="shared" si="7"/>
        <v>0.9805825242718447</v>
      </c>
      <c r="F105">
        <f t="shared" si="6"/>
        <v>101</v>
      </c>
      <c r="G105">
        <v>9.875399999999999</v>
      </c>
    </row>
    <row r="106" spans="1:7" ht="12.75">
      <c r="A106">
        <v>10500</v>
      </c>
      <c r="B106">
        <v>0.089</v>
      </c>
      <c r="C106">
        <v>130</v>
      </c>
      <c r="D106">
        <f t="shared" si="4"/>
        <v>8.0634</v>
      </c>
      <c r="E106">
        <f t="shared" si="7"/>
        <v>0.9902912621359223</v>
      </c>
      <c r="F106">
        <f t="shared" si="6"/>
        <v>102</v>
      </c>
      <c r="G106">
        <v>10.04643925233645</v>
      </c>
    </row>
    <row r="107" spans="1:7" ht="12.75">
      <c r="A107">
        <v>10430</v>
      </c>
      <c r="B107">
        <v>0.099</v>
      </c>
      <c r="C107">
        <v>75</v>
      </c>
      <c r="D107">
        <f t="shared" si="4"/>
        <v>9.029597315436241</v>
      </c>
      <c r="E107">
        <f t="shared" si="7"/>
        <v>1</v>
      </c>
      <c r="F107">
        <f t="shared" si="6"/>
        <v>103</v>
      </c>
      <c r="G107">
        <v>11.6874</v>
      </c>
    </row>
  </sheetData>
  <printOptions/>
  <pageMargins left="0.75" right="0.75" top="1" bottom="1" header="0.5" footer="0.5"/>
  <pageSetup fitToHeight="1" fitToWidth="1" horizontalDpi="600" verticalDpi="600" orientation="landscape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D1">
      <selection activeCell="J11" sqref="J11"/>
    </sheetView>
  </sheetViews>
  <sheetFormatPr defaultColWidth="9.140625" defaultRowHeight="12.75"/>
  <cols>
    <col min="1" max="1" width="22.8515625" style="33" customWidth="1"/>
    <col min="2" max="2" width="5.7109375" style="33" customWidth="1"/>
    <col min="3" max="3" width="15.57421875" style="33" customWidth="1"/>
    <col min="4" max="6" width="11.7109375" style="33" customWidth="1"/>
    <col min="7" max="7" width="17.57421875" style="33" customWidth="1"/>
    <col min="8" max="8" width="13.8515625" style="33" customWidth="1"/>
    <col min="9" max="9" width="19.57421875" style="33" bestFit="1" customWidth="1"/>
    <col min="10" max="10" width="24.28125" style="33" bestFit="1" customWidth="1"/>
    <col min="11" max="16384" width="8.8515625" style="33" customWidth="1"/>
  </cols>
  <sheetData>
    <row r="1" spans="1:10" ht="12.7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9">
      <c r="A2" s="5" t="s">
        <v>0</v>
      </c>
      <c r="B2" s="5" t="s">
        <v>1</v>
      </c>
      <c r="C2" s="4" t="s">
        <v>11</v>
      </c>
      <c r="D2" s="4" t="s">
        <v>49</v>
      </c>
      <c r="E2" s="3" t="s">
        <v>12</v>
      </c>
      <c r="F2" s="4" t="s">
        <v>13</v>
      </c>
      <c r="G2" s="4" t="s">
        <v>14</v>
      </c>
      <c r="H2" s="4" t="s">
        <v>15</v>
      </c>
      <c r="I2" s="5" t="s">
        <v>50</v>
      </c>
      <c r="J2" s="5" t="s">
        <v>53</v>
      </c>
    </row>
    <row r="3" spans="1:10" ht="12.75">
      <c r="A3" s="33" t="s">
        <v>45</v>
      </c>
      <c r="B3" s="7" t="s">
        <v>46</v>
      </c>
      <c r="C3" s="7" t="s">
        <v>20</v>
      </c>
      <c r="D3" s="7" t="s">
        <v>17</v>
      </c>
      <c r="E3" s="7">
        <v>0.4036</v>
      </c>
      <c r="F3" s="7" t="s">
        <v>21</v>
      </c>
      <c r="G3" s="34">
        <v>0</v>
      </c>
      <c r="H3" s="34">
        <f>1-E3</f>
        <v>0.5964</v>
      </c>
      <c r="I3" s="35">
        <v>3.9768</v>
      </c>
      <c r="J3" s="36">
        <v>7.798466767871615</v>
      </c>
    </row>
    <row r="4" spans="1:10" ht="12.75">
      <c r="A4" s="33" t="s">
        <v>29</v>
      </c>
      <c r="B4" s="7" t="s">
        <v>30</v>
      </c>
      <c r="C4" s="7" t="s">
        <v>16</v>
      </c>
      <c r="D4" s="7" t="s">
        <v>18</v>
      </c>
      <c r="E4" s="7">
        <v>0.3333</v>
      </c>
      <c r="F4" s="7" t="s">
        <v>22</v>
      </c>
      <c r="G4" s="34">
        <v>0.002164007</v>
      </c>
      <c r="H4" s="34">
        <v>0.818815299</v>
      </c>
      <c r="I4" s="35">
        <v>4.0042</v>
      </c>
      <c r="J4" s="36">
        <v>7.087007116214972</v>
      </c>
    </row>
    <row r="5" spans="1:10" ht="12.75">
      <c r="A5" s="33" t="s">
        <v>31</v>
      </c>
      <c r="B5" s="7">
        <v>2</v>
      </c>
      <c r="C5" s="7" t="s">
        <v>20</v>
      </c>
      <c r="D5" s="7" t="s">
        <v>28</v>
      </c>
      <c r="E5" s="7">
        <v>0.0487</v>
      </c>
      <c r="F5" s="7" t="s">
        <v>21</v>
      </c>
      <c r="G5" s="34">
        <v>0</v>
      </c>
      <c r="H5" s="34">
        <f>1-E5</f>
        <v>0.9513</v>
      </c>
      <c r="I5" s="35">
        <v>4.0233</v>
      </c>
      <c r="J5" s="36">
        <v>9.532342585227271</v>
      </c>
    </row>
    <row r="6" spans="1:10" ht="12.75">
      <c r="A6" s="33" t="s">
        <v>32</v>
      </c>
      <c r="B6" s="7">
        <v>10</v>
      </c>
      <c r="C6" s="7" t="s">
        <v>16</v>
      </c>
      <c r="D6" s="7" t="s">
        <v>18</v>
      </c>
      <c r="E6" s="7">
        <v>0.0147</v>
      </c>
      <c r="F6" s="7" t="s">
        <v>22</v>
      </c>
      <c r="G6" s="34">
        <v>0.002164007</v>
      </c>
      <c r="H6" s="34">
        <v>0.818815299</v>
      </c>
      <c r="I6" s="35">
        <v>6.2517</v>
      </c>
      <c r="J6" s="36">
        <v>8.028944760342023</v>
      </c>
    </row>
    <row r="7" spans="1:10" ht="12.75">
      <c r="A7" s="33" t="s">
        <v>32</v>
      </c>
      <c r="B7" s="7">
        <v>1</v>
      </c>
      <c r="C7" s="7" t="s">
        <v>20</v>
      </c>
      <c r="D7" s="7" t="s">
        <v>28</v>
      </c>
      <c r="E7" s="7">
        <v>0.4409</v>
      </c>
      <c r="F7" s="7" t="s">
        <v>21</v>
      </c>
      <c r="G7" s="34">
        <v>0</v>
      </c>
      <c r="H7" s="34">
        <f>1-E7</f>
        <v>0.5590999999999999</v>
      </c>
      <c r="I7" s="35">
        <v>6.9024</v>
      </c>
      <c r="J7" s="36">
        <v>6.3056390977443595</v>
      </c>
    </row>
    <row r="9" spans="1:10" ht="12.75">
      <c r="A9" s="1" t="s">
        <v>9</v>
      </c>
      <c r="B9" s="7"/>
      <c r="C9" s="7"/>
      <c r="D9" s="7"/>
      <c r="E9" s="7"/>
      <c r="F9" s="7"/>
      <c r="G9" s="7"/>
      <c r="H9" s="7"/>
      <c r="I9" s="36">
        <f>AVERAGE(I3:I7)</f>
        <v>5.03168</v>
      </c>
      <c r="J9" s="36">
        <f>AVERAGE(J3:J7)</f>
        <v>7.750480065480048</v>
      </c>
    </row>
    <row r="10" spans="1:10" ht="12.75">
      <c r="A10" s="1" t="s">
        <v>10</v>
      </c>
      <c r="B10" s="7"/>
      <c r="C10" s="7"/>
      <c r="D10" s="7"/>
      <c r="E10" s="7"/>
      <c r="F10" s="7"/>
      <c r="G10" s="7"/>
      <c r="H10" s="7"/>
      <c r="I10" s="36">
        <f>STDEV(I3:I7)</f>
        <v>1.4294543808740454</v>
      </c>
      <c r="J10" s="36">
        <f>STDEV(J3:J7)</f>
        <v>1.2023561375092677</v>
      </c>
    </row>
    <row r="11" spans="1:10" ht="12.75">
      <c r="A11" s="1" t="s">
        <v>52</v>
      </c>
      <c r="B11" s="7"/>
      <c r="C11" s="7"/>
      <c r="D11" s="7"/>
      <c r="E11" s="7"/>
      <c r="F11" s="7"/>
      <c r="G11" s="7"/>
      <c r="H11" s="7"/>
      <c r="I11" s="36">
        <f>I9+2.776*I10/SQRT(5)</f>
        <v>6.806297498768202</v>
      </c>
      <c r="J11" s="37">
        <f>J9+2.776*J10/SQRT(5)</f>
        <v>9.243163056923692</v>
      </c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5"/>
      <c r="B15" s="5"/>
      <c r="C15" s="4"/>
      <c r="D15" s="4"/>
      <c r="E15" s="3"/>
      <c r="F15" s="4"/>
      <c r="G15" s="4"/>
      <c r="H15" s="4"/>
      <c r="I15" s="5"/>
      <c r="J15" s="5"/>
    </row>
    <row r="16" spans="2:10" ht="12.75">
      <c r="B16" s="7"/>
      <c r="C16" s="7"/>
      <c r="D16" s="7"/>
      <c r="E16" s="7"/>
      <c r="F16" s="7"/>
      <c r="G16" s="34"/>
      <c r="H16" s="34"/>
      <c r="I16" s="35"/>
      <c r="J16" s="36"/>
    </row>
    <row r="17" spans="2:10" ht="12.75">
      <c r="B17" s="7"/>
      <c r="C17" s="7"/>
      <c r="D17" s="7"/>
      <c r="E17" s="7"/>
      <c r="F17" s="7"/>
      <c r="G17" s="34"/>
      <c r="H17" s="34"/>
      <c r="I17" s="35"/>
      <c r="J17" s="36"/>
    </row>
    <row r="18" spans="2:10" ht="12.75">
      <c r="B18" s="7"/>
      <c r="C18" s="7"/>
      <c r="D18" s="7"/>
      <c r="E18" s="7"/>
      <c r="F18" s="7"/>
      <c r="G18" s="34"/>
      <c r="H18" s="34"/>
      <c r="I18" s="35"/>
      <c r="J18" s="36"/>
    </row>
    <row r="19" spans="2:10" ht="12.75">
      <c r="B19" s="7"/>
      <c r="C19" s="7"/>
      <c r="D19" s="7"/>
      <c r="E19" s="7"/>
      <c r="F19" s="7"/>
      <c r="G19" s="34"/>
      <c r="H19" s="34"/>
      <c r="I19" s="35"/>
      <c r="J19" s="36"/>
    </row>
    <row r="20" spans="2:10" ht="12.75">
      <c r="B20" s="7"/>
      <c r="C20" s="7"/>
      <c r="D20" s="7"/>
      <c r="E20" s="7"/>
      <c r="F20" s="7"/>
      <c r="G20" s="34"/>
      <c r="H20" s="34"/>
      <c r="I20" s="35"/>
      <c r="J20" s="36"/>
    </row>
    <row r="22" spans="1:10" ht="12.75">
      <c r="A22" s="1"/>
      <c r="B22" s="7"/>
      <c r="C22" s="7"/>
      <c r="D22" s="7"/>
      <c r="E22" s="7"/>
      <c r="F22" s="7"/>
      <c r="G22" s="7"/>
      <c r="H22" s="7"/>
      <c r="I22" s="36"/>
      <c r="J22" s="36"/>
    </row>
    <row r="23" spans="1:10" ht="12.75">
      <c r="A23" s="1"/>
      <c r="B23" s="7"/>
      <c r="C23" s="7"/>
      <c r="D23" s="7"/>
      <c r="E23" s="7"/>
      <c r="F23" s="7"/>
      <c r="G23" s="7"/>
      <c r="H23" s="7"/>
      <c r="I23" s="36"/>
      <c r="J23" s="36"/>
    </row>
    <row r="24" spans="1:10" ht="12.75">
      <c r="A24" s="1"/>
      <c r="B24" s="7"/>
      <c r="C24" s="7"/>
      <c r="D24" s="7"/>
      <c r="E24" s="7"/>
      <c r="F24" s="7"/>
      <c r="G24" s="7"/>
      <c r="H24" s="7"/>
      <c r="I24" s="36"/>
      <c r="J24" s="37"/>
    </row>
    <row r="31" spans="1:10" ht="12.75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2.75">
      <c r="A32" s="5"/>
      <c r="B32" s="5"/>
      <c r="C32" s="4"/>
      <c r="D32" s="4"/>
      <c r="E32" s="3"/>
      <c r="F32" s="4"/>
      <c r="G32" s="4"/>
      <c r="H32" s="4"/>
      <c r="I32" s="5"/>
      <c r="J32" s="5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9" spans="1:10" ht="12.75">
      <c r="A39" s="1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1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1"/>
      <c r="B41" s="7"/>
      <c r="C41" s="7"/>
      <c r="D41" s="7"/>
      <c r="E41" s="7"/>
      <c r="F41" s="7"/>
      <c r="G41" s="7"/>
      <c r="H41" s="7"/>
      <c r="I41" s="7"/>
      <c r="J41" s="1"/>
    </row>
  </sheetData>
  <mergeCells count="3">
    <mergeCell ref="A1:J1"/>
    <mergeCell ref="A31:J31"/>
    <mergeCell ref="A14:J14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0" sqref="M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12" sqref="A12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45" t="s">
        <v>85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0.002164007</v>
      </c>
      <c r="B3">
        <v>0.818815299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10850</v>
      </c>
      <c r="B5">
        <v>0.069</v>
      </c>
      <c r="C5">
        <v>74</v>
      </c>
      <c r="D5">
        <f aca="true" t="shared" si="0" ref="D5:D44">1000000*B5*$B$3*EXP(-$A$3*C5)/A5</f>
        <v>4.4366880610472075</v>
      </c>
      <c r="E5">
        <f aca="true" t="shared" si="1" ref="E5:E44">F5/MAX(Stanton10_index)</f>
        <v>0.025</v>
      </c>
      <c r="F5">
        <v>1</v>
      </c>
      <c r="G5">
        <v>2.7855793972995357</v>
      </c>
      <c r="I5">
        <f>VLOOKUP(0.975,Stanton10_freqtab,3)</f>
        <v>8.028944760342023</v>
      </c>
      <c r="J5">
        <f>VLOOKUP(0.975,Stanton10_freqtab,2)</f>
        <v>39</v>
      </c>
      <c r="K5">
        <f>J5/MAX(Stanton10_index)</f>
        <v>0.975</v>
      </c>
    </row>
    <row r="6" spans="1:11" ht="13.5" thickBot="1">
      <c r="A6">
        <v>11000</v>
      </c>
      <c r="B6">
        <v>0.082</v>
      </c>
      <c r="C6">
        <v>79</v>
      </c>
      <c r="D6">
        <f t="shared" si="0"/>
        <v>5.144718635210997</v>
      </c>
      <c r="E6">
        <f t="shared" si="1"/>
        <v>0.05</v>
      </c>
      <c r="F6">
        <f>F5+1</f>
        <v>2</v>
      </c>
      <c r="G6">
        <v>2.951148003682102</v>
      </c>
      <c r="I6">
        <f>VLOOKUP(J6,Stanton10_freqindex,2)</f>
        <v>8.315724687147332</v>
      </c>
      <c r="J6">
        <f>J5+1</f>
        <v>40</v>
      </c>
      <c r="K6">
        <f>J6/MAX(Stanton10_index)</f>
        <v>1</v>
      </c>
    </row>
    <row r="7" spans="1:10" ht="15.75" thickBot="1">
      <c r="A7">
        <v>10870</v>
      </c>
      <c r="B7">
        <v>0.064</v>
      </c>
      <c r="C7">
        <v>83</v>
      </c>
      <c r="D7">
        <f t="shared" si="0"/>
        <v>4.028391080026969</v>
      </c>
      <c r="E7">
        <f t="shared" si="1"/>
        <v>0.075</v>
      </c>
      <c r="F7">
        <f aca="true" t="shared" si="2" ref="F7:F44">F6+1</f>
        <v>3</v>
      </c>
      <c r="G7">
        <v>3.0999660288059654</v>
      </c>
      <c r="I7" s="46" t="s">
        <v>74</v>
      </c>
      <c r="J7" s="47">
        <f>$I$5+((0.975-$K$5)/($K$6-$K$5))*($I$6-$I$5)</f>
        <v>8.028944760342023</v>
      </c>
    </row>
    <row r="8" spans="1:7" ht="12.75">
      <c r="A8">
        <v>10960</v>
      </c>
      <c r="B8">
        <v>0.076</v>
      </c>
      <c r="C8">
        <v>99</v>
      </c>
      <c r="D8">
        <f t="shared" si="0"/>
        <v>4.58297167499533</v>
      </c>
      <c r="E8">
        <f t="shared" si="1"/>
        <v>0.1</v>
      </c>
      <c r="F8">
        <f t="shared" si="2"/>
        <v>4</v>
      </c>
      <c r="G8">
        <v>3.12543177520488</v>
      </c>
    </row>
    <row r="9" spans="1:10" ht="12.75">
      <c r="A9">
        <v>10690</v>
      </c>
      <c r="B9">
        <v>0.077</v>
      </c>
      <c r="C9">
        <v>108</v>
      </c>
      <c r="D9">
        <f t="shared" si="0"/>
        <v>4.6687305323272685</v>
      </c>
      <c r="E9">
        <f t="shared" si="1"/>
        <v>0.125</v>
      </c>
      <c r="F9">
        <f t="shared" si="2"/>
        <v>5</v>
      </c>
      <c r="G9">
        <v>3.22797067993621</v>
      </c>
      <c r="I9" s="1" t="s">
        <v>73</v>
      </c>
      <c r="J9" s="48" t="str">
        <f>A1&amp;": 97.5th Percentile = "&amp;TEXT($J$7,"0.0000")&amp;" lb Hg/TBtu"</f>
        <v>Stanton 10: 97.5th Percentile = 8.0289 lb Hg/TBtu</v>
      </c>
    </row>
    <row r="10" spans="1:7" ht="12.75">
      <c r="A10">
        <v>10920</v>
      </c>
      <c r="B10">
        <v>0.081</v>
      </c>
      <c r="C10">
        <v>141</v>
      </c>
      <c r="D10">
        <f t="shared" si="0"/>
        <v>4.476455081030205</v>
      </c>
      <c r="E10">
        <f t="shared" si="1"/>
        <v>0.15</v>
      </c>
      <c r="F10">
        <f t="shared" si="2"/>
        <v>6</v>
      </c>
      <c r="G10">
        <v>3.3150133175142384</v>
      </c>
    </row>
    <row r="11" spans="1:7" ht="12.75">
      <c r="A11">
        <v>10570</v>
      </c>
      <c r="B11">
        <v>0.074</v>
      </c>
      <c r="C11">
        <v>106</v>
      </c>
      <c r="D11">
        <f t="shared" si="0"/>
        <v>4.557452524962385</v>
      </c>
      <c r="E11">
        <f t="shared" si="1"/>
        <v>0.175</v>
      </c>
      <c r="F11">
        <f t="shared" si="2"/>
        <v>7</v>
      </c>
      <c r="G11">
        <v>3.875310863027486</v>
      </c>
    </row>
    <row r="12" spans="1:13" ht="12.75">
      <c r="A12">
        <v>10730</v>
      </c>
      <c r="B12">
        <v>0.073</v>
      </c>
      <c r="C12">
        <v>134</v>
      </c>
      <c r="D12">
        <f t="shared" si="0"/>
        <v>4.168441420181704</v>
      </c>
      <c r="E12">
        <f t="shared" si="1"/>
        <v>0.2</v>
      </c>
      <c r="F12">
        <f t="shared" si="2"/>
        <v>8</v>
      </c>
      <c r="G12">
        <v>4.02657873217407</v>
      </c>
      <c r="I12" s="14"/>
      <c r="J12" s="14"/>
      <c r="K12" s="14"/>
      <c r="L12" s="14"/>
      <c r="M12" s="14"/>
    </row>
    <row r="13" spans="1:13" ht="12.75">
      <c r="A13">
        <v>10870</v>
      </c>
      <c r="B13">
        <v>0.085</v>
      </c>
      <c r="C13">
        <v>123</v>
      </c>
      <c r="D13">
        <f t="shared" si="0"/>
        <v>4.906569167338084</v>
      </c>
      <c r="E13">
        <f t="shared" si="1"/>
        <v>0.225</v>
      </c>
      <c r="F13">
        <f t="shared" si="2"/>
        <v>9</v>
      </c>
      <c r="G13">
        <v>4.028391080026969</v>
      </c>
      <c r="I13" s="14"/>
      <c r="J13" s="14"/>
      <c r="K13" s="14"/>
      <c r="L13" s="14"/>
      <c r="M13" s="14"/>
    </row>
    <row r="14" spans="1:13" ht="15">
      <c r="A14">
        <v>10570</v>
      </c>
      <c r="B14">
        <v>0.065</v>
      </c>
      <c r="C14">
        <v>121</v>
      </c>
      <c r="D14">
        <f t="shared" si="0"/>
        <v>3.875310863027486</v>
      </c>
      <c r="E14">
        <f t="shared" si="1"/>
        <v>0.25</v>
      </c>
      <c r="F14">
        <f t="shared" si="2"/>
        <v>10</v>
      </c>
      <c r="G14">
        <v>4.094987147739384</v>
      </c>
      <c r="I14" s="49"/>
      <c r="J14" s="50"/>
      <c r="K14" s="14"/>
      <c r="L14" s="14"/>
      <c r="M14" s="14"/>
    </row>
    <row r="15" spans="1:13" ht="12.75">
      <c r="A15">
        <v>10900</v>
      </c>
      <c r="B15">
        <v>0.079</v>
      </c>
      <c r="C15">
        <v>125</v>
      </c>
      <c r="D15">
        <f t="shared" si="0"/>
        <v>4.5280321788985844</v>
      </c>
      <c r="E15">
        <f t="shared" si="1"/>
        <v>0.275</v>
      </c>
      <c r="F15">
        <f t="shared" si="2"/>
        <v>11</v>
      </c>
      <c r="G15">
        <v>4.129775162126841</v>
      </c>
      <c r="I15" s="14"/>
      <c r="J15" s="14"/>
      <c r="K15" s="14"/>
      <c r="L15" s="14"/>
      <c r="M15" s="14"/>
    </row>
    <row r="16" spans="1:13" ht="12.75">
      <c r="A16">
        <v>10600</v>
      </c>
      <c r="B16">
        <v>0.067</v>
      </c>
      <c r="C16">
        <v>116</v>
      </c>
      <c r="D16">
        <f t="shared" si="0"/>
        <v>4.02657873217407</v>
      </c>
      <c r="E16">
        <f t="shared" si="1"/>
        <v>0.3</v>
      </c>
      <c r="F16">
        <f t="shared" si="2"/>
        <v>12</v>
      </c>
      <c r="G16">
        <v>4.168441420181704</v>
      </c>
      <c r="I16" s="51"/>
      <c r="J16" s="52"/>
      <c r="K16" s="14"/>
      <c r="L16" s="14"/>
      <c r="M16" s="14"/>
    </row>
    <row r="17" spans="1:13" ht="12.75">
      <c r="A17">
        <v>10680</v>
      </c>
      <c r="B17">
        <v>0.072</v>
      </c>
      <c r="C17">
        <v>138</v>
      </c>
      <c r="D17">
        <f t="shared" si="0"/>
        <v>4.094987147739384</v>
      </c>
      <c r="E17">
        <f t="shared" si="1"/>
        <v>0.325</v>
      </c>
      <c r="F17">
        <f t="shared" si="2"/>
        <v>13</v>
      </c>
      <c r="G17">
        <v>4.4366880610472075</v>
      </c>
      <c r="I17" s="14"/>
      <c r="J17" s="14"/>
      <c r="K17" s="14"/>
      <c r="L17" s="14"/>
      <c r="M17" s="14"/>
    </row>
    <row r="18" spans="1:13" ht="12.75">
      <c r="A18">
        <v>10870</v>
      </c>
      <c r="B18">
        <v>0.084</v>
      </c>
      <c r="C18">
        <v>92</v>
      </c>
      <c r="D18">
        <f t="shared" si="0"/>
        <v>5.185284515598058</v>
      </c>
      <c r="E18">
        <f t="shared" si="1"/>
        <v>0.35</v>
      </c>
      <c r="F18">
        <f t="shared" si="2"/>
        <v>14</v>
      </c>
      <c r="G18">
        <v>4.476455081030205</v>
      </c>
      <c r="I18" s="14"/>
      <c r="J18" s="14"/>
      <c r="K18" s="14"/>
      <c r="L18" s="14"/>
      <c r="M18" s="14"/>
    </row>
    <row r="19" spans="1:13" ht="12.75">
      <c r="A19">
        <v>10620</v>
      </c>
      <c r="B19">
        <v>0.055</v>
      </c>
      <c r="C19">
        <v>141</v>
      </c>
      <c r="D19">
        <f t="shared" si="0"/>
        <v>3.12543177520488</v>
      </c>
      <c r="E19">
        <f t="shared" si="1"/>
        <v>0.375</v>
      </c>
      <c r="F19">
        <f t="shared" si="2"/>
        <v>15</v>
      </c>
      <c r="G19">
        <v>4.5280321788985844</v>
      </c>
      <c r="I19" s="14"/>
      <c r="J19" s="14"/>
      <c r="K19" s="14"/>
      <c r="L19" s="14"/>
      <c r="M19" s="14"/>
    </row>
    <row r="20" spans="1:13" ht="12.75">
      <c r="A20">
        <v>10650</v>
      </c>
      <c r="B20">
        <v>0.051</v>
      </c>
      <c r="C20">
        <v>158</v>
      </c>
      <c r="D20">
        <f t="shared" si="0"/>
        <v>2.7855793972995357</v>
      </c>
      <c r="E20">
        <f t="shared" si="1"/>
        <v>0.4</v>
      </c>
      <c r="F20">
        <f t="shared" si="2"/>
        <v>16</v>
      </c>
      <c r="G20">
        <v>4.557452524962385</v>
      </c>
      <c r="I20" s="14"/>
      <c r="J20" s="14"/>
      <c r="K20" s="14"/>
      <c r="L20" s="14"/>
      <c r="M20" s="14"/>
    </row>
    <row r="21" spans="1:13" ht="15">
      <c r="A21">
        <v>10680</v>
      </c>
      <c r="B21">
        <v>0.054</v>
      </c>
      <c r="C21">
        <v>115</v>
      </c>
      <c r="D21">
        <f t="shared" si="0"/>
        <v>3.22797067993621</v>
      </c>
      <c r="E21">
        <f t="shared" si="1"/>
        <v>0.425</v>
      </c>
      <c r="F21">
        <f t="shared" si="2"/>
        <v>17</v>
      </c>
      <c r="G21">
        <v>4.58297167499533</v>
      </c>
      <c r="I21" s="49"/>
      <c r="J21" s="50"/>
      <c r="K21" s="14"/>
      <c r="L21" s="14"/>
      <c r="M21" s="14"/>
    </row>
    <row r="22" spans="1:13" ht="12.75">
      <c r="A22">
        <v>10630</v>
      </c>
      <c r="B22">
        <v>0.067</v>
      </c>
      <c r="C22">
        <v>103</v>
      </c>
      <c r="D22">
        <f t="shared" si="0"/>
        <v>4.129775162126841</v>
      </c>
      <c r="E22">
        <f t="shared" si="1"/>
        <v>0.45</v>
      </c>
      <c r="F22">
        <f t="shared" si="2"/>
        <v>18</v>
      </c>
      <c r="G22">
        <v>4.6687305323272685</v>
      </c>
      <c r="I22" s="14"/>
      <c r="J22" s="14"/>
      <c r="K22" s="14"/>
      <c r="L22" s="14"/>
      <c r="M22" s="14"/>
    </row>
    <row r="23" spans="1:13" ht="12.75">
      <c r="A23">
        <v>10660</v>
      </c>
      <c r="B23">
        <v>0.05</v>
      </c>
      <c r="C23">
        <v>99</v>
      </c>
      <c r="D23">
        <f t="shared" si="0"/>
        <v>3.0999660288059654</v>
      </c>
      <c r="E23">
        <f t="shared" si="1"/>
        <v>0.475</v>
      </c>
      <c r="F23">
        <f t="shared" si="2"/>
        <v>19</v>
      </c>
      <c r="G23">
        <v>4.906569167338084</v>
      </c>
      <c r="I23" s="51"/>
      <c r="J23" s="52"/>
      <c r="K23" s="14"/>
      <c r="L23" s="14"/>
      <c r="M23" s="14"/>
    </row>
    <row r="24" spans="1:13" ht="12.75">
      <c r="A24">
        <v>10750</v>
      </c>
      <c r="B24">
        <v>0.051</v>
      </c>
      <c r="C24">
        <v>127</v>
      </c>
      <c r="D24">
        <f t="shared" si="0"/>
        <v>2.951148003682102</v>
      </c>
      <c r="E24">
        <f t="shared" si="1"/>
        <v>0.5</v>
      </c>
      <c r="F24">
        <f t="shared" si="2"/>
        <v>20</v>
      </c>
      <c r="G24">
        <v>5.144718635210997</v>
      </c>
      <c r="I24" s="14"/>
      <c r="J24" s="14"/>
      <c r="K24" s="14"/>
      <c r="L24" s="14"/>
      <c r="M24" s="14"/>
    </row>
    <row r="25" spans="1:13" ht="12.75">
      <c r="A25">
        <v>10480</v>
      </c>
      <c r="B25">
        <v>0.052</v>
      </c>
      <c r="C25">
        <v>94</v>
      </c>
      <c r="D25">
        <f t="shared" si="0"/>
        <v>3.3150133175142384</v>
      </c>
      <c r="E25">
        <f t="shared" si="1"/>
        <v>0.525</v>
      </c>
      <c r="F25">
        <f t="shared" si="2"/>
        <v>21</v>
      </c>
      <c r="G25">
        <v>5.185284515598058</v>
      </c>
      <c r="I25" s="14"/>
      <c r="J25" s="14"/>
      <c r="K25" s="14"/>
      <c r="L25" s="14"/>
      <c r="M25" s="14"/>
    </row>
    <row r="26" spans="1:7" ht="12.75">
      <c r="A26">
        <v>10500</v>
      </c>
      <c r="B26">
        <v>0.104</v>
      </c>
      <c r="C26">
        <v>88</v>
      </c>
      <c r="D26">
        <f t="shared" si="0"/>
        <v>6.703878806780342</v>
      </c>
      <c r="E26">
        <f t="shared" si="1"/>
        <v>0.55</v>
      </c>
      <c r="F26">
        <f t="shared" si="2"/>
        <v>22</v>
      </c>
      <c r="G26">
        <v>5.517398572318049</v>
      </c>
    </row>
    <row r="27" spans="1:7" ht="12.75">
      <c r="A27">
        <v>10510</v>
      </c>
      <c r="B27">
        <v>0.104</v>
      </c>
      <c r="C27">
        <v>87</v>
      </c>
      <c r="D27">
        <f t="shared" si="0"/>
        <v>6.712009365787214</v>
      </c>
      <c r="E27">
        <f t="shared" si="1"/>
        <v>0.575</v>
      </c>
      <c r="F27">
        <f t="shared" si="2"/>
        <v>23</v>
      </c>
      <c r="G27">
        <v>5.546711281741027</v>
      </c>
    </row>
    <row r="28" spans="1:7" ht="12.75">
      <c r="A28">
        <v>10500</v>
      </c>
      <c r="B28">
        <v>0.104</v>
      </c>
      <c r="C28">
        <v>88</v>
      </c>
      <c r="D28">
        <f t="shared" si="0"/>
        <v>6.703878806780342</v>
      </c>
      <c r="E28">
        <f t="shared" si="1"/>
        <v>0.6</v>
      </c>
      <c r="F28">
        <f t="shared" si="2"/>
        <v>24</v>
      </c>
      <c r="G28">
        <v>6.095774359435499</v>
      </c>
    </row>
    <row r="29" spans="1:7" ht="12.75">
      <c r="A29">
        <v>10610</v>
      </c>
      <c r="B29">
        <v>0.116</v>
      </c>
      <c r="C29">
        <v>107</v>
      </c>
      <c r="D29">
        <f t="shared" si="0"/>
        <v>7.10179627672902</v>
      </c>
      <c r="E29">
        <f t="shared" si="1"/>
        <v>0.625</v>
      </c>
      <c r="F29">
        <f t="shared" si="2"/>
        <v>25</v>
      </c>
      <c r="G29">
        <v>6.528191494012122</v>
      </c>
    </row>
    <row r="30" spans="1:7" ht="12.75">
      <c r="A30">
        <v>10850</v>
      </c>
      <c r="B30">
        <v>0.116</v>
      </c>
      <c r="C30">
        <v>82</v>
      </c>
      <c r="D30">
        <f t="shared" si="0"/>
        <v>7.330764416010991</v>
      </c>
      <c r="E30">
        <f t="shared" si="1"/>
        <v>0.65</v>
      </c>
      <c r="F30">
        <f t="shared" si="2"/>
        <v>26</v>
      </c>
      <c r="G30">
        <v>6.703878806780342</v>
      </c>
    </row>
    <row r="31" spans="1:7" ht="12.75">
      <c r="A31">
        <v>10300</v>
      </c>
      <c r="B31">
        <v>0.116</v>
      </c>
      <c r="C31">
        <v>64</v>
      </c>
      <c r="D31">
        <f t="shared" si="0"/>
        <v>8.028944760342023</v>
      </c>
      <c r="E31">
        <f t="shared" si="1"/>
        <v>0.675</v>
      </c>
      <c r="F31">
        <f t="shared" si="2"/>
        <v>27</v>
      </c>
      <c r="G31">
        <v>6.703878806780342</v>
      </c>
    </row>
    <row r="32" spans="1:7" ht="12.75">
      <c r="A32">
        <v>10620</v>
      </c>
      <c r="B32">
        <v>0.115</v>
      </c>
      <c r="C32">
        <v>108</v>
      </c>
      <c r="D32">
        <f t="shared" si="0"/>
        <v>7.018739305789772</v>
      </c>
      <c r="E32">
        <f t="shared" si="1"/>
        <v>0.7</v>
      </c>
      <c r="F32">
        <f t="shared" si="2"/>
        <v>28</v>
      </c>
      <c r="G32">
        <v>6.712009365787214</v>
      </c>
    </row>
    <row r="33" spans="1:7" ht="12.75">
      <c r="A33">
        <v>10770</v>
      </c>
      <c r="B33">
        <v>0.115</v>
      </c>
      <c r="C33">
        <v>135</v>
      </c>
      <c r="D33">
        <f t="shared" si="0"/>
        <v>6.528191494012122</v>
      </c>
      <c r="E33">
        <f t="shared" si="1"/>
        <v>0.725</v>
      </c>
      <c r="F33">
        <f t="shared" si="2"/>
        <v>29</v>
      </c>
      <c r="G33">
        <v>7.018739305789772</v>
      </c>
    </row>
    <row r="34" spans="1:7" ht="12.75">
      <c r="A34">
        <v>10390</v>
      </c>
      <c r="B34">
        <v>0.115</v>
      </c>
      <c r="C34">
        <v>87</v>
      </c>
      <c r="D34">
        <f t="shared" si="0"/>
        <v>7.5076535499729</v>
      </c>
      <c r="E34">
        <f t="shared" si="1"/>
        <v>0.75</v>
      </c>
      <c r="F34">
        <f t="shared" si="2"/>
        <v>30</v>
      </c>
      <c r="G34">
        <v>7.095221770467067</v>
      </c>
    </row>
    <row r="35" spans="1:7" ht="12.75">
      <c r="A35">
        <v>10490</v>
      </c>
      <c r="B35">
        <v>0.115</v>
      </c>
      <c r="C35">
        <v>97</v>
      </c>
      <c r="D35">
        <f t="shared" si="0"/>
        <v>7.2768951892579485</v>
      </c>
      <c r="E35">
        <f t="shared" si="1"/>
        <v>0.775</v>
      </c>
      <c r="F35">
        <f t="shared" si="2"/>
        <v>31</v>
      </c>
      <c r="G35">
        <v>7.10179627672902</v>
      </c>
    </row>
    <row r="36" spans="1:7" ht="12.75">
      <c r="A36">
        <v>10520</v>
      </c>
      <c r="B36">
        <v>0.115</v>
      </c>
      <c r="C36">
        <v>84</v>
      </c>
      <c r="D36">
        <f t="shared" si="0"/>
        <v>7.4631725032335705</v>
      </c>
      <c r="E36">
        <f t="shared" si="1"/>
        <v>0.8</v>
      </c>
      <c r="F36">
        <f t="shared" si="2"/>
        <v>32</v>
      </c>
      <c r="G36">
        <v>7.138178881174502</v>
      </c>
    </row>
    <row r="37" spans="1:7" ht="12.75">
      <c r="A37">
        <v>10370</v>
      </c>
      <c r="B37">
        <v>0.115</v>
      </c>
      <c r="C37">
        <v>114</v>
      </c>
      <c r="D37">
        <f t="shared" si="0"/>
        <v>7.095221770467067</v>
      </c>
      <c r="E37">
        <f t="shared" si="1"/>
        <v>0.825</v>
      </c>
      <c r="F37">
        <f t="shared" si="2"/>
        <v>33</v>
      </c>
      <c r="G37">
        <v>7.2768951892579485</v>
      </c>
    </row>
    <row r="38" spans="1:7" ht="12.75">
      <c r="A38">
        <v>10680</v>
      </c>
      <c r="B38">
        <v>0.091</v>
      </c>
      <c r="C38">
        <v>106</v>
      </c>
      <c r="D38">
        <f t="shared" si="0"/>
        <v>5.546711281741027</v>
      </c>
      <c r="E38">
        <f t="shared" si="1"/>
        <v>0.85</v>
      </c>
      <c r="F38">
        <f t="shared" si="2"/>
        <v>34</v>
      </c>
      <c r="G38">
        <v>7.330764416010991</v>
      </c>
    </row>
    <row r="39" spans="1:7" ht="12.75">
      <c r="A39">
        <v>10760</v>
      </c>
      <c r="B39">
        <v>0.091</v>
      </c>
      <c r="C39">
        <v>105</v>
      </c>
      <c r="D39">
        <f t="shared" si="0"/>
        <v>5.517398572318049</v>
      </c>
      <c r="E39">
        <f t="shared" si="1"/>
        <v>0.875</v>
      </c>
      <c r="F39">
        <f t="shared" si="2"/>
        <v>35</v>
      </c>
      <c r="G39">
        <v>7.4631725032335705</v>
      </c>
    </row>
    <row r="40" spans="1:7" ht="12.75">
      <c r="A40">
        <v>10460</v>
      </c>
      <c r="B40">
        <v>0.091</v>
      </c>
      <c r="C40">
        <v>72</v>
      </c>
      <c r="D40">
        <f t="shared" si="0"/>
        <v>6.095774359435499</v>
      </c>
      <c r="E40">
        <f t="shared" si="1"/>
        <v>0.9</v>
      </c>
      <c r="F40">
        <f t="shared" si="2"/>
        <v>36</v>
      </c>
      <c r="G40">
        <v>7.5076535499729</v>
      </c>
    </row>
    <row r="41" spans="1:7" ht="12.75">
      <c r="A41">
        <v>10650</v>
      </c>
      <c r="B41">
        <v>0.12</v>
      </c>
      <c r="C41">
        <v>72</v>
      </c>
      <c r="D41">
        <f t="shared" si="0"/>
        <v>7.894975985103895</v>
      </c>
      <c r="E41">
        <f t="shared" si="1"/>
        <v>0.925</v>
      </c>
      <c r="F41">
        <f t="shared" si="2"/>
        <v>37</v>
      </c>
      <c r="G41">
        <v>7.822592863234062</v>
      </c>
    </row>
    <row r="42" spans="1:7" ht="12.75">
      <c r="A42">
        <v>10310</v>
      </c>
      <c r="B42">
        <v>0.12</v>
      </c>
      <c r="C42">
        <v>63</v>
      </c>
      <c r="D42">
        <f t="shared" si="0"/>
        <v>8.315724687147332</v>
      </c>
      <c r="E42">
        <f t="shared" si="1"/>
        <v>0.95</v>
      </c>
      <c r="F42">
        <f t="shared" si="2"/>
        <v>38</v>
      </c>
      <c r="G42">
        <v>7.894975985103895</v>
      </c>
    </row>
    <row r="43" spans="1:7" ht="12.75">
      <c r="A43">
        <v>10640</v>
      </c>
      <c r="B43">
        <v>0.12</v>
      </c>
      <c r="C43">
        <v>119</v>
      </c>
      <c r="D43">
        <f t="shared" si="0"/>
        <v>7.138178881174502</v>
      </c>
      <c r="E43">
        <f t="shared" si="1"/>
        <v>0.975</v>
      </c>
      <c r="F43">
        <f t="shared" si="2"/>
        <v>39</v>
      </c>
      <c r="G43">
        <v>8.028944760342023</v>
      </c>
    </row>
    <row r="44" spans="1:7" ht="12.75">
      <c r="A44">
        <v>10590</v>
      </c>
      <c r="B44">
        <v>0.119</v>
      </c>
      <c r="C44">
        <v>75</v>
      </c>
      <c r="D44">
        <f t="shared" si="0"/>
        <v>7.822592863234062</v>
      </c>
      <c r="E44">
        <f t="shared" si="1"/>
        <v>1</v>
      </c>
      <c r="F44">
        <f t="shared" si="2"/>
        <v>40</v>
      </c>
      <c r="G44">
        <v>8.315724687147332</v>
      </c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9" sqref="M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45" t="s">
        <v>86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0.5590999999999999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10850</v>
      </c>
      <c r="B5">
        <v>0.069</v>
      </c>
      <c r="C5">
        <v>74</v>
      </c>
      <c r="D5">
        <f aca="true" t="shared" si="0" ref="D5:D44">1000000*B5*$B$3*EXP(-$A$3*C5)/A5</f>
        <v>3.555566820276497</v>
      </c>
      <c r="E5">
        <f aca="true" t="shared" si="1" ref="E5:E44">F5/MAX(Stanton1_index)</f>
        <v>0.025</v>
      </c>
      <c r="F5">
        <v>1</v>
      </c>
      <c r="G5">
        <v>2.6224202626641646</v>
      </c>
      <c r="I5">
        <f>VLOOKUP(0.975,Stanton1_freqtab,3)</f>
        <v>6.3056390977443595</v>
      </c>
      <c r="J5">
        <f>VLOOKUP(0.975,Stanton1_freqtab,2)</f>
        <v>39</v>
      </c>
      <c r="K5">
        <f>J5/MAX(Stanton1_index)</f>
        <v>0.975</v>
      </c>
    </row>
    <row r="6" spans="1:11" ht="13.5" thickBot="1">
      <c r="A6">
        <v>11000</v>
      </c>
      <c r="B6">
        <v>0.082</v>
      </c>
      <c r="C6">
        <v>79</v>
      </c>
      <c r="D6">
        <f t="shared" si="0"/>
        <v>4.167836363636363</v>
      </c>
      <c r="E6">
        <f t="shared" si="1"/>
        <v>0.05</v>
      </c>
      <c r="F6">
        <f>F5+1</f>
        <v>2</v>
      </c>
      <c r="G6">
        <v>2.6524744186046507</v>
      </c>
      <c r="I6">
        <f>VLOOKUP(J6,Stanton1_freqindex,2)</f>
        <v>6.5074684772065945</v>
      </c>
      <c r="J6">
        <f>J5+1</f>
        <v>40</v>
      </c>
      <c r="K6">
        <f>J6/MAX(Stanton1_index)</f>
        <v>1</v>
      </c>
    </row>
    <row r="7" spans="1:10" ht="15.75" thickBot="1">
      <c r="A7">
        <v>10870</v>
      </c>
      <c r="B7">
        <v>0.064</v>
      </c>
      <c r="C7">
        <v>83</v>
      </c>
      <c r="D7">
        <f t="shared" si="0"/>
        <v>3.291849126034958</v>
      </c>
      <c r="E7">
        <f t="shared" si="1"/>
        <v>0.075</v>
      </c>
      <c r="F7">
        <f aca="true" t="shared" si="2" ref="F7:F44">F6+1</f>
        <v>3</v>
      </c>
      <c r="G7">
        <v>2.6773802816901404</v>
      </c>
      <c r="I7" s="46" t="s">
        <v>74</v>
      </c>
      <c r="J7" s="47">
        <f>$I$5+((0.975-$K$5)/($K$6-$K$5))*($I$6-$I$5)</f>
        <v>6.3056390977443595</v>
      </c>
    </row>
    <row r="8" spans="1:7" ht="12.75">
      <c r="A8">
        <v>10960</v>
      </c>
      <c r="B8">
        <v>0.076</v>
      </c>
      <c r="C8">
        <v>99</v>
      </c>
      <c r="D8">
        <f t="shared" si="0"/>
        <v>3.876970802919707</v>
      </c>
      <c r="E8">
        <f t="shared" si="1"/>
        <v>0.1</v>
      </c>
      <c r="F8">
        <f t="shared" si="2"/>
        <v>4</v>
      </c>
      <c r="G8">
        <v>2.774160305343511</v>
      </c>
    </row>
    <row r="9" spans="1:10" ht="12.75">
      <c r="A9">
        <v>10690</v>
      </c>
      <c r="B9">
        <v>0.077</v>
      </c>
      <c r="C9">
        <v>108</v>
      </c>
      <c r="D9">
        <f t="shared" si="0"/>
        <v>4.0271936389148735</v>
      </c>
      <c r="E9">
        <f t="shared" si="1"/>
        <v>0.125</v>
      </c>
      <c r="F9">
        <f t="shared" si="2"/>
        <v>5</v>
      </c>
      <c r="G9">
        <v>2.8269101123595504</v>
      </c>
      <c r="I9" s="1" t="s">
        <v>73</v>
      </c>
      <c r="J9" s="48" t="str">
        <f>A1&amp;": 97.5th Percentile = "&amp;TEXT($J$7,"0.0000")&amp;" lb Hg/TBtu"</f>
        <v>Stanton 1: 97.5th Percentile = 6.3056 lb Hg/TBtu</v>
      </c>
    </row>
    <row r="10" spans="1:7" ht="12.75">
      <c r="A10">
        <v>10920</v>
      </c>
      <c r="B10">
        <v>0.081</v>
      </c>
      <c r="C10">
        <v>141</v>
      </c>
      <c r="D10">
        <f t="shared" si="0"/>
        <v>4.147170329670329</v>
      </c>
      <c r="E10">
        <f t="shared" si="1"/>
        <v>0.15</v>
      </c>
      <c r="F10">
        <f t="shared" si="2"/>
        <v>6</v>
      </c>
      <c r="G10">
        <v>2.8955273069679848</v>
      </c>
    </row>
    <row r="11" spans="1:7" ht="12.75">
      <c r="A11">
        <v>10570</v>
      </c>
      <c r="B11">
        <v>0.074</v>
      </c>
      <c r="C11">
        <v>106</v>
      </c>
      <c r="D11">
        <f t="shared" si="0"/>
        <v>3.9142289498580882</v>
      </c>
      <c r="E11">
        <f t="shared" si="1"/>
        <v>0.175</v>
      </c>
      <c r="F11">
        <f t="shared" si="2"/>
        <v>7</v>
      </c>
      <c r="G11">
        <v>3.291849126034958</v>
      </c>
    </row>
    <row r="12" spans="1:13" ht="12.75">
      <c r="A12">
        <v>10730</v>
      </c>
      <c r="B12">
        <v>0.073</v>
      </c>
      <c r="C12">
        <v>134</v>
      </c>
      <c r="D12">
        <f t="shared" si="0"/>
        <v>3.803755824790307</v>
      </c>
      <c r="E12">
        <f t="shared" si="1"/>
        <v>0.2</v>
      </c>
      <c r="F12">
        <f t="shared" si="2"/>
        <v>8</v>
      </c>
      <c r="G12">
        <v>3.4381740775780503</v>
      </c>
      <c r="I12" s="14"/>
      <c r="J12" s="14"/>
      <c r="K12" s="14"/>
      <c r="L12" s="14"/>
      <c r="M12" s="14"/>
    </row>
    <row r="13" spans="1:13" ht="12.75">
      <c r="A13">
        <v>10870</v>
      </c>
      <c r="B13">
        <v>0.085</v>
      </c>
      <c r="C13">
        <v>123</v>
      </c>
      <c r="D13">
        <f t="shared" si="0"/>
        <v>4.371987120515179</v>
      </c>
      <c r="E13">
        <f t="shared" si="1"/>
        <v>0.225</v>
      </c>
      <c r="F13">
        <f t="shared" si="2"/>
        <v>9</v>
      </c>
      <c r="G13">
        <v>3.5239604891815612</v>
      </c>
      <c r="I13" s="14"/>
      <c r="J13" s="14"/>
      <c r="K13" s="14"/>
      <c r="L13" s="14"/>
      <c r="M13" s="14"/>
    </row>
    <row r="14" spans="1:13" ht="15">
      <c r="A14">
        <v>10570</v>
      </c>
      <c r="B14">
        <v>0.065</v>
      </c>
      <c r="C14">
        <v>121</v>
      </c>
      <c r="D14">
        <f t="shared" si="0"/>
        <v>3.4381740775780503</v>
      </c>
      <c r="E14">
        <f t="shared" si="1"/>
        <v>0.25</v>
      </c>
      <c r="F14">
        <f t="shared" si="2"/>
        <v>10</v>
      </c>
      <c r="G14">
        <v>3.533933962264151</v>
      </c>
      <c r="I14" s="49"/>
      <c r="J14" s="50"/>
      <c r="K14" s="14"/>
      <c r="L14" s="14"/>
      <c r="M14" s="14"/>
    </row>
    <row r="15" spans="1:13" ht="12.75">
      <c r="A15">
        <v>10900</v>
      </c>
      <c r="B15">
        <v>0.079</v>
      </c>
      <c r="C15">
        <v>125</v>
      </c>
      <c r="D15">
        <f t="shared" si="0"/>
        <v>4.052192660550459</v>
      </c>
      <c r="E15">
        <f t="shared" si="1"/>
        <v>0.275</v>
      </c>
      <c r="F15">
        <f t="shared" si="2"/>
        <v>11</v>
      </c>
      <c r="G15">
        <v>3.555566820276497</v>
      </c>
      <c r="I15" s="14"/>
      <c r="J15" s="14"/>
      <c r="K15" s="14"/>
      <c r="L15" s="14"/>
      <c r="M15" s="14"/>
    </row>
    <row r="16" spans="1:13" ht="12.75">
      <c r="A16">
        <v>10600</v>
      </c>
      <c r="B16">
        <v>0.067</v>
      </c>
      <c r="C16">
        <v>116</v>
      </c>
      <c r="D16">
        <f t="shared" si="0"/>
        <v>3.533933962264151</v>
      </c>
      <c r="E16">
        <f t="shared" si="1"/>
        <v>0.3</v>
      </c>
      <c r="F16">
        <f t="shared" si="2"/>
        <v>12</v>
      </c>
      <c r="G16">
        <v>3.7692134831460673</v>
      </c>
      <c r="I16" s="51"/>
      <c r="J16" s="52"/>
      <c r="K16" s="14"/>
      <c r="L16" s="14"/>
      <c r="M16" s="14"/>
    </row>
    <row r="17" spans="1:13" ht="12.75">
      <c r="A17">
        <v>10680</v>
      </c>
      <c r="B17">
        <v>0.072</v>
      </c>
      <c r="C17">
        <v>138</v>
      </c>
      <c r="D17">
        <f t="shared" si="0"/>
        <v>3.7692134831460673</v>
      </c>
      <c r="E17">
        <f t="shared" si="1"/>
        <v>0.325</v>
      </c>
      <c r="F17">
        <f t="shared" si="2"/>
        <v>13</v>
      </c>
      <c r="G17">
        <v>3.803755824790307</v>
      </c>
      <c r="I17" s="14"/>
      <c r="J17" s="14"/>
      <c r="K17" s="14"/>
      <c r="L17" s="14"/>
      <c r="M17" s="14"/>
    </row>
    <row r="18" spans="1:13" ht="12.75">
      <c r="A18">
        <v>10870</v>
      </c>
      <c r="B18">
        <v>0.084</v>
      </c>
      <c r="C18">
        <v>92</v>
      </c>
      <c r="D18">
        <f t="shared" si="0"/>
        <v>4.320551977920883</v>
      </c>
      <c r="E18">
        <f t="shared" si="1"/>
        <v>0.35</v>
      </c>
      <c r="F18">
        <f t="shared" si="2"/>
        <v>14</v>
      </c>
      <c r="G18">
        <v>3.876970802919707</v>
      </c>
      <c r="I18" s="14"/>
      <c r="J18" s="14"/>
      <c r="K18" s="14"/>
      <c r="L18" s="14"/>
      <c r="M18" s="14"/>
    </row>
    <row r="19" spans="1:13" ht="12.75">
      <c r="A19">
        <v>10620</v>
      </c>
      <c r="B19">
        <v>0.055</v>
      </c>
      <c r="C19">
        <v>141</v>
      </c>
      <c r="D19">
        <f t="shared" si="0"/>
        <v>2.8955273069679848</v>
      </c>
      <c r="E19">
        <f t="shared" si="1"/>
        <v>0.375</v>
      </c>
      <c r="F19">
        <f t="shared" si="2"/>
        <v>15</v>
      </c>
      <c r="G19">
        <v>3.9142289498580882</v>
      </c>
      <c r="I19" s="14"/>
      <c r="J19" s="14"/>
      <c r="K19" s="14"/>
      <c r="L19" s="14"/>
      <c r="M19" s="14"/>
    </row>
    <row r="20" spans="1:13" ht="12.75">
      <c r="A20">
        <v>10650</v>
      </c>
      <c r="B20">
        <v>0.051</v>
      </c>
      <c r="C20">
        <v>158</v>
      </c>
      <c r="D20">
        <f t="shared" si="0"/>
        <v>2.6773802816901404</v>
      </c>
      <c r="E20">
        <f t="shared" si="1"/>
        <v>0.4</v>
      </c>
      <c r="F20">
        <f t="shared" si="2"/>
        <v>16</v>
      </c>
      <c r="G20">
        <v>4.0271936389148735</v>
      </c>
      <c r="I20" s="14"/>
      <c r="J20" s="14"/>
      <c r="K20" s="14"/>
      <c r="L20" s="14"/>
      <c r="M20" s="14"/>
    </row>
    <row r="21" spans="1:13" ht="15">
      <c r="A21">
        <v>10680</v>
      </c>
      <c r="B21">
        <v>0.054</v>
      </c>
      <c r="C21">
        <v>115</v>
      </c>
      <c r="D21">
        <f t="shared" si="0"/>
        <v>2.8269101123595504</v>
      </c>
      <c r="E21">
        <f t="shared" si="1"/>
        <v>0.425</v>
      </c>
      <c r="F21">
        <f t="shared" si="2"/>
        <v>17</v>
      </c>
      <c r="G21">
        <v>4.052192660550459</v>
      </c>
      <c r="I21" s="49"/>
      <c r="J21" s="50"/>
      <c r="K21" s="14"/>
      <c r="L21" s="14"/>
      <c r="M21" s="14"/>
    </row>
    <row r="22" spans="1:13" ht="12.75">
      <c r="A22">
        <v>10630</v>
      </c>
      <c r="B22">
        <v>0.067</v>
      </c>
      <c r="C22">
        <v>103</v>
      </c>
      <c r="D22">
        <f t="shared" si="0"/>
        <v>3.5239604891815612</v>
      </c>
      <c r="E22">
        <f t="shared" si="1"/>
        <v>0.45</v>
      </c>
      <c r="F22">
        <f t="shared" si="2"/>
        <v>18</v>
      </c>
      <c r="G22">
        <v>4.147170329670329</v>
      </c>
      <c r="I22" s="14"/>
      <c r="J22" s="14"/>
      <c r="K22" s="14"/>
      <c r="L22" s="14"/>
      <c r="M22" s="14"/>
    </row>
    <row r="23" spans="1:13" ht="12.75">
      <c r="A23">
        <v>10660</v>
      </c>
      <c r="B23">
        <v>0.05</v>
      </c>
      <c r="C23">
        <v>99</v>
      </c>
      <c r="D23">
        <f t="shared" si="0"/>
        <v>2.6224202626641646</v>
      </c>
      <c r="E23">
        <f t="shared" si="1"/>
        <v>0.475</v>
      </c>
      <c r="F23">
        <f t="shared" si="2"/>
        <v>19</v>
      </c>
      <c r="G23">
        <v>4.167836363636363</v>
      </c>
      <c r="I23" s="51"/>
      <c r="J23" s="52"/>
      <c r="K23" s="14"/>
      <c r="L23" s="14"/>
      <c r="M23" s="14"/>
    </row>
    <row r="24" spans="1:13" ht="12.75">
      <c r="A24">
        <v>10750</v>
      </c>
      <c r="B24">
        <v>0.051</v>
      </c>
      <c r="C24">
        <v>127</v>
      </c>
      <c r="D24">
        <f t="shared" si="0"/>
        <v>2.6524744186046507</v>
      </c>
      <c r="E24">
        <f t="shared" si="1"/>
        <v>0.5</v>
      </c>
      <c r="F24">
        <f t="shared" si="2"/>
        <v>20</v>
      </c>
      <c r="G24">
        <v>4.320551977920883</v>
      </c>
      <c r="I24" s="14"/>
      <c r="J24" s="14"/>
      <c r="K24" s="14"/>
      <c r="L24" s="14"/>
      <c r="M24" s="14"/>
    </row>
    <row r="25" spans="1:13" ht="12.75">
      <c r="A25">
        <v>10480</v>
      </c>
      <c r="B25">
        <v>0.052</v>
      </c>
      <c r="C25">
        <v>94</v>
      </c>
      <c r="D25">
        <f t="shared" si="0"/>
        <v>2.774160305343511</v>
      </c>
      <c r="E25">
        <f t="shared" si="1"/>
        <v>0.525</v>
      </c>
      <c r="F25">
        <f t="shared" si="2"/>
        <v>21</v>
      </c>
      <c r="G25">
        <v>4.371987120515179</v>
      </c>
      <c r="I25" s="14"/>
      <c r="J25" s="14"/>
      <c r="K25" s="14"/>
      <c r="L25" s="14"/>
      <c r="M25" s="14"/>
    </row>
    <row r="26" spans="1:13" ht="12.75">
      <c r="A26">
        <v>10500</v>
      </c>
      <c r="B26">
        <v>0.104</v>
      </c>
      <c r="C26">
        <v>88</v>
      </c>
      <c r="D26">
        <f t="shared" si="0"/>
        <v>5.53775238095238</v>
      </c>
      <c r="E26">
        <f t="shared" si="1"/>
        <v>0.55</v>
      </c>
      <c r="F26">
        <f t="shared" si="2"/>
        <v>22</v>
      </c>
      <c r="G26">
        <v>4.728447955390334</v>
      </c>
      <c r="I26" s="14"/>
      <c r="J26" s="14"/>
      <c r="K26" s="14"/>
      <c r="L26" s="14"/>
      <c r="M26" s="14"/>
    </row>
    <row r="27" spans="1:13" ht="12.75">
      <c r="A27">
        <v>10510</v>
      </c>
      <c r="B27">
        <v>0.104</v>
      </c>
      <c r="C27">
        <v>87</v>
      </c>
      <c r="D27">
        <f t="shared" si="0"/>
        <v>5.532483349191246</v>
      </c>
      <c r="E27">
        <f t="shared" si="1"/>
        <v>0.575</v>
      </c>
      <c r="F27">
        <f t="shared" si="2"/>
        <v>23</v>
      </c>
      <c r="G27">
        <v>4.763867041198501</v>
      </c>
      <c r="I27" s="14"/>
      <c r="J27" s="14"/>
      <c r="K27" s="14"/>
      <c r="L27" s="14"/>
      <c r="M27" s="14"/>
    </row>
    <row r="28" spans="1:13" ht="12.75">
      <c r="A28">
        <v>10500</v>
      </c>
      <c r="B28">
        <v>0.104</v>
      </c>
      <c r="C28">
        <v>88</v>
      </c>
      <c r="D28">
        <f t="shared" si="0"/>
        <v>5.53775238095238</v>
      </c>
      <c r="E28">
        <f t="shared" si="1"/>
        <v>0.6</v>
      </c>
      <c r="F28">
        <f t="shared" si="2"/>
        <v>24</v>
      </c>
      <c r="G28">
        <v>4.8640630975143395</v>
      </c>
      <c r="I28" s="14"/>
      <c r="J28" s="14"/>
      <c r="K28" s="14"/>
      <c r="L28" s="14"/>
      <c r="M28" s="14"/>
    </row>
    <row r="29" spans="1:13" ht="12.75">
      <c r="A29">
        <v>10610</v>
      </c>
      <c r="B29">
        <v>0.116</v>
      </c>
      <c r="C29">
        <v>107</v>
      </c>
      <c r="D29">
        <f t="shared" si="0"/>
        <v>6.112686145146088</v>
      </c>
      <c r="E29">
        <f t="shared" si="1"/>
        <v>0.625</v>
      </c>
      <c r="F29">
        <f t="shared" si="2"/>
        <v>25</v>
      </c>
      <c r="G29">
        <v>5.532483349191246</v>
      </c>
      <c r="I29" s="14"/>
      <c r="J29" s="14"/>
      <c r="K29" s="14"/>
      <c r="L29" s="14"/>
      <c r="M29" s="14"/>
    </row>
    <row r="30" spans="1:13" ht="12.75">
      <c r="A30">
        <v>10850</v>
      </c>
      <c r="B30">
        <v>0.116</v>
      </c>
      <c r="C30">
        <v>82</v>
      </c>
      <c r="D30">
        <f t="shared" si="0"/>
        <v>5.977474654377879</v>
      </c>
      <c r="E30">
        <f t="shared" si="1"/>
        <v>0.65</v>
      </c>
      <c r="F30">
        <f t="shared" si="2"/>
        <v>26</v>
      </c>
      <c r="G30">
        <v>5.53775238095238</v>
      </c>
      <c r="I30" s="14"/>
      <c r="J30" s="14"/>
      <c r="K30" s="14"/>
      <c r="L30" s="14"/>
      <c r="M30" s="14"/>
    </row>
    <row r="31" spans="1:13" ht="12.75">
      <c r="A31">
        <v>10300</v>
      </c>
      <c r="B31">
        <v>0.116</v>
      </c>
      <c r="C31">
        <v>64</v>
      </c>
      <c r="D31">
        <f t="shared" si="0"/>
        <v>6.296660194174756</v>
      </c>
      <c r="E31">
        <f t="shared" si="1"/>
        <v>0.675</v>
      </c>
      <c r="F31">
        <f t="shared" si="2"/>
        <v>27</v>
      </c>
      <c r="G31">
        <v>5.53775238095238</v>
      </c>
      <c r="I31" s="14"/>
      <c r="J31" s="14"/>
      <c r="K31" s="14"/>
      <c r="L31" s="14"/>
      <c r="M31" s="14"/>
    </row>
    <row r="32" spans="1:13" ht="12.75">
      <c r="A32">
        <v>10620</v>
      </c>
      <c r="B32">
        <v>0.115</v>
      </c>
      <c r="C32">
        <v>108</v>
      </c>
      <c r="D32">
        <f t="shared" si="0"/>
        <v>6.054284369114877</v>
      </c>
      <c r="E32">
        <f t="shared" si="1"/>
        <v>0.7</v>
      </c>
      <c r="F32">
        <f t="shared" si="2"/>
        <v>28</v>
      </c>
      <c r="G32">
        <v>5.969962859795729</v>
      </c>
      <c r="I32" s="14"/>
      <c r="J32" s="14"/>
      <c r="K32" s="14"/>
      <c r="L32" s="14"/>
      <c r="M32" s="14"/>
    </row>
    <row r="33" spans="1:13" ht="12.75">
      <c r="A33">
        <v>10770</v>
      </c>
      <c r="B33">
        <v>0.115</v>
      </c>
      <c r="C33">
        <v>135</v>
      </c>
      <c r="D33">
        <f t="shared" si="0"/>
        <v>5.969962859795729</v>
      </c>
      <c r="E33">
        <f t="shared" si="1"/>
        <v>0.725</v>
      </c>
      <c r="F33">
        <f t="shared" si="2"/>
        <v>29</v>
      </c>
      <c r="G33">
        <v>5.977474654377879</v>
      </c>
      <c r="I33" s="14"/>
      <c r="J33" s="14"/>
      <c r="K33" s="14"/>
      <c r="L33" s="14"/>
      <c r="M33" s="14"/>
    </row>
    <row r="34" spans="1:13" ht="12.75">
      <c r="A34">
        <v>10390</v>
      </c>
      <c r="B34">
        <v>0.115</v>
      </c>
      <c r="C34">
        <v>87</v>
      </c>
      <c r="D34">
        <f t="shared" si="0"/>
        <v>6.188306063522617</v>
      </c>
      <c r="E34">
        <f t="shared" si="1"/>
        <v>0.75</v>
      </c>
      <c r="F34">
        <f t="shared" si="2"/>
        <v>30</v>
      </c>
      <c r="G34">
        <v>6.054284369114877</v>
      </c>
      <c r="I34" s="14"/>
      <c r="J34" s="14"/>
      <c r="K34" s="14"/>
      <c r="L34" s="14"/>
      <c r="M34" s="14"/>
    </row>
    <row r="35" spans="1:7" ht="12.75">
      <c r="A35">
        <v>10490</v>
      </c>
      <c r="B35">
        <v>0.115</v>
      </c>
      <c r="C35">
        <v>97</v>
      </c>
      <c r="D35">
        <f t="shared" si="0"/>
        <v>6.129313632030504</v>
      </c>
      <c r="E35">
        <f t="shared" si="1"/>
        <v>0.775</v>
      </c>
      <c r="F35">
        <f t="shared" si="2"/>
        <v>31</v>
      </c>
      <c r="G35">
        <v>6.111834600760456</v>
      </c>
    </row>
    <row r="36" spans="1:7" ht="12.75">
      <c r="A36">
        <v>10520</v>
      </c>
      <c r="B36">
        <v>0.115</v>
      </c>
      <c r="C36">
        <v>84</v>
      </c>
      <c r="D36">
        <f t="shared" si="0"/>
        <v>6.111834600760456</v>
      </c>
      <c r="E36">
        <f t="shared" si="1"/>
        <v>0.8</v>
      </c>
      <c r="F36">
        <f t="shared" si="2"/>
        <v>32</v>
      </c>
      <c r="G36">
        <v>6.112686145146088</v>
      </c>
    </row>
    <row r="37" spans="1:7" ht="12.75">
      <c r="A37">
        <v>10370</v>
      </c>
      <c r="B37">
        <v>0.115</v>
      </c>
      <c r="C37">
        <v>114</v>
      </c>
      <c r="D37">
        <f t="shared" si="0"/>
        <v>6.200241080038572</v>
      </c>
      <c r="E37">
        <f t="shared" si="1"/>
        <v>0.825</v>
      </c>
      <c r="F37">
        <f t="shared" si="2"/>
        <v>33</v>
      </c>
      <c r="G37">
        <v>6.129313632030504</v>
      </c>
    </row>
    <row r="38" spans="1:7" ht="12.75">
      <c r="A38">
        <v>10680</v>
      </c>
      <c r="B38">
        <v>0.091</v>
      </c>
      <c r="C38">
        <v>106</v>
      </c>
      <c r="D38">
        <f t="shared" si="0"/>
        <v>4.763867041198501</v>
      </c>
      <c r="E38">
        <f t="shared" si="1"/>
        <v>0.85</v>
      </c>
      <c r="F38">
        <f t="shared" si="2"/>
        <v>34</v>
      </c>
      <c r="G38">
        <v>6.188306063522617</v>
      </c>
    </row>
    <row r="39" spans="1:7" ht="12.75">
      <c r="A39">
        <v>10760</v>
      </c>
      <c r="B39">
        <v>0.091</v>
      </c>
      <c r="C39">
        <v>105</v>
      </c>
      <c r="D39">
        <f t="shared" si="0"/>
        <v>4.728447955390334</v>
      </c>
      <c r="E39">
        <f t="shared" si="1"/>
        <v>0.875</v>
      </c>
      <c r="F39">
        <f t="shared" si="2"/>
        <v>35</v>
      </c>
      <c r="G39">
        <v>6.200241080038572</v>
      </c>
    </row>
    <row r="40" spans="1:7" ht="12.75">
      <c r="A40">
        <v>10460</v>
      </c>
      <c r="B40">
        <v>0.091</v>
      </c>
      <c r="C40">
        <v>72</v>
      </c>
      <c r="D40">
        <f t="shared" si="0"/>
        <v>4.8640630975143395</v>
      </c>
      <c r="E40">
        <f t="shared" si="1"/>
        <v>0.9</v>
      </c>
      <c r="F40">
        <f t="shared" si="2"/>
        <v>36</v>
      </c>
      <c r="G40">
        <v>6.28261567516525</v>
      </c>
    </row>
    <row r="41" spans="1:7" ht="12.75">
      <c r="A41">
        <v>10650</v>
      </c>
      <c r="B41">
        <v>0.12</v>
      </c>
      <c r="C41">
        <v>72</v>
      </c>
      <c r="D41">
        <f t="shared" si="0"/>
        <v>6.299718309859154</v>
      </c>
      <c r="E41">
        <f t="shared" si="1"/>
        <v>0.925</v>
      </c>
      <c r="F41">
        <f t="shared" si="2"/>
        <v>37</v>
      </c>
      <c r="G41">
        <v>6.296660194174756</v>
      </c>
    </row>
    <row r="42" spans="1:7" ht="12.75">
      <c r="A42">
        <v>10310</v>
      </c>
      <c r="B42">
        <v>0.12</v>
      </c>
      <c r="C42">
        <v>63</v>
      </c>
      <c r="D42">
        <f t="shared" si="0"/>
        <v>6.5074684772065945</v>
      </c>
      <c r="E42">
        <f t="shared" si="1"/>
        <v>0.95</v>
      </c>
      <c r="F42">
        <f t="shared" si="2"/>
        <v>38</v>
      </c>
      <c r="G42">
        <v>6.299718309859154</v>
      </c>
    </row>
    <row r="43" spans="1:7" ht="12.75">
      <c r="A43">
        <v>10640</v>
      </c>
      <c r="B43">
        <v>0.12</v>
      </c>
      <c r="C43">
        <v>119</v>
      </c>
      <c r="D43">
        <f t="shared" si="0"/>
        <v>6.3056390977443595</v>
      </c>
      <c r="E43">
        <f t="shared" si="1"/>
        <v>0.975</v>
      </c>
      <c r="F43">
        <f t="shared" si="2"/>
        <v>39</v>
      </c>
      <c r="G43">
        <v>6.3056390977443595</v>
      </c>
    </row>
    <row r="44" spans="1:7" ht="12.75">
      <c r="A44">
        <v>10590</v>
      </c>
      <c r="B44">
        <v>0.119</v>
      </c>
      <c r="C44">
        <v>75</v>
      </c>
      <c r="D44">
        <f t="shared" si="0"/>
        <v>6.28261567516525</v>
      </c>
      <c r="E44">
        <f t="shared" si="1"/>
        <v>1</v>
      </c>
      <c r="F44">
        <f t="shared" si="2"/>
        <v>40</v>
      </c>
      <c r="G44">
        <v>6.5074684772065945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9" sqref="M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C5">
      <selection activeCell="G5" sqref="G5:G59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87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f>1-0.9975</f>
        <v>0.0024999999999999467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5238</v>
      </c>
      <c r="B5">
        <v>0.16</v>
      </c>
      <c r="C5">
        <v>100</v>
      </c>
      <c r="D5">
        <f aca="true" t="shared" si="0" ref="D5:D59">1000000*B5*$B$3*EXP(-$A$3*C5)/A5</f>
        <v>0.07636502481863144</v>
      </c>
      <c r="E5">
        <f aca="true" t="shared" si="1" ref="E5:E37">F5/MAX(Kline_index)</f>
        <v>0.01818181818181818</v>
      </c>
      <c r="F5">
        <v>1</v>
      </c>
      <c r="G5">
        <v>0.024703557312252437</v>
      </c>
      <c r="I5">
        <f>VLOOKUP(0.975,Kline_freqtab,3)</f>
        <v>0.11698186781048689</v>
      </c>
      <c r="J5">
        <f>VLOOKUP(0.975,Kline_freqtab,2)</f>
        <v>53</v>
      </c>
      <c r="K5">
        <f>J5/MAX(Kline_index)</f>
        <v>0.9636363636363636</v>
      </c>
    </row>
    <row r="6" spans="1:11" ht="13.5" thickBot="1">
      <c r="A6">
        <v>5296</v>
      </c>
      <c r="B6">
        <v>0.21</v>
      </c>
      <c r="C6">
        <v>100</v>
      </c>
      <c r="D6">
        <f t="shared" si="0"/>
        <v>0.09913141993957493</v>
      </c>
      <c r="E6">
        <f t="shared" si="1"/>
        <v>0.03636363636363636</v>
      </c>
      <c r="F6">
        <f aca="true" t="shared" si="2" ref="F6:F59">F5+1</f>
        <v>2</v>
      </c>
      <c r="G6">
        <v>0.05316064179392889</v>
      </c>
      <c r="I6">
        <f>VLOOKUP(J6,Kline_freqindex,2)</f>
        <v>0.11897679952409028</v>
      </c>
      <c r="J6">
        <f>J5+1</f>
        <v>54</v>
      </c>
      <c r="K6">
        <f>J6/MAX(Kline_index)</f>
        <v>0.9818181818181818</v>
      </c>
    </row>
    <row r="7" spans="1:10" ht="15.75" thickBot="1">
      <c r="A7">
        <v>5092</v>
      </c>
      <c r="B7">
        <v>0.18</v>
      </c>
      <c r="C7">
        <v>100</v>
      </c>
      <c r="D7">
        <f t="shared" si="0"/>
        <v>0.08837391987431076</v>
      </c>
      <c r="E7">
        <f t="shared" si="1"/>
        <v>0.05454545454545454</v>
      </c>
      <c r="F7">
        <f t="shared" si="2"/>
        <v>3</v>
      </c>
      <c r="G7">
        <v>0.05894962486602232</v>
      </c>
      <c r="I7" s="46" t="s">
        <v>74</v>
      </c>
      <c r="J7" s="47">
        <f>$I$5+((0.975-$K$5)/($K$6-$K$5))*($I$6-$I$5)</f>
        <v>0.118228700131489</v>
      </c>
    </row>
    <row r="8" spans="1:7" ht="12.75">
      <c r="A8">
        <v>5230</v>
      </c>
      <c r="B8">
        <v>0.17</v>
      </c>
      <c r="C8">
        <v>100</v>
      </c>
      <c r="D8">
        <f t="shared" si="0"/>
        <v>0.08126195028680515</v>
      </c>
      <c r="E8">
        <f t="shared" si="1"/>
        <v>0.07272727272727272</v>
      </c>
      <c r="F8">
        <f t="shared" si="2"/>
        <v>4</v>
      </c>
      <c r="G8">
        <v>0.059159929008083936</v>
      </c>
    </row>
    <row r="9" spans="1:10" ht="12.75">
      <c r="A9">
        <v>5246</v>
      </c>
      <c r="B9">
        <v>0.16</v>
      </c>
      <c r="C9">
        <v>100</v>
      </c>
      <c r="D9">
        <f t="shared" si="0"/>
        <v>0.07624857033930452</v>
      </c>
      <c r="E9">
        <f t="shared" si="1"/>
        <v>0.09090909090909091</v>
      </c>
      <c r="F9">
        <f t="shared" si="2"/>
        <v>5</v>
      </c>
      <c r="G9">
        <v>0.06523484544359556</v>
      </c>
      <c r="I9" s="1" t="s">
        <v>73</v>
      </c>
      <c r="J9" s="48" t="str">
        <f>A1&amp;": 97.5th Percentile = "&amp;TEXT($J$7,"0.0000")&amp;" lb Hg/TBtu"</f>
        <v>Kline 1: 97.5th Percentile = 0.1182 lb Hg/TBtu</v>
      </c>
    </row>
    <row r="10" spans="1:7" ht="12.75">
      <c r="A10">
        <v>5347</v>
      </c>
      <c r="B10">
        <v>0.14</v>
      </c>
      <c r="C10">
        <v>100</v>
      </c>
      <c r="D10">
        <f t="shared" si="0"/>
        <v>0.06545726575649757</v>
      </c>
      <c r="E10">
        <f t="shared" si="1"/>
        <v>0.10909090909090909</v>
      </c>
      <c r="F10">
        <f t="shared" si="2"/>
        <v>6</v>
      </c>
      <c r="G10">
        <v>0.06545726575649757</v>
      </c>
    </row>
    <row r="11" spans="1:7" ht="12.75">
      <c r="A11">
        <v>5397</v>
      </c>
      <c r="B11">
        <v>0.17</v>
      </c>
      <c r="C11">
        <v>100</v>
      </c>
      <c r="D11">
        <f t="shared" si="0"/>
        <v>0.07874745228830664</v>
      </c>
      <c r="E11">
        <f t="shared" si="1"/>
        <v>0.12727272727272726</v>
      </c>
      <c r="F11">
        <f t="shared" si="2"/>
        <v>7</v>
      </c>
      <c r="G11">
        <v>0.06708836496070396</v>
      </c>
    </row>
    <row r="12" spans="1:7" ht="12.75">
      <c r="A12">
        <v>5362</v>
      </c>
      <c r="B12">
        <v>0.19</v>
      </c>
      <c r="C12">
        <v>100</v>
      </c>
      <c r="D12">
        <f t="shared" si="0"/>
        <v>0.0885863483774692</v>
      </c>
      <c r="E12">
        <f t="shared" si="1"/>
        <v>0.14545454545454545</v>
      </c>
      <c r="F12">
        <f t="shared" si="2"/>
        <v>8</v>
      </c>
      <c r="G12">
        <v>0.06877579092159414</v>
      </c>
    </row>
    <row r="13" spans="1:7" ht="12.75">
      <c r="A13">
        <v>5364</v>
      </c>
      <c r="B13">
        <v>0.16</v>
      </c>
      <c r="C13">
        <v>100</v>
      </c>
      <c r="D13">
        <f t="shared" si="0"/>
        <v>0.07457121551081124</v>
      </c>
      <c r="E13">
        <f t="shared" si="1"/>
        <v>0.16363636363636364</v>
      </c>
      <c r="F13">
        <f t="shared" si="2"/>
        <v>9</v>
      </c>
      <c r="G13">
        <v>0.06944444444444296</v>
      </c>
    </row>
    <row r="14" spans="1:7" ht="12.75">
      <c r="A14">
        <v>5173</v>
      </c>
      <c r="B14">
        <v>0.11</v>
      </c>
      <c r="C14">
        <v>100</v>
      </c>
      <c r="D14">
        <f t="shared" si="0"/>
        <v>0.05316064179392889</v>
      </c>
      <c r="E14">
        <f t="shared" si="1"/>
        <v>0.18181818181818182</v>
      </c>
      <c r="F14">
        <f t="shared" si="2"/>
        <v>10</v>
      </c>
      <c r="G14">
        <v>0.07457121551081124</v>
      </c>
    </row>
    <row r="15" spans="1:7" ht="12.75">
      <c r="A15">
        <v>5089</v>
      </c>
      <c r="B15">
        <v>0.14</v>
      </c>
      <c r="C15">
        <v>100</v>
      </c>
      <c r="D15">
        <f t="shared" si="0"/>
        <v>0.06877579092159414</v>
      </c>
      <c r="E15">
        <f t="shared" si="1"/>
        <v>0.2</v>
      </c>
      <c r="F15">
        <f t="shared" si="2"/>
        <v>11</v>
      </c>
      <c r="G15">
        <v>0.07572889057175151</v>
      </c>
    </row>
    <row r="16" spans="1:7" ht="12.75">
      <c r="A16">
        <v>5082</v>
      </c>
      <c r="B16">
        <v>0.17</v>
      </c>
      <c r="C16">
        <v>100</v>
      </c>
      <c r="D16">
        <f t="shared" si="0"/>
        <v>0.08362849271940004</v>
      </c>
      <c r="E16">
        <f t="shared" si="1"/>
        <v>0.21818181818181817</v>
      </c>
      <c r="F16">
        <f t="shared" si="2"/>
        <v>12</v>
      </c>
      <c r="G16">
        <v>0.07624857033930452</v>
      </c>
    </row>
    <row r="17" spans="1:7" ht="12.75">
      <c r="A17">
        <v>5060</v>
      </c>
      <c r="B17">
        <v>0.05</v>
      </c>
      <c r="C17">
        <v>100</v>
      </c>
      <c r="D17">
        <f t="shared" si="0"/>
        <v>0.024703557312252437</v>
      </c>
      <c r="E17">
        <f t="shared" si="1"/>
        <v>0.23636363636363636</v>
      </c>
      <c r="F17">
        <f t="shared" si="2"/>
        <v>13</v>
      </c>
      <c r="G17">
        <v>0.07636502481863144</v>
      </c>
    </row>
    <row r="18" spans="1:7" ht="12.75">
      <c r="A18">
        <v>5400</v>
      </c>
      <c r="B18">
        <v>0.15</v>
      </c>
      <c r="C18">
        <v>100</v>
      </c>
      <c r="D18">
        <f t="shared" si="0"/>
        <v>0.06944444444444296</v>
      </c>
      <c r="E18">
        <f t="shared" si="1"/>
        <v>0.2545454545454545</v>
      </c>
      <c r="F18">
        <f t="shared" si="2"/>
        <v>14</v>
      </c>
      <c r="G18">
        <v>0.07687051588657164</v>
      </c>
    </row>
    <row r="19" spans="1:7" ht="12.75">
      <c r="A19">
        <v>5288</v>
      </c>
      <c r="B19">
        <v>0.19</v>
      </c>
      <c r="C19">
        <v>100</v>
      </c>
      <c r="D19">
        <f t="shared" si="0"/>
        <v>0.08982602118002835</v>
      </c>
      <c r="E19">
        <f t="shared" si="1"/>
        <v>0.2727272727272727</v>
      </c>
      <c r="F19">
        <f t="shared" si="2"/>
        <v>15</v>
      </c>
      <c r="G19">
        <v>0.07874745228830664</v>
      </c>
    </row>
    <row r="20" spans="1:7" ht="12.75">
      <c r="A20">
        <v>4675</v>
      </c>
      <c r="B20">
        <v>0.17</v>
      </c>
      <c r="C20">
        <v>200</v>
      </c>
      <c r="D20">
        <f t="shared" si="0"/>
        <v>0.09090909090908898</v>
      </c>
      <c r="E20">
        <f t="shared" si="1"/>
        <v>0.2909090909090909</v>
      </c>
      <c r="F20">
        <f t="shared" si="2"/>
        <v>16</v>
      </c>
      <c r="G20">
        <v>0.07898894154818158</v>
      </c>
    </row>
    <row r="21" spans="1:7" ht="12.75">
      <c r="A21">
        <v>5217</v>
      </c>
      <c r="B21">
        <v>0.14</v>
      </c>
      <c r="C21">
        <v>100</v>
      </c>
      <c r="D21">
        <f t="shared" si="0"/>
        <v>0.06708836496070396</v>
      </c>
      <c r="E21">
        <f t="shared" si="1"/>
        <v>0.3090909090909091</v>
      </c>
      <c r="F21">
        <f t="shared" si="2"/>
        <v>17</v>
      </c>
      <c r="G21">
        <v>0.07970742685671248</v>
      </c>
    </row>
    <row r="22" spans="1:7" ht="12.75">
      <c r="A22">
        <v>5071</v>
      </c>
      <c r="B22">
        <v>0.12</v>
      </c>
      <c r="C22">
        <v>100</v>
      </c>
      <c r="D22">
        <f t="shared" si="0"/>
        <v>0.059159929008083936</v>
      </c>
      <c r="E22">
        <f t="shared" si="1"/>
        <v>0.32727272727272727</v>
      </c>
      <c r="F22">
        <f t="shared" si="2"/>
        <v>18</v>
      </c>
      <c r="G22">
        <v>0.0809215536938292</v>
      </c>
    </row>
    <row r="23" spans="1:7" ht="12.75">
      <c r="A23">
        <v>5239</v>
      </c>
      <c r="B23">
        <v>0.17</v>
      </c>
      <c r="C23">
        <v>100</v>
      </c>
      <c r="D23">
        <f t="shared" si="0"/>
        <v>0.08112235159381388</v>
      </c>
      <c r="E23">
        <f t="shared" si="1"/>
        <v>0.34545454545454546</v>
      </c>
      <c r="F23">
        <f t="shared" si="2"/>
        <v>19</v>
      </c>
      <c r="G23">
        <v>0.08112235159381388</v>
      </c>
    </row>
    <row r="24" spans="1:7" ht="12.75">
      <c r="A24">
        <v>5313</v>
      </c>
      <c r="B24">
        <v>0.19</v>
      </c>
      <c r="C24">
        <v>100</v>
      </c>
      <c r="D24">
        <f t="shared" si="0"/>
        <v>0.08940335027291359</v>
      </c>
      <c r="E24">
        <f t="shared" si="1"/>
        <v>0.36363636363636365</v>
      </c>
      <c r="F24">
        <f t="shared" si="2"/>
        <v>20</v>
      </c>
      <c r="G24">
        <v>0.08126195028680515</v>
      </c>
    </row>
    <row r="25" spans="1:7" ht="12.75">
      <c r="A25">
        <v>5316</v>
      </c>
      <c r="B25">
        <v>0.22</v>
      </c>
      <c r="C25">
        <v>100</v>
      </c>
      <c r="D25">
        <f t="shared" si="0"/>
        <v>0.10346124905944099</v>
      </c>
      <c r="E25">
        <f t="shared" si="1"/>
        <v>0.38181818181818183</v>
      </c>
      <c r="F25">
        <f t="shared" si="2"/>
        <v>21</v>
      </c>
      <c r="G25">
        <v>0.08177794881662323</v>
      </c>
    </row>
    <row r="26" spans="1:7" ht="12.75">
      <c r="A26">
        <v>5277</v>
      </c>
      <c r="B26">
        <v>0.19</v>
      </c>
      <c r="C26">
        <v>100</v>
      </c>
      <c r="D26">
        <f t="shared" si="0"/>
        <v>0.09001326511275154</v>
      </c>
      <c r="E26">
        <f t="shared" si="1"/>
        <v>0.4</v>
      </c>
      <c r="F26">
        <f t="shared" si="2"/>
        <v>22</v>
      </c>
      <c r="G26">
        <v>0.08210890233361968</v>
      </c>
    </row>
    <row r="27" spans="1:7" ht="12.75">
      <c r="A27">
        <v>5166</v>
      </c>
      <c r="B27">
        <v>0.17</v>
      </c>
      <c r="C27">
        <v>100</v>
      </c>
      <c r="D27">
        <f t="shared" si="0"/>
        <v>0.08226867982965369</v>
      </c>
      <c r="E27">
        <f t="shared" si="1"/>
        <v>0.41818181818181815</v>
      </c>
      <c r="F27">
        <f t="shared" si="2"/>
        <v>23</v>
      </c>
      <c r="G27">
        <v>0.08226867982965369</v>
      </c>
    </row>
    <row r="28" spans="1:7" ht="12.75">
      <c r="A28">
        <v>5091</v>
      </c>
      <c r="B28">
        <v>0.17</v>
      </c>
      <c r="C28">
        <v>100</v>
      </c>
      <c r="D28">
        <f t="shared" si="0"/>
        <v>0.08348065213121017</v>
      </c>
      <c r="E28">
        <f t="shared" si="1"/>
        <v>0.43636363636363634</v>
      </c>
      <c r="F28">
        <f t="shared" si="2"/>
        <v>24</v>
      </c>
      <c r="G28">
        <v>0.08257237225568116</v>
      </c>
    </row>
    <row r="29" spans="1:7" ht="12.75">
      <c r="A29">
        <v>4769</v>
      </c>
      <c r="B29">
        <v>0.16</v>
      </c>
      <c r="C29">
        <v>100</v>
      </c>
      <c r="D29">
        <f t="shared" si="0"/>
        <v>0.0838750262109439</v>
      </c>
      <c r="E29">
        <f t="shared" si="1"/>
        <v>0.45454545454545453</v>
      </c>
      <c r="F29">
        <f t="shared" si="2"/>
        <v>25</v>
      </c>
      <c r="G29">
        <v>0.08348065213121017</v>
      </c>
    </row>
    <row r="30" spans="1:7" ht="12.75">
      <c r="A30">
        <v>5170</v>
      </c>
      <c r="B30">
        <v>0.19</v>
      </c>
      <c r="C30">
        <v>100</v>
      </c>
      <c r="D30">
        <f t="shared" si="0"/>
        <v>0.09187620889748353</v>
      </c>
      <c r="E30">
        <f t="shared" si="1"/>
        <v>0.4727272727272727</v>
      </c>
      <c r="F30">
        <f t="shared" si="2"/>
        <v>26</v>
      </c>
      <c r="G30">
        <v>0.0835034329189071</v>
      </c>
    </row>
    <row r="31" spans="1:7" ht="12.75">
      <c r="A31">
        <v>4710</v>
      </c>
      <c r="B31">
        <v>0.19</v>
      </c>
      <c r="C31">
        <v>100</v>
      </c>
      <c r="D31">
        <f t="shared" si="0"/>
        <v>0.10084925690021017</v>
      </c>
      <c r="E31">
        <f t="shared" si="1"/>
        <v>0.4909090909090909</v>
      </c>
      <c r="F31">
        <f t="shared" si="2"/>
        <v>27</v>
      </c>
      <c r="G31">
        <v>0.08362849271940004</v>
      </c>
    </row>
    <row r="32" spans="1:7" ht="12.75">
      <c r="A32">
        <v>5129</v>
      </c>
      <c r="B32">
        <v>0.24</v>
      </c>
      <c r="C32">
        <v>100</v>
      </c>
      <c r="D32">
        <f t="shared" si="0"/>
        <v>0.11698186781048689</v>
      </c>
      <c r="E32">
        <f t="shared" si="1"/>
        <v>0.509090909090909</v>
      </c>
      <c r="F32">
        <f t="shared" si="2"/>
        <v>28</v>
      </c>
      <c r="G32">
        <v>0.0838750262109439</v>
      </c>
    </row>
    <row r="33" spans="1:7" ht="12.75">
      <c r="A33">
        <v>5389</v>
      </c>
      <c r="B33">
        <v>0.18</v>
      </c>
      <c r="C33">
        <v>100</v>
      </c>
      <c r="D33">
        <f t="shared" si="0"/>
        <v>0.0835034329189071</v>
      </c>
      <c r="E33">
        <f t="shared" si="1"/>
        <v>0.5272727272727272</v>
      </c>
      <c r="F33">
        <f t="shared" si="2"/>
        <v>29</v>
      </c>
      <c r="G33">
        <v>0.08392782207301541</v>
      </c>
    </row>
    <row r="34" spans="1:7" ht="12.75">
      <c r="A34">
        <v>5252</v>
      </c>
      <c r="B34">
        <v>0.17</v>
      </c>
      <c r="C34">
        <v>100</v>
      </c>
      <c r="D34">
        <f t="shared" si="0"/>
        <v>0.0809215536938292</v>
      </c>
      <c r="E34">
        <f t="shared" si="1"/>
        <v>0.5454545454545454</v>
      </c>
      <c r="F34">
        <f t="shared" si="2"/>
        <v>30</v>
      </c>
      <c r="G34">
        <v>0.08398656215005419</v>
      </c>
    </row>
    <row r="35" spans="1:7" ht="12.75">
      <c r="A35">
        <v>5146</v>
      </c>
      <c r="B35">
        <v>0.23</v>
      </c>
      <c r="C35">
        <v>200</v>
      </c>
      <c r="D35">
        <f t="shared" si="0"/>
        <v>0.11173727166731204</v>
      </c>
      <c r="E35">
        <f t="shared" si="1"/>
        <v>0.5636363636363636</v>
      </c>
      <c r="F35">
        <f t="shared" si="2"/>
        <v>31</v>
      </c>
      <c r="G35">
        <v>0.08591065292096037</v>
      </c>
    </row>
    <row r="36" spans="1:7" ht="12.75">
      <c r="A36">
        <v>4622</v>
      </c>
      <c r="B36">
        <v>0.22</v>
      </c>
      <c r="C36">
        <v>100</v>
      </c>
      <c r="D36">
        <f t="shared" si="0"/>
        <v>0.1189961055819966</v>
      </c>
      <c r="E36">
        <f t="shared" si="1"/>
        <v>0.5818181818181818</v>
      </c>
      <c r="F36">
        <f t="shared" si="2"/>
        <v>32</v>
      </c>
      <c r="G36">
        <v>0.08776667566837512</v>
      </c>
    </row>
    <row r="37" spans="1:7" ht="12.75">
      <c r="A37">
        <v>4665</v>
      </c>
      <c r="B37">
        <v>0.11</v>
      </c>
      <c r="C37">
        <v>100</v>
      </c>
      <c r="D37">
        <f t="shared" si="0"/>
        <v>0.05894962486602232</v>
      </c>
      <c r="E37">
        <f t="shared" si="1"/>
        <v>0.6</v>
      </c>
      <c r="F37">
        <f t="shared" si="2"/>
        <v>33</v>
      </c>
      <c r="G37">
        <v>0.08837391987431076</v>
      </c>
    </row>
    <row r="38" spans="1:7" ht="12.75">
      <c r="A38">
        <v>3703</v>
      </c>
      <c r="B38">
        <v>0.13</v>
      </c>
      <c r="C38">
        <v>100</v>
      </c>
      <c r="D38">
        <f t="shared" si="0"/>
        <v>0.08776667566837512</v>
      </c>
      <c r="E38">
        <f aca="true" t="shared" si="3" ref="E38:E59">F38/MAX(Kline_index)</f>
        <v>0.6181818181818182</v>
      </c>
      <c r="F38">
        <f t="shared" si="2"/>
        <v>34</v>
      </c>
      <c r="G38">
        <v>0.0885863483774692</v>
      </c>
    </row>
    <row r="39" spans="1:7" ht="12.75">
      <c r="A39">
        <v>5178</v>
      </c>
      <c r="B39">
        <v>0.2</v>
      </c>
      <c r="C39">
        <v>100</v>
      </c>
      <c r="D39">
        <f t="shared" si="0"/>
        <v>0.09656237929702381</v>
      </c>
      <c r="E39">
        <f t="shared" si="3"/>
        <v>0.6363636363636364</v>
      </c>
      <c r="F39">
        <f t="shared" si="2"/>
        <v>35</v>
      </c>
      <c r="G39">
        <v>0.08940335027291359</v>
      </c>
    </row>
    <row r="40" spans="1:7" ht="12.75">
      <c r="A40">
        <v>5197</v>
      </c>
      <c r="B40">
        <v>0.17</v>
      </c>
      <c r="C40">
        <v>100</v>
      </c>
      <c r="D40">
        <f t="shared" si="0"/>
        <v>0.08177794881662323</v>
      </c>
      <c r="E40">
        <f t="shared" si="3"/>
        <v>0.6545454545454545</v>
      </c>
      <c r="F40">
        <f t="shared" si="2"/>
        <v>36</v>
      </c>
      <c r="G40">
        <v>0.08944543828264567</v>
      </c>
    </row>
    <row r="41" spans="1:7" ht="12.75">
      <c r="A41">
        <v>4472</v>
      </c>
      <c r="B41">
        <v>0.16</v>
      </c>
      <c r="C41">
        <v>100</v>
      </c>
      <c r="D41">
        <f t="shared" si="0"/>
        <v>0.08944543828264567</v>
      </c>
      <c r="E41">
        <f t="shared" si="3"/>
        <v>0.6727272727272727</v>
      </c>
      <c r="F41">
        <f t="shared" si="2"/>
        <v>37</v>
      </c>
      <c r="G41">
        <v>0.08982602118002835</v>
      </c>
    </row>
    <row r="42" spans="1:7" ht="12.75">
      <c r="A42">
        <v>4406</v>
      </c>
      <c r="B42">
        <v>0.19</v>
      </c>
      <c r="C42">
        <v>100</v>
      </c>
      <c r="D42">
        <f t="shared" si="0"/>
        <v>0.10780753517929866</v>
      </c>
      <c r="E42">
        <f t="shared" si="3"/>
        <v>0.6909090909090909</v>
      </c>
      <c r="F42">
        <f t="shared" si="2"/>
        <v>38</v>
      </c>
      <c r="G42">
        <v>0.09001326511275154</v>
      </c>
    </row>
    <row r="43" spans="1:7" ht="12.75">
      <c r="A43">
        <v>5147</v>
      </c>
      <c r="B43">
        <v>0.17</v>
      </c>
      <c r="C43">
        <v>100</v>
      </c>
      <c r="D43">
        <f t="shared" si="0"/>
        <v>0.08257237225568116</v>
      </c>
      <c r="E43">
        <f t="shared" si="3"/>
        <v>0.7090909090909091</v>
      </c>
      <c r="F43">
        <f t="shared" si="2"/>
        <v>39</v>
      </c>
      <c r="G43">
        <v>0.09003032600454698</v>
      </c>
    </row>
    <row r="44" spans="1:7" ht="12.75">
      <c r="A44">
        <v>4982</v>
      </c>
      <c r="B44">
        <v>0.13</v>
      </c>
      <c r="C44">
        <v>100</v>
      </c>
      <c r="D44">
        <f t="shared" si="0"/>
        <v>0.06523484544359556</v>
      </c>
      <c r="E44">
        <f t="shared" si="3"/>
        <v>0.7272727272727273</v>
      </c>
      <c r="F44">
        <f t="shared" si="2"/>
        <v>40</v>
      </c>
      <c r="G44">
        <v>0.09090909090908898</v>
      </c>
    </row>
    <row r="45" spans="1:7" ht="12.75">
      <c r="A45">
        <v>4766</v>
      </c>
      <c r="B45">
        <v>0.16</v>
      </c>
      <c r="C45">
        <v>100</v>
      </c>
      <c r="D45">
        <f t="shared" si="0"/>
        <v>0.08392782207301541</v>
      </c>
      <c r="E45">
        <f t="shared" si="3"/>
        <v>0.7454545454545455</v>
      </c>
      <c r="F45">
        <f t="shared" si="2"/>
        <v>41</v>
      </c>
      <c r="G45">
        <v>0.09187620889748353</v>
      </c>
    </row>
    <row r="46" spans="1:7" ht="12.75">
      <c r="A46">
        <v>4934</v>
      </c>
      <c r="B46">
        <v>0.19</v>
      </c>
      <c r="C46">
        <v>100</v>
      </c>
      <c r="D46">
        <f t="shared" si="0"/>
        <v>0.09627077421969799</v>
      </c>
      <c r="E46">
        <f t="shared" si="3"/>
        <v>0.7636363636363637</v>
      </c>
      <c r="F46">
        <f t="shared" si="2"/>
        <v>42</v>
      </c>
      <c r="G46">
        <v>0.09361450532124357</v>
      </c>
    </row>
    <row r="47" spans="1:7" ht="12.75">
      <c r="A47">
        <v>5074</v>
      </c>
      <c r="B47">
        <v>0.19</v>
      </c>
      <c r="C47">
        <v>100</v>
      </c>
      <c r="D47">
        <f t="shared" si="0"/>
        <v>0.09361450532124357</v>
      </c>
      <c r="E47">
        <f t="shared" si="3"/>
        <v>0.7818181818181819</v>
      </c>
      <c r="F47">
        <f t="shared" si="2"/>
        <v>43</v>
      </c>
      <c r="G47">
        <v>0.09627077421969799</v>
      </c>
    </row>
    <row r="48" spans="1:7" ht="12.75">
      <c r="A48">
        <v>5064</v>
      </c>
      <c r="B48">
        <v>0.16</v>
      </c>
      <c r="C48">
        <v>100</v>
      </c>
      <c r="D48">
        <f t="shared" si="0"/>
        <v>0.07898894154818158</v>
      </c>
      <c r="E48">
        <f t="shared" si="3"/>
        <v>0.8</v>
      </c>
      <c r="F48">
        <f t="shared" si="2"/>
        <v>44</v>
      </c>
      <c r="G48">
        <v>0.09656237929702381</v>
      </c>
    </row>
    <row r="49" spans="1:7" ht="12.75">
      <c r="A49">
        <v>5145</v>
      </c>
      <c r="B49">
        <v>0.2</v>
      </c>
      <c r="C49">
        <v>100</v>
      </c>
      <c r="D49">
        <f t="shared" si="0"/>
        <v>0.09718172983478898</v>
      </c>
      <c r="E49">
        <f t="shared" si="3"/>
        <v>0.8181818181818182</v>
      </c>
      <c r="F49">
        <f t="shared" si="2"/>
        <v>45</v>
      </c>
      <c r="G49">
        <v>0.09718172983478898</v>
      </c>
    </row>
    <row r="50" spans="1:7" ht="12.75">
      <c r="A50">
        <v>5358</v>
      </c>
      <c r="B50">
        <v>0.18</v>
      </c>
      <c r="C50">
        <v>100</v>
      </c>
      <c r="D50">
        <f t="shared" si="0"/>
        <v>0.08398656215005419</v>
      </c>
      <c r="E50">
        <f t="shared" si="3"/>
        <v>0.8363636363636363</v>
      </c>
      <c r="F50">
        <f t="shared" si="2"/>
        <v>46</v>
      </c>
      <c r="G50">
        <v>0.09830908375933727</v>
      </c>
    </row>
    <row r="51" spans="1:7" ht="12.75">
      <c r="A51">
        <v>5086</v>
      </c>
      <c r="B51">
        <v>0.2</v>
      </c>
      <c r="C51">
        <v>100</v>
      </c>
      <c r="D51">
        <f t="shared" si="0"/>
        <v>0.09830908375933727</v>
      </c>
      <c r="E51">
        <f t="shared" si="3"/>
        <v>0.8545454545454545</v>
      </c>
      <c r="F51">
        <f t="shared" si="2"/>
        <v>47</v>
      </c>
      <c r="G51">
        <v>0.09913141993957493</v>
      </c>
    </row>
    <row r="52" spans="1:7" ht="12.75">
      <c r="A52">
        <v>5854</v>
      </c>
      <c r="B52">
        <v>0.18</v>
      </c>
      <c r="C52">
        <v>100</v>
      </c>
      <c r="D52">
        <f t="shared" si="0"/>
        <v>0.07687051588657164</v>
      </c>
      <c r="E52">
        <f t="shared" si="3"/>
        <v>0.8727272727272727</v>
      </c>
      <c r="F52">
        <f t="shared" si="2"/>
        <v>48</v>
      </c>
      <c r="G52">
        <v>0.09941298996401986</v>
      </c>
    </row>
    <row r="53" spans="1:7" ht="12.75">
      <c r="A53">
        <v>5238</v>
      </c>
      <c r="B53">
        <v>0.18</v>
      </c>
      <c r="C53">
        <v>100</v>
      </c>
      <c r="D53">
        <f t="shared" si="0"/>
        <v>0.08591065292096037</v>
      </c>
      <c r="E53">
        <f t="shared" si="3"/>
        <v>0.8909090909090909</v>
      </c>
      <c r="F53">
        <f t="shared" si="2"/>
        <v>49</v>
      </c>
      <c r="G53">
        <v>0.10084925690021017</v>
      </c>
    </row>
    <row r="54" spans="1:7" ht="12.75">
      <c r="A54">
        <v>5332</v>
      </c>
      <c r="B54">
        <v>0.17</v>
      </c>
      <c r="C54">
        <v>100</v>
      </c>
      <c r="D54">
        <f t="shared" si="0"/>
        <v>0.07970742685671248</v>
      </c>
      <c r="E54">
        <f t="shared" si="3"/>
        <v>0.9090909090909091</v>
      </c>
      <c r="F54">
        <f t="shared" si="2"/>
        <v>50</v>
      </c>
      <c r="G54">
        <v>0.10346124905944099</v>
      </c>
    </row>
    <row r="55" spans="1:7" ht="12.75">
      <c r="A55">
        <v>5282</v>
      </c>
      <c r="B55">
        <v>0.16</v>
      </c>
      <c r="C55">
        <v>100</v>
      </c>
      <c r="D55">
        <f t="shared" si="0"/>
        <v>0.07572889057175151</v>
      </c>
      <c r="E55">
        <f t="shared" si="3"/>
        <v>0.9272727272727272</v>
      </c>
      <c r="F55">
        <f t="shared" si="2"/>
        <v>51</v>
      </c>
      <c r="G55">
        <v>0.10780753517929866</v>
      </c>
    </row>
    <row r="56" spans="1:7" ht="12.75">
      <c r="A56">
        <v>5785</v>
      </c>
      <c r="B56">
        <v>0.19</v>
      </c>
      <c r="C56">
        <v>100</v>
      </c>
      <c r="D56">
        <f t="shared" si="0"/>
        <v>0.08210890233361968</v>
      </c>
      <c r="E56">
        <f t="shared" si="3"/>
        <v>0.9454545454545454</v>
      </c>
      <c r="F56">
        <f t="shared" si="2"/>
        <v>52</v>
      </c>
      <c r="G56">
        <v>0.11173727166731204</v>
      </c>
    </row>
    <row r="57" spans="1:7" ht="12.75">
      <c r="A57">
        <v>5043</v>
      </c>
      <c r="B57">
        <v>0.24</v>
      </c>
      <c r="C57">
        <v>100</v>
      </c>
      <c r="D57">
        <f t="shared" si="0"/>
        <v>0.11897679952409028</v>
      </c>
      <c r="E57">
        <f t="shared" si="3"/>
        <v>0.9636363636363636</v>
      </c>
      <c r="F57">
        <f t="shared" si="2"/>
        <v>53</v>
      </c>
      <c r="G57">
        <v>0.11698186781048689</v>
      </c>
    </row>
    <row r="58" spans="1:7" ht="12.75">
      <c r="A58">
        <v>5281</v>
      </c>
      <c r="B58">
        <v>0.21</v>
      </c>
      <c r="C58">
        <v>200</v>
      </c>
      <c r="D58">
        <f t="shared" si="0"/>
        <v>0.09941298996401986</v>
      </c>
      <c r="E58">
        <f t="shared" si="3"/>
        <v>0.9818181818181818</v>
      </c>
      <c r="F58">
        <f t="shared" si="2"/>
        <v>54</v>
      </c>
      <c r="G58">
        <v>0.11897679952409028</v>
      </c>
    </row>
    <row r="59" spans="1:7" ht="12.75">
      <c r="A59">
        <v>5276</v>
      </c>
      <c r="B59">
        <v>0.19</v>
      </c>
      <c r="C59">
        <v>100</v>
      </c>
      <c r="D59">
        <f t="shared" si="0"/>
        <v>0.09003032600454698</v>
      </c>
      <c r="E59">
        <f t="shared" si="3"/>
        <v>1</v>
      </c>
      <c r="F59">
        <f t="shared" si="2"/>
        <v>55</v>
      </c>
      <c r="G59">
        <v>0.1189961055819966</v>
      </c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4" sqref="M1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7" sqref="A7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53" t="s">
        <v>88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f>1-0.9989</f>
        <v>0.0010999999999999899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7621</v>
      </c>
      <c r="B5">
        <v>0.67</v>
      </c>
      <c r="C5">
        <v>900</v>
      </c>
      <c r="D5">
        <f aca="true" t="shared" si="0" ref="D5:D55">1000000*B5*$B$3*EXP(-$A$3*C5)/A5</f>
        <v>0.09670646896732622</v>
      </c>
      <c r="E5">
        <f aca="true" t="shared" si="1" ref="E5:E37">F5/MAX(Scrubgrass_index)</f>
        <v>0.0196078431372549</v>
      </c>
      <c r="F5">
        <v>1</v>
      </c>
      <c r="G5">
        <v>0.044132397191574316</v>
      </c>
      <c r="I5">
        <f>VLOOKUP(0.975,Scrubgrass_freqtab,3)</f>
        <v>0.1547002220577336</v>
      </c>
      <c r="J5">
        <f>VLOOKUP(0.975,Scrubgrass_freqtab,2)</f>
        <v>49</v>
      </c>
      <c r="K5">
        <f>J5/MAX(Scrubgrass_index)</f>
        <v>0.9607843137254902</v>
      </c>
    </row>
    <row r="6" spans="1:11" ht="13.5" thickBot="1">
      <c r="A6">
        <v>7646</v>
      </c>
      <c r="B6">
        <v>0.57</v>
      </c>
      <c r="C6">
        <v>900</v>
      </c>
      <c r="D6">
        <f t="shared" si="0"/>
        <v>0.08200366204551324</v>
      </c>
      <c r="E6">
        <f t="shared" si="1"/>
        <v>0.0392156862745098</v>
      </c>
      <c r="F6">
        <f aca="true" t="shared" si="2" ref="F6:F55">F5+1</f>
        <v>2</v>
      </c>
      <c r="G6">
        <v>0.056424371324908774</v>
      </c>
      <c r="I6">
        <f>VLOOKUP(J6,Scrubgrass_freqindex,2)</f>
        <v>0.15808383233532788</v>
      </c>
      <c r="J6">
        <f>J5+1</f>
        <v>50</v>
      </c>
      <c r="K6">
        <f>J6/MAX(Scrubgrass_index)</f>
        <v>0.9803921568627451</v>
      </c>
    </row>
    <row r="7" spans="1:10" ht="15.75" thickBot="1">
      <c r="A7">
        <v>8045</v>
      </c>
      <c r="B7">
        <v>0.83</v>
      </c>
      <c r="C7">
        <v>1200</v>
      </c>
      <c r="D7">
        <f t="shared" si="0"/>
        <v>0.11348663766314376</v>
      </c>
      <c r="E7">
        <f t="shared" si="1"/>
        <v>0.058823529411764705</v>
      </c>
      <c r="F7">
        <f t="shared" si="2"/>
        <v>3</v>
      </c>
      <c r="G7">
        <v>0.0667268972638094</v>
      </c>
      <c r="I7" s="46" t="s">
        <v>74</v>
      </c>
      <c r="J7" s="47">
        <f>$I$5+((0.975-$K$5)/($K$6-$K$5))*($I$6-$I$5)</f>
        <v>0.15715333950898946</v>
      </c>
    </row>
    <row r="8" spans="1:7" ht="12.75">
      <c r="A8">
        <v>7636</v>
      </c>
      <c r="B8">
        <v>0.56</v>
      </c>
      <c r="C8">
        <v>897</v>
      </c>
      <c r="D8">
        <f t="shared" si="0"/>
        <v>0.08067050811943352</v>
      </c>
      <c r="E8">
        <f t="shared" si="1"/>
        <v>0.0784313725490196</v>
      </c>
      <c r="F8">
        <f t="shared" si="2"/>
        <v>4</v>
      </c>
      <c r="G8">
        <v>0.07020397947691089</v>
      </c>
    </row>
    <row r="9" spans="1:10" ht="12.75">
      <c r="A9">
        <v>7968</v>
      </c>
      <c r="B9">
        <v>0.77</v>
      </c>
      <c r="C9">
        <v>997</v>
      </c>
      <c r="D9">
        <f t="shared" si="0"/>
        <v>0.10630020080321187</v>
      </c>
      <c r="E9">
        <f t="shared" si="1"/>
        <v>0.09803921568627451</v>
      </c>
      <c r="F9">
        <f t="shared" si="2"/>
        <v>5</v>
      </c>
      <c r="G9">
        <v>0.07082714214957835</v>
      </c>
      <c r="I9" s="1" t="s">
        <v>73</v>
      </c>
      <c r="J9" s="48" t="str">
        <f>A1&amp;": 97.5th Percentile = "&amp;TEXT($J$7,"0.0000")&amp;" lb Hg/TBtu"</f>
        <v>Scrubgrass 1: 97.5th Percentile = 0.1572 lb Hg/TBtu</v>
      </c>
    </row>
    <row r="10" spans="1:7" ht="12.75">
      <c r="A10">
        <v>7047</v>
      </c>
      <c r="B10">
        <v>0.71</v>
      </c>
      <c r="C10">
        <v>997</v>
      </c>
      <c r="D10">
        <f t="shared" si="0"/>
        <v>0.11082730239818261</v>
      </c>
      <c r="E10">
        <f t="shared" si="1"/>
        <v>0.11764705882352941</v>
      </c>
      <c r="F10">
        <f t="shared" si="2"/>
        <v>6</v>
      </c>
      <c r="G10">
        <v>0.07368285456653288</v>
      </c>
    </row>
    <row r="11" spans="1:7" ht="12.75">
      <c r="A11">
        <v>7267</v>
      </c>
      <c r="B11">
        <v>1.01</v>
      </c>
      <c r="C11">
        <v>1295</v>
      </c>
      <c r="D11">
        <f t="shared" si="0"/>
        <v>0.15288289528003163</v>
      </c>
      <c r="E11">
        <f t="shared" si="1"/>
        <v>0.13725490196078433</v>
      </c>
      <c r="F11">
        <f t="shared" si="2"/>
        <v>7</v>
      </c>
      <c r="G11">
        <v>0.07379578693143632</v>
      </c>
    </row>
    <row r="12" spans="1:7" ht="12.75">
      <c r="A12">
        <v>7879</v>
      </c>
      <c r="B12">
        <v>0.67</v>
      </c>
      <c r="C12">
        <v>1047</v>
      </c>
      <c r="D12">
        <f t="shared" si="0"/>
        <v>0.09353978931336378</v>
      </c>
      <c r="E12">
        <f t="shared" si="1"/>
        <v>0.1568627450980392</v>
      </c>
      <c r="F12">
        <f t="shared" si="2"/>
        <v>8</v>
      </c>
      <c r="G12">
        <v>0.07397357243982942</v>
      </c>
    </row>
    <row r="13" spans="1:7" ht="12.75">
      <c r="A13">
        <v>7515</v>
      </c>
      <c r="B13">
        <v>1.08</v>
      </c>
      <c r="C13">
        <v>1146</v>
      </c>
      <c r="D13">
        <f t="shared" si="0"/>
        <v>0.15808383233532788</v>
      </c>
      <c r="E13">
        <f t="shared" si="1"/>
        <v>0.17647058823529413</v>
      </c>
      <c r="F13">
        <f t="shared" si="2"/>
        <v>9</v>
      </c>
      <c r="G13">
        <v>0.0749770612137888</v>
      </c>
    </row>
    <row r="14" spans="1:7" ht="12.75">
      <c r="A14">
        <v>7261</v>
      </c>
      <c r="B14">
        <v>0.57</v>
      </c>
      <c r="C14">
        <v>997</v>
      </c>
      <c r="D14">
        <f t="shared" si="0"/>
        <v>0.08635174218427134</v>
      </c>
      <c r="E14">
        <f t="shared" si="1"/>
        <v>0.19607843137254902</v>
      </c>
      <c r="F14">
        <f t="shared" si="2"/>
        <v>10</v>
      </c>
      <c r="G14">
        <v>0.07930266089919968</v>
      </c>
    </row>
    <row r="15" spans="1:7" ht="12.75">
      <c r="A15">
        <v>7704</v>
      </c>
      <c r="B15">
        <v>0.59</v>
      </c>
      <c r="C15">
        <v>1278</v>
      </c>
      <c r="D15">
        <f t="shared" si="0"/>
        <v>0.08424195223260565</v>
      </c>
      <c r="E15">
        <f t="shared" si="1"/>
        <v>0.21568627450980393</v>
      </c>
      <c r="F15">
        <f t="shared" si="2"/>
        <v>11</v>
      </c>
      <c r="G15">
        <v>0.08038053219357434</v>
      </c>
    </row>
    <row r="16" spans="1:7" ht="12.75">
      <c r="A16">
        <v>6645</v>
      </c>
      <c r="B16">
        <v>0.5</v>
      </c>
      <c r="C16">
        <v>1621</v>
      </c>
      <c r="D16">
        <f t="shared" si="0"/>
        <v>0.08276899924755378</v>
      </c>
      <c r="E16">
        <f t="shared" si="1"/>
        <v>0.23529411764705882</v>
      </c>
      <c r="F16">
        <f t="shared" si="2"/>
        <v>12</v>
      </c>
      <c r="G16">
        <v>0.0804807943558916</v>
      </c>
    </row>
    <row r="17" spans="1:7" ht="12.75">
      <c r="A17">
        <v>7977</v>
      </c>
      <c r="B17">
        <v>0.87</v>
      </c>
      <c r="C17">
        <v>1247</v>
      </c>
      <c r="D17">
        <f t="shared" si="0"/>
        <v>0.11996991350131518</v>
      </c>
      <c r="E17">
        <f t="shared" si="1"/>
        <v>0.2549019607843137</v>
      </c>
      <c r="F17">
        <f t="shared" si="2"/>
        <v>13</v>
      </c>
      <c r="G17">
        <v>0.08058090219766022</v>
      </c>
    </row>
    <row r="18" spans="1:7" ht="12.75">
      <c r="A18">
        <v>7846</v>
      </c>
      <c r="B18">
        <v>1</v>
      </c>
      <c r="C18">
        <v>1387</v>
      </c>
      <c r="D18">
        <f t="shared" si="0"/>
        <v>0.14019882742798748</v>
      </c>
      <c r="E18">
        <f t="shared" si="1"/>
        <v>0.27450980392156865</v>
      </c>
      <c r="F18">
        <f t="shared" si="2"/>
        <v>14</v>
      </c>
      <c r="G18">
        <v>0.08067050811943352</v>
      </c>
    </row>
    <row r="19" spans="1:7" ht="12.75">
      <c r="A19">
        <v>7893</v>
      </c>
      <c r="B19">
        <v>0.9</v>
      </c>
      <c r="C19">
        <v>1535</v>
      </c>
      <c r="D19">
        <f t="shared" si="0"/>
        <v>0.1254275940706944</v>
      </c>
      <c r="E19">
        <f t="shared" si="1"/>
        <v>0.29411764705882354</v>
      </c>
      <c r="F19">
        <f t="shared" si="2"/>
        <v>15</v>
      </c>
      <c r="G19">
        <v>0.08095676172953008</v>
      </c>
    </row>
    <row r="20" spans="1:7" ht="12.75">
      <c r="A20">
        <v>7629</v>
      </c>
      <c r="B20">
        <v>0.55</v>
      </c>
      <c r="C20">
        <v>1319</v>
      </c>
      <c r="D20">
        <f t="shared" si="0"/>
        <v>0.07930266089919968</v>
      </c>
      <c r="E20">
        <f t="shared" si="1"/>
        <v>0.3137254901960784</v>
      </c>
      <c r="F20">
        <f t="shared" si="2"/>
        <v>16</v>
      </c>
      <c r="G20">
        <v>0.08113804004214888</v>
      </c>
    </row>
    <row r="21" spans="1:7" ht="12.75">
      <c r="A21">
        <v>7510</v>
      </c>
      <c r="B21">
        <v>0.76</v>
      </c>
      <c r="C21">
        <v>1597</v>
      </c>
      <c r="D21">
        <f t="shared" si="0"/>
        <v>0.11131824234354092</v>
      </c>
      <c r="E21">
        <f t="shared" si="1"/>
        <v>0.3333333333333333</v>
      </c>
      <c r="F21">
        <f t="shared" si="2"/>
        <v>17</v>
      </c>
      <c r="G21">
        <v>0.08200366204551324</v>
      </c>
    </row>
    <row r="22" spans="1:7" ht="12.75">
      <c r="A22">
        <v>8370</v>
      </c>
      <c r="B22">
        <v>0.71</v>
      </c>
      <c r="C22">
        <v>1696</v>
      </c>
      <c r="D22">
        <f t="shared" si="0"/>
        <v>0.09330943847072794</v>
      </c>
      <c r="E22">
        <f t="shared" si="1"/>
        <v>0.35294117647058826</v>
      </c>
      <c r="F22">
        <f t="shared" si="2"/>
        <v>18</v>
      </c>
      <c r="G22">
        <v>0.08276899924755378</v>
      </c>
    </row>
    <row r="23" spans="1:7" ht="12.75">
      <c r="A23">
        <v>7807</v>
      </c>
      <c r="B23">
        <v>0.63</v>
      </c>
      <c r="C23">
        <v>1455</v>
      </c>
      <c r="D23">
        <f t="shared" si="0"/>
        <v>0.08876649161009269</v>
      </c>
      <c r="E23">
        <f t="shared" si="1"/>
        <v>0.37254901960784315</v>
      </c>
      <c r="F23">
        <f t="shared" si="2"/>
        <v>19</v>
      </c>
      <c r="G23">
        <v>0.08282286881061689</v>
      </c>
    </row>
    <row r="24" spans="1:7" ht="12.75">
      <c r="A24">
        <v>7781</v>
      </c>
      <c r="B24">
        <v>0.57</v>
      </c>
      <c r="C24">
        <v>1410</v>
      </c>
      <c r="D24">
        <f t="shared" si="0"/>
        <v>0.08058090219766022</v>
      </c>
      <c r="E24">
        <f t="shared" si="1"/>
        <v>0.39215686274509803</v>
      </c>
      <c r="F24">
        <f t="shared" si="2"/>
        <v>20</v>
      </c>
      <c r="G24">
        <v>0.08424195223260565</v>
      </c>
    </row>
    <row r="25" spans="1:7" ht="12.75">
      <c r="A25">
        <v>7499</v>
      </c>
      <c r="B25">
        <v>1.08</v>
      </c>
      <c r="C25">
        <v>1590</v>
      </c>
      <c r="D25">
        <f t="shared" si="0"/>
        <v>0.15842112281637405</v>
      </c>
      <c r="E25">
        <f t="shared" si="1"/>
        <v>0.4117647058823529</v>
      </c>
      <c r="F25">
        <f t="shared" si="2"/>
        <v>21</v>
      </c>
      <c r="G25">
        <v>0.08635174218427134</v>
      </c>
    </row>
    <row r="26" spans="1:7" ht="12.75">
      <c r="A26">
        <v>7735</v>
      </c>
      <c r="B26">
        <v>0.72</v>
      </c>
      <c r="C26">
        <v>1828</v>
      </c>
      <c r="D26">
        <f t="shared" si="0"/>
        <v>0.10239172592113674</v>
      </c>
      <c r="E26">
        <f t="shared" si="1"/>
        <v>0.43137254901960786</v>
      </c>
      <c r="F26">
        <f t="shared" si="2"/>
        <v>22</v>
      </c>
      <c r="G26">
        <v>0.08676131537434698</v>
      </c>
    </row>
    <row r="27" spans="1:7" ht="12.75">
      <c r="A27">
        <v>7604</v>
      </c>
      <c r="B27">
        <v>0.95</v>
      </c>
      <c r="C27">
        <v>1418</v>
      </c>
      <c r="D27">
        <f t="shared" si="0"/>
        <v>0.13742766964755265</v>
      </c>
      <c r="E27">
        <f t="shared" si="1"/>
        <v>0.45098039215686275</v>
      </c>
      <c r="F27">
        <f t="shared" si="2"/>
        <v>23</v>
      </c>
      <c r="G27">
        <v>0.08876649161009269</v>
      </c>
    </row>
    <row r="28" spans="1:7" ht="12.75">
      <c r="A28">
        <v>7476</v>
      </c>
      <c r="B28">
        <v>0.85</v>
      </c>
      <c r="C28">
        <v>1350</v>
      </c>
      <c r="D28">
        <f t="shared" si="0"/>
        <v>0.12506688068485705</v>
      </c>
      <c r="E28">
        <f t="shared" si="1"/>
        <v>0.47058823529411764</v>
      </c>
      <c r="F28">
        <f t="shared" si="2"/>
        <v>24</v>
      </c>
      <c r="G28">
        <v>0.08988764044943738</v>
      </c>
    </row>
    <row r="29" spans="1:7" ht="12.75">
      <c r="A29">
        <v>7629</v>
      </c>
      <c r="B29">
        <v>0.52</v>
      </c>
      <c r="C29">
        <v>1022</v>
      </c>
      <c r="D29">
        <f t="shared" si="0"/>
        <v>0.0749770612137888</v>
      </c>
      <c r="E29">
        <f t="shared" si="1"/>
        <v>0.49019607843137253</v>
      </c>
      <c r="F29">
        <f t="shared" si="2"/>
        <v>25</v>
      </c>
      <c r="G29">
        <v>0.09330943847072794</v>
      </c>
    </row>
    <row r="30" spans="1:7" ht="12.75">
      <c r="A30">
        <v>8076</v>
      </c>
      <c r="B30">
        <v>0.52</v>
      </c>
      <c r="C30">
        <v>1083</v>
      </c>
      <c r="D30">
        <f t="shared" si="0"/>
        <v>0.07082714214957835</v>
      </c>
      <c r="E30">
        <f t="shared" si="1"/>
        <v>0.5098039215686274</v>
      </c>
      <c r="F30">
        <f t="shared" si="2"/>
        <v>26</v>
      </c>
      <c r="G30">
        <v>0.09353978931336378</v>
      </c>
    </row>
    <row r="31" spans="1:7" ht="12.75">
      <c r="A31">
        <v>7991</v>
      </c>
      <c r="B31">
        <v>0.51</v>
      </c>
      <c r="C31">
        <v>1209</v>
      </c>
      <c r="D31">
        <f t="shared" si="0"/>
        <v>0.07020397947691089</v>
      </c>
      <c r="E31">
        <f t="shared" si="1"/>
        <v>0.5294117647058824</v>
      </c>
      <c r="F31">
        <f t="shared" si="2"/>
        <v>27</v>
      </c>
      <c r="G31">
        <v>0.09670646896732622</v>
      </c>
    </row>
    <row r="32" spans="1:7" ht="12.75">
      <c r="A32">
        <v>8163</v>
      </c>
      <c r="B32">
        <v>0.8</v>
      </c>
      <c r="C32">
        <v>1306</v>
      </c>
      <c r="D32">
        <f t="shared" si="0"/>
        <v>0.10780350361386647</v>
      </c>
      <c r="E32">
        <f t="shared" si="1"/>
        <v>0.5490196078431373</v>
      </c>
      <c r="F32">
        <f t="shared" si="2"/>
        <v>28</v>
      </c>
      <c r="G32">
        <v>0.10239172592113674</v>
      </c>
    </row>
    <row r="33" spans="1:7" ht="12.75">
      <c r="A33">
        <v>8241</v>
      </c>
      <c r="B33">
        <v>0.65</v>
      </c>
      <c r="C33">
        <v>1201</v>
      </c>
      <c r="D33">
        <f t="shared" si="0"/>
        <v>0.08676131537434698</v>
      </c>
      <c r="E33">
        <f t="shared" si="1"/>
        <v>0.5686274509803921</v>
      </c>
      <c r="F33">
        <f t="shared" si="2"/>
        <v>29</v>
      </c>
      <c r="G33">
        <v>0.10388098318240525</v>
      </c>
    </row>
    <row r="34" spans="1:7" ht="12.75">
      <c r="A34">
        <v>7922</v>
      </c>
      <c r="B34">
        <v>0.84</v>
      </c>
      <c r="C34">
        <v>2120</v>
      </c>
      <c r="D34">
        <f t="shared" si="0"/>
        <v>0.11663721282504311</v>
      </c>
      <c r="E34">
        <f t="shared" si="1"/>
        <v>0.5882352941176471</v>
      </c>
      <c r="F34">
        <f t="shared" si="2"/>
        <v>30</v>
      </c>
      <c r="G34">
        <v>0.10630020080321187</v>
      </c>
    </row>
    <row r="35" spans="1:7" ht="12.75">
      <c r="A35">
        <v>7730</v>
      </c>
      <c r="B35">
        <v>0.73</v>
      </c>
      <c r="C35">
        <v>1709</v>
      </c>
      <c r="D35">
        <f t="shared" si="0"/>
        <v>0.10388098318240525</v>
      </c>
      <c r="E35">
        <f t="shared" si="1"/>
        <v>0.6078431372549019</v>
      </c>
      <c r="F35">
        <f t="shared" si="2"/>
        <v>31</v>
      </c>
      <c r="G35">
        <v>0.10708722741432923</v>
      </c>
    </row>
    <row r="36" spans="1:7" ht="12.75">
      <c r="A36">
        <v>7592</v>
      </c>
      <c r="B36">
        <v>0.56</v>
      </c>
      <c r="C36">
        <v>4277</v>
      </c>
      <c r="D36">
        <f t="shared" si="0"/>
        <v>0.08113804004214888</v>
      </c>
      <c r="E36">
        <f t="shared" si="1"/>
        <v>0.6274509803921569</v>
      </c>
      <c r="F36">
        <f t="shared" si="2"/>
        <v>32</v>
      </c>
      <c r="G36">
        <v>0.10780350361386647</v>
      </c>
    </row>
    <row r="37" spans="1:7" ht="12.75">
      <c r="A37">
        <v>7836</v>
      </c>
      <c r="B37">
        <v>0.59</v>
      </c>
      <c r="C37">
        <v>1923</v>
      </c>
      <c r="D37">
        <f t="shared" si="0"/>
        <v>0.08282286881061689</v>
      </c>
      <c r="E37">
        <f t="shared" si="1"/>
        <v>0.6470588235294118</v>
      </c>
      <c r="F37">
        <f t="shared" si="2"/>
        <v>33</v>
      </c>
      <c r="G37">
        <v>0.11082730239818261</v>
      </c>
    </row>
    <row r="38" spans="1:7" ht="12.75">
      <c r="A38">
        <v>7609</v>
      </c>
      <c r="B38">
        <v>0.56</v>
      </c>
      <c r="C38">
        <v>1531</v>
      </c>
      <c r="D38">
        <f t="shared" si="0"/>
        <v>0.08095676172953008</v>
      </c>
      <c r="E38">
        <f aca="true" t="shared" si="3" ref="E38:E55">F38/MAX(Scrubgrass_index)</f>
        <v>0.6666666666666666</v>
      </c>
      <c r="F38">
        <f t="shared" si="2"/>
        <v>34</v>
      </c>
      <c r="G38">
        <v>0.11131824234354092</v>
      </c>
    </row>
    <row r="39" spans="1:7" ht="12.75">
      <c r="A39">
        <v>7763</v>
      </c>
      <c r="B39">
        <v>0.52</v>
      </c>
      <c r="C39">
        <v>1398</v>
      </c>
      <c r="D39">
        <f t="shared" si="0"/>
        <v>0.07368285456653288</v>
      </c>
      <c r="E39">
        <f t="shared" si="3"/>
        <v>0.6862745098039216</v>
      </c>
      <c r="F39">
        <f t="shared" si="2"/>
        <v>35</v>
      </c>
      <c r="G39">
        <v>0.11348663766314376</v>
      </c>
    </row>
    <row r="40" spans="1:7" ht="12.75">
      <c r="A40">
        <v>8476</v>
      </c>
      <c r="B40">
        <v>0.57</v>
      </c>
      <c r="C40">
        <v>2774</v>
      </c>
      <c r="D40">
        <f t="shared" si="0"/>
        <v>0.07397357243982942</v>
      </c>
      <c r="E40">
        <f t="shared" si="3"/>
        <v>0.7058823529411765</v>
      </c>
      <c r="F40">
        <f t="shared" si="2"/>
        <v>36</v>
      </c>
      <c r="G40">
        <v>0.11441083892158099</v>
      </c>
    </row>
    <row r="41" spans="1:7" ht="12.75">
      <c r="A41">
        <v>7993</v>
      </c>
      <c r="B41">
        <v>0.41</v>
      </c>
      <c r="C41">
        <v>1712</v>
      </c>
      <c r="D41">
        <f t="shared" si="0"/>
        <v>0.056424371324908774</v>
      </c>
      <c r="E41">
        <f t="shared" si="3"/>
        <v>0.7254901960784313</v>
      </c>
      <c r="F41">
        <f t="shared" si="2"/>
        <v>37</v>
      </c>
      <c r="G41">
        <v>0.11663721282504311</v>
      </c>
    </row>
    <row r="42" spans="1:7" ht="12.75">
      <c r="A42">
        <v>7453</v>
      </c>
      <c r="B42">
        <v>0.5</v>
      </c>
      <c r="C42">
        <v>1789</v>
      </c>
      <c r="D42">
        <f t="shared" si="0"/>
        <v>0.07379578693143632</v>
      </c>
      <c r="E42">
        <f t="shared" si="3"/>
        <v>0.7450980392156863</v>
      </c>
      <c r="F42">
        <f t="shared" si="2"/>
        <v>38</v>
      </c>
      <c r="G42">
        <v>0.11906624934793839</v>
      </c>
    </row>
    <row r="43" spans="1:7" ht="12.75">
      <c r="A43">
        <v>7748</v>
      </c>
      <c r="B43">
        <v>0.47</v>
      </c>
      <c r="C43">
        <v>1820</v>
      </c>
      <c r="D43">
        <f t="shared" si="0"/>
        <v>0.0667268972638094</v>
      </c>
      <c r="E43">
        <f t="shared" si="3"/>
        <v>0.7647058823529411</v>
      </c>
      <c r="F43">
        <f t="shared" si="2"/>
        <v>39</v>
      </c>
      <c r="G43">
        <v>0.11996991350131518</v>
      </c>
    </row>
    <row r="44" spans="1:7" ht="12.75">
      <c r="A44">
        <v>7976</v>
      </c>
      <c r="B44">
        <v>0.32</v>
      </c>
      <c r="C44">
        <v>1650</v>
      </c>
      <c r="D44">
        <f t="shared" si="0"/>
        <v>0.044132397191574316</v>
      </c>
      <c r="E44">
        <f t="shared" si="3"/>
        <v>0.7843137254901961</v>
      </c>
      <c r="F44">
        <f t="shared" si="2"/>
        <v>40</v>
      </c>
      <c r="G44">
        <v>0.1215846994535508</v>
      </c>
    </row>
    <row r="45" spans="1:7" ht="12.75">
      <c r="A45">
        <v>7654</v>
      </c>
      <c r="B45">
        <v>0.56</v>
      </c>
      <c r="C45">
        <v>1266</v>
      </c>
      <c r="D45">
        <f t="shared" si="0"/>
        <v>0.0804807943558916</v>
      </c>
      <c r="E45">
        <f t="shared" si="3"/>
        <v>0.803921568627451</v>
      </c>
      <c r="F45">
        <f t="shared" si="2"/>
        <v>41</v>
      </c>
      <c r="G45">
        <v>0.12506688068485705</v>
      </c>
    </row>
    <row r="46" spans="1:7" ht="12.75">
      <c r="A46">
        <v>8052</v>
      </c>
      <c r="B46">
        <v>0.89</v>
      </c>
      <c r="C46">
        <v>1058</v>
      </c>
      <c r="D46">
        <f t="shared" si="0"/>
        <v>0.1215846994535508</v>
      </c>
      <c r="E46">
        <f t="shared" si="3"/>
        <v>0.8235294117647058</v>
      </c>
      <c r="F46">
        <f t="shared" si="2"/>
        <v>42</v>
      </c>
      <c r="G46">
        <v>0.1254275940706944</v>
      </c>
    </row>
    <row r="47" spans="1:7" ht="12.75">
      <c r="A47">
        <v>7794</v>
      </c>
      <c r="B47">
        <v>0.89</v>
      </c>
      <c r="C47">
        <v>1607</v>
      </c>
      <c r="D47">
        <f t="shared" si="0"/>
        <v>0.12560944316140507</v>
      </c>
      <c r="E47">
        <f t="shared" si="3"/>
        <v>0.8431372549019608</v>
      </c>
      <c r="F47">
        <f t="shared" si="2"/>
        <v>43</v>
      </c>
      <c r="G47">
        <v>0.12560944316140507</v>
      </c>
    </row>
    <row r="48" spans="1:7" ht="12.75">
      <c r="A48">
        <v>7253</v>
      </c>
      <c r="B48">
        <v>0.53</v>
      </c>
      <c r="C48">
        <v>2003</v>
      </c>
      <c r="D48">
        <f t="shared" si="0"/>
        <v>0.08038053219357434</v>
      </c>
      <c r="E48">
        <f t="shared" si="3"/>
        <v>0.8627450980392157</v>
      </c>
      <c r="F48">
        <f t="shared" si="2"/>
        <v>44</v>
      </c>
      <c r="G48">
        <v>0.13742766964755265</v>
      </c>
    </row>
    <row r="49" spans="1:7" ht="12.75">
      <c r="A49">
        <v>7048</v>
      </c>
      <c r="B49">
        <v>0.89</v>
      </c>
      <c r="C49">
        <v>1008</v>
      </c>
      <c r="D49">
        <f t="shared" si="0"/>
        <v>0.1389046538024959</v>
      </c>
      <c r="E49">
        <f t="shared" si="3"/>
        <v>0.8823529411764706</v>
      </c>
      <c r="F49">
        <f t="shared" si="2"/>
        <v>45</v>
      </c>
      <c r="G49">
        <v>0.1389046538024959</v>
      </c>
    </row>
    <row r="50" spans="1:7" ht="12.75">
      <c r="A50">
        <v>7097</v>
      </c>
      <c r="B50">
        <v>0.97</v>
      </c>
      <c r="C50">
        <v>1172</v>
      </c>
      <c r="D50">
        <f t="shared" si="0"/>
        <v>0.15034521628857125</v>
      </c>
      <c r="E50">
        <f t="shared" si="3"/>
        <v>0.9019607843137255</v>
      </c>
      <c r="F50">
        <f t="shared" si="2"/>
        <v>46</v>
      </c>
      <c r="G50">
        <v>0.14019882742798748</v>
      </c>
    </row>
    <row r="51" spans="1:7" ht="12.75">
      <c r="A51">
        <v>7668</v>
      </c>
      <c r="B51">
        <v>0.83</v>
      </c>
      <c r="C51">
        <v>1309</v>
      </c>
      <c r="D51">
        <f t="shared" si="0"/>
        <v>0.11906624934793839</v>
      </c>
      <c r="E51">
        <f t="shared" si="3"/>
        <v>0.9215686274509803</v>
      </c>
      <c r="F51">
        <f t="shared" si="2"/>
        <v>47</v>
      </c>
      <c r="G51">
        <v>0.15034521628857125</v>
      </c>
    </row>
    <row r="52" spans="1:7" ht="12.75">
      <c r="A52">
        <v>7704</v>
      </c>
      <c r="B52">
        <v>0.75</v>
      </c>
      <c r="C52">
        <v>1390</v>
      </c>
      <c r="D52">
        <f t="shared" si="0"/>
        <v>0.10708722741432923</v>
      </c>
      <c r="E52">
        <f t="shared" si="3"/>
        <v>0.9411764705882353</v>
      </c>
      <c r="F52">
        <f t="shared" si="2"/>
        <v>48</v>
      </c>
      <c r="G52">
        <v>0.15288289528003163</v>
      </c>
    </row>
    <row r="53" spans="1:7" ht="12.75">
      <c r="A53">
        <v>7307</v>
      </c>
      <c r="B53">
        <v>0.76</v>
      </c>
      <c r="C53">
        <v>2123</v>
      </c>
      <c r="D53">
        <f t="shared" si="0"/>
        <v>0.11441083892158099</v>
      </c>
      <c r="E53">
        <f t="shared" si="3"/>
        <v>0.9607843137254902</v>
      </c>
      <c r="F53">
        <f t="shared" si="2"/>
        <v>49</v>
      </c>
      <c r="G53">
        <v>0.1547002220577336</v>
      </c>
    </row>
    <row r="54" spans="1:7" ht="12.75">
      <c r="A54">
        <v>6755</v>
      </c>
      <c r="B54">
        <v>0.95</v>
      </c>
      <c r="C54">
        <v>1055</v>
      </c>
      <c r="D54">
        <f t="shared" si="0"/>
        <v>0.1547002220577336</v>
      </c>
      <c r="E54">
        <f t="shared" si="3"/>
        <v>0.9803921568627451</v>
      </c>
      <c r="F54">
        <f t="shared" si="2"/>
        <v>50</v>
      </c>
      <c r="G54">
        <v>0.15808383233532788</v>
      </c>
    </row>
    <row r="55" spans="1:7" ht="12.75">
      <c r="A55">
        <v>7832</v>
      </c>
      <c r="B55">
        <v>0.64</v>
      </c>
      <c r="C55">
        <v>1607</v>
      </c>
      <c r="D55">
        <f t="shared" si="0"/>
        <v>0.08988764044943738</v>
      </c>
      <c r="E55">
        <f t="shared" si="3"/>
        <v>1</v>
      </c>
      <c r="F55">
        <f t="shared" si="2"/>
        <v>51</v>
      </c>
      <c r="G55">
        <v>0.15842112281637405</v>
      </c>
    </row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2" sqref="N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E5">
      <selection activeCell="J7" sqref="J7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45" t="s">
        <v>142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0.6601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12931</v>
      </c>
      <c r="B5">
        <v>0.12</v>
      </c>
      <c r="C5">
        <v>1000</v>
      </c>
      <c r="D5">
        <f aca="true" t="shared" si="0" ref="D5:D28">1000000*B5*$B$3*EXP(-$A$3*C5)/A5</f>
        <v>6.1257443353182275</v>
      </c>
      <c r="E5">
        <f aca="true" t="shared" si="1" ref="E5:E28">F5/MAX(Polk_index)</f>
        <v>0.041666666666666664</v>
      </c>
      <c r="F5">
        <v>1</v>
      </c>
      <c r="G5">
        <v>1.9673645779003055</v>
      </c>
      <c r="I5">
        <f>VLOOKUP(0.975,Polk_freqtab,3)</f>
        <v>6.1257443353182275</v>
      </c>
      <c r="J5">
        <f>VLOOKUP(0.975,Polk_freqtab,2)</f>
        <v>23</v>
      </c>
      <c r="K5">
        <f>J5/MAX(Polk_index)</f>
        <v>0.9583333333333334</v>
      </c>
    </row>
    <row r="6" spans="1:11" ht="13.5" thickBot="1">
      <c r="A6">
        <v>12987</v>
      </c>
      <c r="B6">
        <v>0.18</v>
      </c>
      <c r="C6">
        <v>1100</v>
      </c>
      <c r="D6">
        <f t="shared" si="0"/>
        <v>9.14899514899515</v>
      </c>
      <c r="E6">
        <f t="shared" si="1"/>
        <v>0.08333333333333333</v>
      </c>
      <c r="F6">
        <f>F5+1</f>
        <v>2</v>
      </c>
      <c r="G6">
        <v>2.441378800207116</v>
      </c>
      <c r="I6">
        <f>VLOOKUP(J6,Polk_freqindex,2)</f>
        <v>9.14899514899515</v>
      </c>
      <c r="J6">
        <f>J5+1</f>
        <v>24</v>
      </c>
      <c r="K6">
        <f>J6/MAX(Polk_index)</f>
        <v>1</v>
      </c>
    </row>
    <row r="7" spans="1:10" ht="15.75" thickBot="1">
      <c r="A7">
        <v>12996</v>
      </c>
      <c r="B7">
        <v>0.11</v>
      </c>
      <c r="C7">
        <v>1100</v>
      </c>
      <c r="D7">
        <f t="shared" si="0"/>
        <v>5.587180670975685</v>
      </c>
      <c r="E7">
        <f t="shared" si="1"/>
        <v>0.125</v>
      </c>
      <c r="F7">
        <f aca="true" t="shared" si="2" ref="F7:F28">F6+1</f>
        <v>3</v>
      </c>
      <c r="G7">
        <v>2.4449959256241205</v>
      </c>
      <c r="I7" s="46" t="s">
        <v>74</v>
      </c>
      <c r="J7" s="47">
        <f>$I$5+((0.975-$K$5)/($K$6-$K$5))*($I$6-$I$5)</f>
        <v>7.335044660788993</v>
      </c>
    </row>
    <row r="8" spans="1:7" ht="12.75">
      <c r="A8">
        <v>12997</v>
      </c>
      <c r="B8">
        <v>0.09</v>
      </c>
      <c r="C8">
        <v>800</v>
      </c>
      <c r="D8">
        <f t="shared" si="0"/>
        <v>4.570977917981073</v>
      </c>
      <c r="E8">
        <f t="shared" si="1"/>
        <v>0.16666666666666666</v>
      </c>
      <c r="F8">
        <f t="shared" si="2"/>
        <v>4</v>
      </c>
      <c r="G8">
        <v>2.4468085106382977</v>
      </c>
    </row>
    <row r="9" spans="1:10" ht="12.75">
      <c r="A9">
        <v>12998</v>
      </c>
      <c r="B9">
        <v>0.11</v>
      </c>
      <c r="C9">
        <v>900</v>
      </c>
      <c r="D9">
        <f t="shared" si="0"/>
        <v>5.586320972457301</v>
      </c>
      <c r="E9">
        <f t="shared" si="1"/>
        <v>0.20833333333333334</v>
      </c>
      <c r="F9">
        <f t="shared" si="2"/>
        <v>5</v>
      </c>
      <c r="G9">
        <v>2.448987163315278</v>
      </c>
      <c r="I9" s="1" t="s">
        <v>73</v>
      </c>
      <c r="J9" s="48" t="str">
        <f>A1&amp;": 97.5th Percentile = "&amp;TEXT($J$7,"0.0000")&amp;" lb Hg/TBtu"</f>
        <v>Polk 1: 97.5th Percentile = 7.3350 lb Hg/TBtu</v>
      </c>
    </row>
    <row r="10" spans="1:7" ht="12.75">
      <c r="A10">
        <v>13009</v>
      </c>
      <c r="B10">
        <v>0.09</v>
      </c>
      <c r="C10">
        <v>600</v>
      </c>
      <c r="D10">
        <f t="shared" si="0"/>
        <v>4.566761472826505</v>
      </c>
      <c r="E10">
        <f t="shared" si="1"/>
        <v>0.25</v>
      </c>
      <c r="F10">
        <f t="shared" si="2"/>
        <v>6</v>
      </c>
      <c r="G10">
        <v>2.93813056379822</v>
      </c>
    </row>
    <row r="11" spans="1:7" ht="12.75">
      <c r="A11">
        <v>13022</v>
      </c>
      <c r="B11">
        <v>0.11</v>
      </c>
      <c r="C11">
        <v>1000</v>
      </c>
      <c r="D11">
        <f t="shared" si="0"/>
        <v>5.576025188143142</v>
      </c>
      <c r="E11">
        <f t="shared" si="1"/>
        <v>0.2916666666666667</v>
      </c>
      <c r="F11">
        <f t="shared" si="2"/>
        <v>7</v>
      </c>
      <c r="G11">
        <v>2.9429335711101205</v>
      </c>
    </row>
    <row r="12" spans="1:7" ht="12.75">
      <c r="A12">
        <v>13029</v>
      </c>
      <c r="B12">
        <v>0.11</v>
      </c>
      <c r="C12">
        <v>800</v>
      </c>
      <c r="D12">
        <f t="shared" si="0"/>
        <v>5.573029395962852</v>
      </c>
      <c r="E12">
        <f t="shared" si="1"/>
        <v>0.3333333333333333</v>
      </c>
      <c r="F12">
        <f t="shared" si="2"/>
        <v>8</v>
      </c>
      <c r="G12">
        <v>2.950827000447027</v>
      </c>
    </row>
    <row r="13" spans="1:7" ht="12.75">
      <c r="A13">
        <v>13036</v>
      </c>
      <c r="B13">
        <v>0.09</v>
      </c>
      <c r="C13">
        <v>1000</v>
      </c>
      <c r="D13">
        <f t="shared" si="0"/>
        <v>4.5573028536360844</v>
      </c>
      <c r="E13">
        <f t="shared" si="1"/>
        <v>0.375</v>
      </c>
      <c r="F13">
        <f t="shared" si="2"/>
        <v>9</v>
      </c>
      <c r="G13">
        <v>2.962525244969706</v>
      </c>
    </row>
    <row r="14" spans="1:7" ht="12.75">
      <c r="A14">
        <v>13053</v>
      </c>
      <c r="B14">
        <v>0.11</v>
      </c>
      <c r="C14">
        <v>1100</v>
      </c>
      <c r="D14">
        <f t="shared" si="0"/>
        <v>5.562782502106796</v>
      </c>
      <c r="E14">
        <f t="shared" si="1"/>
        <v>0.4166666666666667</v>
      </c>
      <c r="F14">
        <f t="shared" si="2"/>
        <v>10</v>
      </c>
      <c r="G14">
        <v>3.5291377071717713</v>
      </c>
    </row>
    <row r="15" spans="1:7" ht="12.75">
      <c r="A15">
        <v>13074</v>
      </c>
      <c r="B15">
        <v>0.09</v>
      </c>
      <c r="C15">
        <v>1000</v>
      </c>
      <c r="D15">
        <f t="shared" si="0"/>
        <v>4.544056906837999</v>
      </c>
      <c r="E15">
        <f t="shared" si="1"/>
        <v>0.4583333333333333</v>
      </c>
      <c r="F15">
        <f t="shared" si="2"/>
        <v>11</v>
      </c>
      <c r="G15">
        <v>4.5391962102689485</v>
      </c>
    </row>
    <row r="16" spans="1:7" ht="12.75">
      <c r="A16">
        <v>13088</v>
      </c>
      <c r="B16">
        <v>0.09</v>
      </c>
      <c r="C16">
        <v>1100</v>
      </c>
      <c r="D16">
        <f t="shared" si="0"/>
        <v>4.5391962102689485</v>
      </c>
      <c r="E16">
        <f t="shared" si="1"/>
        <v>0.5</v>
      </c>
      <c r="F16">
        <f t="shared" si="2"/>
        <v>12</v>
      </c>
      <c r="G16">
        <v>4.544056906837999</v>
      </c>
    </row>
    <row r="17" spans="1:7" ht="12.75">
      <c r="A17">
        <v>13093</v>
      </c>
      <c r="B17">
        <v>0.07</v>
      </c>
      <c r="C17">
        <v>1100</v>
      </c>
      <c r="D17">
        <f t="shared" si="0"/>
        <v>3.5291377071717713</v>
      </c>
      <c r="E17">
        <f t="shared" si="1"/>
        <v>0.5416666666666666</v>
      </c>
      <c r="F17">
        <f t="shared" si="2"/>
        <v>13</v>
      </c>
      <c r="G17">
        <v>4.5573028536360844</v>
      </c>
    </row>
    <row r="18" spans="1:7" ht="12.75">
      <c r="A18">
        <v>13106</v>
      </c>
      <c r="B18">
        <v>0.11</v>
      </c>
      <c r="C18">
        <v>900</v>
      </c>
      <c r="D18">
        <f t="shared" si="0"/>
        <v>5.5402868915000765</v>
      </c>
      <c r="E18">
        <f t="shared" si="1"/>
        <v>0.5833333333333334</v>
      </c>
      <c r="F18">
        <f t="shared" si="2"/>
        <v>14</v>
      </c>
      <c r="G18">
        <v>4.566761472826505</v>
      </c>
    </row>
    <row r="19" spans="1:7" ht="12.75">
      <c r="A19">
        <v>13114</v>
      </c>
      <c r="B19">
        <v>0.1</v>
      </c>
      <c r="C19">
        <v>1000</v>
      </c>
      <c r="D19">
        <f t="shared" si="0"/>
        <v>5.033551929235931</v>
      </c>
      <c r="E19">
        <f t="shared" si="1"/>
        <v>0.625</v>
      </c>
      <c r="F19">
        <f t="shared" si="2"/>
        <v>15</v>
      </c>
      <c r="G19">
        <v>4.570977917981073</v>
      </c>
    </row>
    <row r="20" spans="1:7" ht="12.75">
      <c r="A20">
        <v>13369</v>
      </c>
      <c r="B20">
        <v>0.06</v>
      </c>
      <c r="C20">
        <v>1000</v>
      </c>
      <c r="D20">
        <f t="shared" si="0"/>
        <v>2.962525244969706</v>
      </c>
      <c r="E20">
        <f t="shared" si="1"/>
        <v>0.6666666666666666</v>
      </c>
      <c r="F20">
        <f t="shared" si="2"/>
        <v>16</v>
      </c>
      <c r="G20">
        <v>5.033551929235931</v>
      </c>
    </row>
    <row r="21" spans="1:7" ht="12.75">
      <c r="A21">
        <v>13421</v>
      </c>
      <c r="B21">
        <v>0.04</v>
      </c>
      <c r="C21">
        <v>800</v>
      </c>
      <c r="D21">
        <f t="shared" si="0"/>
        <v>1.9673645779003055</v>
      </c>
      <c r="E21">
        <f t="shared" si="1"/>
        <v>0.7083333333333334</v>
      </c>
      <c r="F21">
        <f t="shared" si="2"/>
        <v>17</v>
      </c>
      <c r="G21">
        <v>5.5402868915000765</v>
      </c>
    </row>
    <row r="22" spans="1:7" ht="12.75">
      <c r="A22">
        <v>13422</v>
      </c>
      <c r="B22">
        <v>0.06</v>
      </c>
      <c r="C22">
        <v>1000</v>
      </c>
      <c r="D22">
        <f t="shared" si="0"/>
        <v>2.950827000447027</v>
      </c>
      <c r="E22">
        <f t="shared" si="1"/>
        <v>0.75</v>
      </c>
      <c r="F22">
        <f t="shared" si="2"/>
        <v>18</v>
      </c>
      <c r="G22">
        <v>5.562782502106796</v>
      </c>
    </row>
    <row r="23" spans="1:7" ht="12.75">
      <c r="A23">
        <v>13458</v>
      </c>
      <c r="B23">
        <v>0.06</v>
      </c>
      <c r="C23">
        <v>1000</v>
      </c>
      <c r="D23">
        <f t="shared" si="0"/>
        <v>2.9429335711101205</v>
      </c>
      <c r="E23">
        <f t="shared" si="1"/>
        <v>0.7916666666666666</v>
      </c>
      <c r="F23">
        <f t="shared" si="2"/>
        <v>19</v>
      </c>
      <c r="G23">
        <v>5.573029395962852</v>
      </c>
    </row>
    <row r="24" spans="1:7" ht="12.75">
      <c r="A24">
        <v>13477</v>
      </c>
      <c r="B24">
        <v>0.05</v>
      </c>
      <c r="C24">
        <v>1200</v>
      </c>
      <c r="D24">
        <f t="shared" si="0"/>
        <v>2.448987163315278</v>
      </c>
      <c r="E24">
        <f t="shared" si="1"/>
        <v>0.8333333333333334</v>
      </c>
      <c r="F24">
        <f t="shared" si="2"/>
        <v>20</v>
      </c>
      <c r="G24">
        <v>5.576025188143142</v>
      </c>
    </row>
    <row r="25" spans="1:7" ht="12.75">
      <c r="A25">
        <v>13480</v>
      </c>
      <c r="B25">
        <v>0.06</v>
      </c>
      <c r="C25">
        <v>1000</v>
      </c>
      <c r="D25">
        <f t="shared" si="0"/>
        <v>2.93813056379822</v>
      </c>
      <c r="E25">
        <f t="shared" si="1"/>
        <v>0.875</v>
      </c>
      <c r="F25">
        <f t="shared" si="2"/>
        <v>21</v>
      </c>
      <c r="G25">
        <v>5.586320972457301</v>
      </c>
    </row>
    <row r="26" spans="1:7" ht="12.75">
      <c r="A26">
        <v>13489</v>
      </c>
      <c r="B26">
        <v>0.05</v>
      </c>
      <c r="C26">
        <v>1200</v>
      </c>
      <c r="D26">
        <f t="shared" si="0"/>
        <v>2.4468085106382977</v>
      </c>
      <c r="E26">
        <f t="shared" si="1"/>
        <v>0.9166666666666666</v>
      </c>
      <c r="F26">
        <f t="shared" si="2"/>
        <v>22</v>
      </c>
      <c r="G26">
        <v>5.587180670975685</v>
      </c>
    </row>
    <row r="27" spans="1:7" ht="12.75">
      <c r="A27">
        <v>13499</v>
      </c>
      <c r="B27">
        <v>0.05</v>
      </c>
      <c r="C27">
        <v>1100</v>
      </c>
      <c r="D27">
        <f t="shared" si="0"/>
        <v>2.4449959256241205</v>
      </c>
      <c r="E27">
        <f t="shared" si="1"/>
        <v>0.9583333333333334</v>
      </c>
      <c r="F27">
        <f t="shared" si="2"/>
        <v>23</v>
      </c>
      <c r="G27">
        <v>6.1257443353182275</v>
      </c>
    </row>
    <row r="28" spans="1:7" ht="12.75">
      <c r="A28">
        <v>13519</v>
      </c>
      <c r="B28">
        <v>0.05</v>
      </c>
      <c r="C28">
        <v>1300</v>
      </c>
      <c r="D28">
        <f t="shared" si="0"/>
        <v>2.441378800207116</v>
      </c>
      <c r="E28">
        <f t="shared" si="1"/>
        <v>1</v>
      </c>
      <c r="F28">
        <f t="shared" si="2"/>
        <v>24</v>
      </c>
      <c r="G28">
        <v>9.14899514899515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E1">
      <selection activeCell="J10" sqref="J10"/>
    </sheetView>
  </sheetViews>
  <sheetFormatPr defaultColWidth="9.140625" defaultRowHeight="12.75"/>
  <cols>
    <col min="1" max="1" width="21.57421875" style="33" customWidth="1"/>
    <col min="2" max="2" width="7.57421875" style="33" customWidth="1"/>
    <col min="3" max="3" width="19.7109375" style="33" customWidth="1"/>
    <col min="4" max="4" width="17.00390625" style="33" customWidth="1"/>
    <col min="5" max="5" width="19.7109375" style="33" customWidth="1"/>
    <col min="6" max="6" width="15.140625" style="33" customWidth="1"/>
    <col min="7" max="7" width="18.00390625" style="33" customWidth="1"/>
    <col min="8" max="8" width="17.7109375" style="33" customWidth="1"/>
    <col min="9" max="9" width="18.28125" style="33" customWidth="1"/>
    <col min="10" max="10" width="18.8515625" style="33" customWidth="1"/>
    <col min="11" max="16384" width="8.8515625" style="33" customWidth="1"/>
  </cols>
  <sheetData>
    <row r="1" spans="1:10" ht="12.75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6.25">
      <c r="A2" s="5" t="s">
        <v>0</v>
      </c>
      <c r="B2" s="5" t="s">
        <v>1</v>
      </c>
      <c r="C2" s="4" t="s">
        <v>11</v>
      </c>
      <c r="D2" s="4" t="s">
        <v>49</v>
      </c>
      <c r="E2" s="3" t="s">
        <v>12</v>
      </c>
      <c r="F2" s="3" t="s">
        <v>13</v>
      </c>
      <c r="G2" s="4" t="s">
        <v>14</v>
      </c>
      <c r="H2" s="4" t="s">
        <v>15</v>
      </c>
      <c r="I2" s="3" t="s">
        <v>50</v>
      </c>
      <c r="J2" s="3" t="s">
        <v>53</v>
      </c>
    </row>
    <row r="3" spans="1:10" ht="12.75">
      <c r="A3" s="33" t="s">
        <v>42</v>
      </c>
      <c r="B3" s="7" t="s">
        <v>43</v>
      </c>
      <c r="C3" s="7" t="s">
        <v>16</v>
      </c>
      <c r="D3" s="7" t="s">
        <v>17</v>
      </c>
      <c r="E3" s="7">
        <v>0.5252</v>
      </c>
      <c r="F3" s="7" t="s">
        <v>21</v>
      </c>
      <c r="G3" s="34">
        <v>0</v>
      </c>
      <c r="H3" s="34">
        <f>1-E3</f>
        <v>0.4748</v>
      </c>
      <c r="I3" s="35">
        <v>0.4606</v>
      </c>
      <c r="J3" s="36">
        <v>2.134924367768342</v>
      </c>
    </row>
    <row r="4" spans="1:10" ht="12.75">
      <c r="A4" s="33" t="s">
        <v>23</v>
      </c>
      <c r="B4" s="7">
        <v>2</v>
      </c>
      <c r="C4" s="7" t="s">
        <v>16</v>
      </c>
      <c r="D4" s="7" t="s">
        <v>19</v>
      </c>
      <c r="E4" s="7">
        <v>0.8257</v>
      </c>
      <c r="F4" s="7" t="s">
        <v>21</v>
      </c>
      <c r="G4" s="34">
        <v>0</v>
      </c>
      <c r="H4" s="34">
        <f>1-E4</f>
        <v>0.1743</v>
      </c>
      <c r="I4" s="35">
        <v>0.6633</v>
      </c>
      <c r="J4" s="36">
        <v>1.9912136894012242</v>
      </c>
    </row>
    <row r="5" spans="1:10" ht="12.75">
      <c r="A5" s="33" t="s">
        <v>24</v>
      </c>
      <c r="B5" s="7" t="s">
        <v>25</v>
      </c>
      <c r="C5" s="7" t="s">
        <v>16</v>
      </c>
      <c r="D5" s="7" t="s">
        <v>18</v>
      </c>
      <c r="E5" s="7">
        <v>0.336</v>
      </c>
      <c r="F5" s="7" t="s">
        <v>21</v>
      </c>
      <c r="G5" s="34">
        <v>0</v>
      </c>
      <c r="H5" s="34">
        <f>1-E5</f>
        <v>0.6639999999999999</v>
      </c>
      <c r="I5" s="35">
        <v>0.7248</v>
      </c>
      <c r="J5" s="36">
        <v>2.635139521797001</v>
      </c>
    </row>
    <row r="6" spans="1:10" ht="12.75">
      <c r="A6" s="33" t="s">
        <v>26</v>
      </c>
      <c r="B6" s="7">
        <v>3</v>
      </c>
      <c r="C6" s="7" t="s">
        <v>27</v>
      </c>
      <c r="D6" s="7" t="s">
        <v>28</v>
      </c>
      <c r="E6" s="7">
        <v>0.642</v>
      </c>
      <c r="F6" s="7" t="s">
        <v>21</v>
      </c>
      <c r="G6" s="34">
        <v>0</v>
      </c>
      <c r="H6" s="34">
        <f>1-E6</f>
        <v>0.358</v>
      </c>
      <c r="I6" s="35">
        <v>1.2066</v>
      </c>
      <c r="J6" s="36">
        <v>5.583025248625857</v>
      </c>
    </row>
    <row r="7" spans="2:10" ht="12.75"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1" t="s">
        <v>9</v>
      </c>
      <c r="B8" s="7"/>
      <c r="C8" s="7"/>
      <c r="D8" s="7"/>
      <c r="E8" s="7"/>
      <c r="F8" s="7"/>
      <c r="G8" s="7"/>
      <c r="H8" s="7"/>
      <c r="I8" s="36">
        <f>AVERAGE(I3:I6)</f>
        <v>0.763825</v>
      </c>
      <c r="J8" s="36">
        <f>AVERAGE(J3:J6)</f>
        <v>3.086075706898106</v>
      </c>
    </row>
    <row r="9" spans="1:10" ht="12.75">
      <c r="A9" s="1" t="s">
        <v>10</v>
      </c>
      <c r="B9" s="7"/>
      <c r="C9" s="7"/>
      <c r="D9" s="7"/>
      <c r="E9" s="7"/>
      <c r="F9" s="7"/>
      <c r="G9" s="7"/>
      <c r="H9" s="7"/>
      <c r="I9" s="36">
        <f>STDEV(I3:I6)</f>
        <v>0.3160291798236359</v>
      </c>
      <c r="J9" s="36">
        <f>STDEV(J3:J6)</f>
        <v>1.6873561335467633</v>
      </c>
    </row>
    <row r="10" spans="1:10" ht="12.75">
      <c r="A10" s="1" t="s">
        <v>52</v>
      </c>
      <c r="B10" s="7"/>
      <c r="C10" s="7"/>
      <c r="D10" s="7"/>
      <c r="E10" s="7"/>
      <c r="F10" s="7"/>
      <c r="G10" s="7"/>
      <c r="H10" s="7"/>
      <c r="I10" s="36">
        <f>I8+3.182*I9/SQRT(4)</f>
        <v>1.2666274250994047</v>
      </c>
      <c r="J10" s="37">
        <f>J8+3.182*J9/SQRT(4)</f>
        <v>5.770659315371006</v>
      </c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5"/>
      <c r="B14" s="5"/>
      <c r="C14" s="4"/>
      <c r="D14" s="4"/>
      <c r="E14" s="3"/>
      <c r="F14" s="3"/>
      <c r="G14" s="4"/>
      <c r="H14" s="4"/>
      <c r="I14" s="3"/>
      <c r="J14" s="3"/>
    </row>
    <row r="15" spans="2:10" ht="12.75">
      <c r="B15" s="7"/>
      <c r="C15" s="7"/>
      <c r="D15" s="7"/>
      <c r="E15" s="7"/>
      <c r="F15" s="7"/>
      <c r="G15" s="34"/>
      <c r="H15" s="34"/>
      <c r="I15" s="35"/>
      <c r="J15" s="36"/>
    </row>
    <row r="16" spans="2:10" ht="12.75">
      <c r="B16" s="7"/>
      <c r="C16" s="7"/>
      <c r="D16" s="7"/>
      <c r="E16" s="7"/>
      <c r="F16" s="7"/>
      <c r="G16" s="34"/>
      <c r="H16" s="34"/>
      <c r="I16" s="35"/>
      <c r="J16" s="36"/>
    </row>
    <row r="17" spans="2:10" ht="12.75">
      <c r="B17" s="7"/>
      <c r="C17" s="7"/>
      <c r="D17" s="7"/>
      <c r="E17" s="7"/>
      <c r="F17" s="7"/>
      <c r="G17" s="34"/>
      <c r="H17" s="34"/>
      <c r="I17" s="35"/>
      <c r="J17" s="36"/>
    </row>
    <row r="18" spans="2:10" ht="12.75">
      <c r="B18" s="7"/>
      <c r="C18" s="7"/>
      <c r="D18" s="7"/>
      <c r="E18" s="7"/>
      <c r="F18" s="7"/>
      <c r="G18" s="34"/>
      <c r="H18" s="34"/>
      <c r="I18" s="35"/>
      <c r="J18" s="36"/>
    </row>
    <row r="19" spans="2:10" ht="12.75"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1"/>
      <c r="B20" s="7"/>
      <c r="C20" s="7"/>
      <c r="D20" s="7"/>
      <c r="E20" s="7"/>
      <c r="F20" s="7"/>
      <c r="G20" s="7"/>
      <c r="H20" s="7"/>
      <c r="I20" s="36"/>
      <c r="J20" s="36"/>
    </row>
    <row r="21" spans="1:10" ht="12.75">
      <c r="A21" s="1"/>
      <c r="B21" s="7"/>
      <c r="C21" s="7"/>
      <c r="D21" s="7"/>
      <c r="E21" s="7"/>
      <c r="F21" s="7"/>
      <c r="G21" s="7"/>
      <c r="H21" s="7"/>
      <c r="I21" s="36"/>
      <c r="J21" s="36"/>
    </row>
    <row r="22" spans="1:10" ht="12.75">
      <c r="A22" s="1"/>
      <c r="B22" s="7"/>
      <c r="C22" s="7"/>
      <c r="D22" s="7"/>
      <c r="E22" s="7"/>
      <c r="F22" s="7"/>
      <c r="G22" s="7"/>
      <c r="H22" s="7"/>
      <c r="I22" s="36"/>
      <c r="J22" s="37"/>
    </row>
  </sheetData>
  <mergeCells count="2">
    <mergeCell ref="A13:J13"/>
    <mergeCell ref="A1:J1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1" sqref="M2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workbookViewId="0" topLeftCell="E5">
      <selection activeCell="J7" sqref="J7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45" t="s">
        <v>143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</v>
      </c>
      <c r="B3">
        <v>0.6747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11539</v>
      </c>
      <c r="B5">
        <v>0.084</v>
      </c>
      <c r="C5">
        <v>317</v>
      </c>
      <c r="D5">
        <f aca="true" t="shared" si="0" ref="D5:D68">1000000*B5*$B$3*EXP(-$A$3*C5)/A5</f>
        <v>4.911586792616344</v>
      </c>
      <c r="E5">
        <f aca="true" t="shared" si="1" ref="E5:E36">F5/MAX(Wabash_index)</f>
        <v>0.012658227848101266</v>
      </c>
      <c r="F5">
        <v>1</v>
      </c>
      <c r="G5">
        <v>1.2549639618693327</v>
      </c>
      <c r="I5">
        <f>VLOOKUP(0.975,Wabash_freqtab,3)</f>
        <v>8.291881096858438</v>
      </c>
      <c r="J5">
        <f>VLOOKUP(0.975,Wabash_freqtab,2)</f>
        <v>77</v>
      </c>
      <c r="K5">
        <f>J5/MAX(Wabash_index)</f>
        <v>0.9746835443037974</v>
      </c>
    </row>
    <row r="6" spans="1:11" ht="13.5" thickBot="1">
      <c r="A6">
        <v>11539</v>
      </c>
      <c r="B6">
        <v>0.084</v>
      </c>
      <c r="C6">
        <v>317</v>
      </c>
      <c r="D6">
        <f t="shared" si="0"/>
        <v>4.911586792616344</v>
      </c>
      <c r="E6">
        <f t="shared" si="1"/>
        <v>0.02531645569620253</v>
      </c>
      <c r="F6">
        <f>F5+1</f>
        <v>2</v>
      </c>
      <c r="G6">
        <v>1.2923224261771746</v>
      </c>
      <c r="I6">
        <f>VLOOKUP(J6,Wabash_freqindex,2)</f>
        <v>9.779022831761864</v>
      </c>
      <c r="J6">
        <f>J5+1</f>
        <v>78</v>
      </c>
      <c r="K6">
        <f>J6/MAX(Wabash_index)</f>
        <v>0.9873417721518988</v>
      </c>
    </row>
    <row r="7" spans="1:10" ht="15.75" thickBot="1">
      <c r="A7">
        <v>11594</v>
      </c>
      <c r="B7">
        <v>0.094</v>
      </c>
      <c r="C7">
        <v>358</v>
      </c>
      <c r="D7">
        <f t="shared" si="0"/>
        <v>5.470225978954631</v>
      </c>
      <c r="E7">
        <f t="shared" si="1"/>
        <v>0.0379746835443038</v>
      </c>
      <c r="F7">
        <f aca="true" t="shared" si="2" ref="F7:F70">F6+1</f>
        <v>3</v>
      </c>
      <c r="G7">
        <v>1.3172588832487309</v>
      </c>
      <c r="I7" s="46" t="s">
        <v>74</v>
      </c>
      <c r="J7" s="47">
        <f>$I$5+((0.95-$K$5)/($K$6-$K$5))*($I$6-$I$5)</f>
        <v>5.391954713796769</v>
      </c>
    </row>
    <row r="8" spans="1:7" ht="12.75">
      <c r="A8">
        <v>11594</v>
      </c>
      <c r="B8">
        <v>0.094</v>
      </c>
      <c r="C8">
        <v>358</v>
      </c>
      <c r="D8">
        <f t="shared" si="0"/>
        <v>5.470225978954631</v>
      </c>
      <c r="E8">
        <f t="shared" si="1"/>
        <v>0.05063291139240506</v>
      </c>
      <c r="F8">
        <f t="shared" si="2"/>
        <v>4</v>
      </c>
      <c r="G8">
        <v>2.2002795248078266</v>
      </c>
    </row>
    <row r="9" spans="1:10" ht="12.75">
      <c r="A9">
        <v>12276</v>
      </c>
      <c r="B9">
        <v>0.111</v>
      </c>
      <c r="C9">
        <v>666.7</v>
      </c>
      <c r="D9">
        <f t="shared" si="0"/>
        <v>6.100659824046921</v>
      </c>
      <c r="E9">
        <f t="shared" si="1"/>
        <v>0.06329113924050633</v>
      </c>
      <c r="F9">
        <f t="shared" si="2"/>
        <v>5</v>
      </c>
      <c r="G9">
        <v>2.437612422169267</v>
      </c>
      <c r="I9" s="1" t="s">
        <v>73</v>
      </c>
      <c r="J9" s="48" t="str">
        <f>A1&amp;": 97.5th Percentile = "&amp;TEXT($J$7,"0.0000")&amp;" lb Hg/TBtu"</f>
        <v>Wabash 1+1a: 97.5th Percentile = 5.3920 lb Hg/TBtu</v>
      </c>
    </row>
    <row r="10" spans="1:7" ht="12.75">
      <c r="A10">
        <v>12276</v>
      </c>
      <c r="B10">
        <v>0.127</v>
      </c>
      <c r="C10">
        <v>658.1</v>
      </c>
      <c r="D10">
        <f t="shared" si="0"/>
        <v>6.980034213098729</v>
      </c>
      <c r="E10">
        <f t="shared" si="1"/>
        <v>0.0759493670886076</v>
      </c>
      <c r="F10">
        <f t="shared" si="2"/>
        <v>6</v>
      </c>
      <c r="G10">
        <v>2.4753955514790182</v>
      </c>
    </row>
    <row r="11" spans="1:7" ht="12.75">
      <c r="A11">
        <v>12276</v>
      </c>
      <c r="B11">
        <v>0.098</v>
      </c>
      <c r="C11">
        <v>531.2</v>
      </c>
      <c r="D11">
        <f t="shared" si="0"/>
        <v>5.386168132942326</v>
      </c>
      <c r="E11">
        <f t="shared" si="1"/>
        <v>0.08860759493670886</v>
      </c>
      <c r="F11">
        <f t="shared" si="2"/>
        <v>7</v>
      </c>
      <c r="G11">
        <v>2.5402462938269665</v>
      </c>
    </row>
    <row r="12" spans="1:7" ht="12.75">
      <c r="A12">
        <v>12276</v>
      </c>
      <c r="B12">
        <v>0.097</v>
      </c>
      <c r="C12">
        <v>623.7</v>
      </c>
      <c r="D12">
        <f t="shared" si="0"/>
        <v>5.331207233626588</v>
      </c>
      <c r="E12">
        <f t="shared" si="1"/>
        <v>0.10126582278481013</v>
      </c>
      <c r="F12">
        <f t="shared" si="2"/>
        <v>8</v>
      </c>
      <c r="G12">
        <v>2.5537077089448474</v>
      </c>
    </row>
    <row r="13" spans="1:7" ht="12.75">
      <c r="A13">
        <v>12276</v>
      </c>
      <c r="B13">
        <v>0.116</v>
      </c>
      <c r="C13">
        <v>697.8</v>
      </c>
      <c r="D13">
        <f t="shared" si="0"/>
        <v>6.3754643206256105</v>
      </c>
      <c r="E13">
        <f t="shared" si="1"/>
        <v>0.11392405063291139</v>
      </c>
      <c r="F13">
        <f t="shared" si="2"/>
        <v>9</v>
      </c>
      <c r="G13">
        <v>2.5646191272616696</v>
      </c>
    </row>
    <row r="14" spans="1:7" ht="12.75">
      <c r="A14">
        <v>12374</v>
      </c>
      <c r="B14">
        <v>0.076</v>
      </c>
      <c r="C14">
        <v>520.5</v>
      </c>
      <c r="D14">
        <f t="shared" si="0"/>
        <v>4.143946985614999</v>
      </c>
      <c r="E14">
        <f t="shared" si="1"/>
        <v>0.12658227848101267</v>
      </c>
      <c r="F14">
        <f t="shared" si="2"/>
        <v>10</v>
      </c>
      <c r="G14">
        <v>2.599198705601356</v>
      </c>
    </row>
    <row r="15" spans="1:7" ht="12.75">
      <c r="A15">
        <v>12442</v>
      </c>
      <c r="B15">
        <v>0.071</v>
      </c>
      <c r="C15">
        <v>492.2</v>
      </c>
      <c r="D15">
        <f t="shared" si="0"/>
        <v>3.850160745860794</v>
      </c>
      <c r="E15">
        <f t="shared" si="1"/>
        <v>0.13924050632911392</v>
      </c>
      <c r="F15">
        <f t="shared" si="2"/>
        <v>11</v>
      </c>
      <c r="G15">
        <v>2.622434701492537</v>
      </c>
    </row>
    <row r="16" spans="1:7" ht="12.75">
      <c r="A16">
        <v>12451</v>
      </c>
      <c r="B16">
        <v>0.065</v>
      </c>
      <c r="C16">
        <v>343.7</v>
      </c>
      <c r="D16">
        <f t="shared" si="0"/>
        <v>3.5222472090595134</v>
      </c>
      <c r="E16">
        <f t="shared" si="1"/>
        <v>0.1518987341772152</v>
      </c>
      <c r="F16">
        <f t="shared" si="2"/>
        <v>12</v>
      </c>
      <c r="G16">
        <v>2.788233918128655</v>
      </c>
    </row>
    <row r="17" spans="1:7" ht="12.75">
      <c r="A17">
        <v>12505</v>
      </c>
      <c r="B17">
        <v>0.071</v>
      </c>
      <c r="C17">
        <v>490.1</v>
      </c>
      <c r="D17">
        <f t="shared" si="0"/>
        <v>3.830763694522191</v>
      </c>
      <c r="E17">
        <f t="shared" si="1"/>
        <v>0.16455696202531644</v>
      </c>
      <c r="F17">
        <f t="shared" si="2"/>
        <v>13</v>
      </c>
      <c r="G17">
        <v>2.788233918128655</v>
      </c>
    </row>
    <row r="18" spans="1:7" ht="12.75">
      <c r="A18">
        <v>12530</v>
      </c>
      <c r="B18">
        <v>0.024</v>
      </c>
      <c r="C18">
        <v>442.2</v>
      </c>
      <c r="D18">
        <f t="shared" si="0"/>
        <v>1.2923224261771746</v>
      </c>
      <c r="E18">
        <f t="shared" si="1"/>
        <v>0.17721518987341772</v>
      </c>
      <c r="F18">
        <f t="shared" si="2"/>
        <v>14</v>
      </c>
      <c r="G18">
        <v>2.812552107457156</v>
      </c>
    </row>
    <row r="19" spans="1:7" ht="12.75">
      <c r="A19">
        <v>12550</v>
      </c>
      <c r="B19">
        <v>0.058</v>
      </c>
      <c r="C19">
        <v>514.7</v>
      </c>
      <c r="D19">
        <f t="shared" si="0"/>
        <v>3.1181354581673304</v>
      </c>
      <c r="E19">
        <f t="shared" si="1"/>
        <v>0.189873417721519</v>
      </c>
      <c r="F19">
        <f t="shared" si="2"/>
        <v>15</v>
      </c>
      <c r="G19">
        <v>2.841285190673009</v>
      </c>
    </row>
    <row r="20" spans="1:7" ht="12.75">
      <c r="A20">
        <v>12573</v>
      </c>
      <c r="B20">
        <v>0.059</v>
      </c>
      <c r="C20">
        <v>476.8</v>
      </c>
      <c r="D20">
        <f t="shared" si="0"/>
        <v>3.1660940109759004</v>
      </c>
      <c r="E20">
        <f t="shared" si="1"/>
        <v>0.20253164556962025</v>
      </c>
      <c r="F20">
        <f t="shared" si="2"/>
        <v>16</v>
      </c>
      <c r="G20">
        <v>2.925754994579526</v>
      </c>
    </row>
    <row r="21" spans="1:7" ht="12.75">
      <c r="A21">
        <v>12578</v>
      </c>
      <c r="B21">
        <v>0.084</v>
      </c>
      <c r="C21">
        <v>498.3</v>
      </c>
      <c r="D21">
        <f t="shared" si="0"/>
        <v>4.505867387501987</v>
      </c>
      <c r="E21">
        <f t="shared" si="1"/>
        <v>0.21518987341772153</v>
      </c>
      <c r="F21">
        <f t="shared" si="2"/>
        <v>17</v>
      </c>
      <c r="G21">
        <v>2.980770423190203</v>
      </c>
    </row>
    <row r="22" spans="1:7" ht="12.75">
      <c r="A22">
        <v>12580</v>
      </c>
      <c r="B22">
        <v>0.079</v>
      </c>
      <c r="C22">
        <v>548.5</v>
      </c>
      <c r="D22">
        <f t="shared" si="0"/>
        <v>4.2369872813990455</v>
      </c>
      <c r="E22">
        <f t="shared" si="1"/>
        <v>0.22784810126582278</v>
      </c>
      <c r="F22">
        <f t="shared" si="2"/>
        <v>18</v>
      </c>
      <c r="G22">
        <v>2.9960969149267687</v>
      </c>
    </row>
    <row r="23" spans="1:7" ht="12.75">
      <c r="A23">
        <v>12598</v>
      </c>
      <c r="B23">
        <v>0.078</v>
      </c>
      <c r="C23">
        <v>491.9</v>
      </c>
      <c r="D23">
        <f t="shared" si="0"/>
        <v>4.17737736148595</v>
      </c>
      <c r="E23">
        <f t="shared" si="1"/>
        <v>0.24050632911392406</v>
      </c>
      <c r="F23">
        <f t="shared" si="2"/>
        <v>19</v>
      </c>
      <c r="G23">
        <v>3.0279015784586814</v>
      </c>
    </row>
    <row r="24" spans="1:7" ht="12.75">
      <c r="A24">
        <v>12660</v>
      </c>
      <c r="B24">
        <v>0.078</v>
      </c>
      <c r="C24">
        <v>532.5</v>
      </c>
      <c r="D24">
        <f t="shared" si="0"/>
        <v>4.156919431279621</v>
      </c>
      <c r="E24">
        <f t="shared" si="1"/>
        <v>0.25316455696202533</v>
      </c>
      <c r="F24">
        <f t="shared" si="2"/>
        <v>20</v>
      </c>
      <c r="G24">
        <v>3.043917237087741</v>
      </c>
    </row>
    <row r="25" spans="1:7" ht="12.75">
      <c r="A25">
        <v>12662</v>
      </c>
      <c r="B25">
        <v>0.08</v>
      </c>
      <c r="C25">
        <v>480.4</v>
      </c>
      <c r="D25">
        <f t="shared" si="0"/>
        <v>4.262833675564682</v>
      </c>
      <c r="E25">
        <f t="shared" si="1"/>
        <v>0.26582278481012656</v>
      </c>
      <c r="F25">
        <f t="shared" si="2"/>
        <v>21</v>
      </c>
      <c r="G25">
        <v>3.0675271634430143</v>
      </c>
    </row>
    <row r="26" spans="1:7" ht="12.75">
      <c r="A26">
        <v>12663</v>
      </c>
      <c r="B26">
        <v>0.06</v>
      </c>
      <c r="C26">
        <v>282</v>
      </c>
      <c r="D26">
        <f t="shared" si="0"/>
        <v>3.196872778962331</v>
      </c>
      <c r="E26">
        <f t="shared" si="1"/>
        <v>0.27848101265822783</v>
      </c>
      <c r="F26">
        <f t="shared" si="2"/>
        <v>22</v>
      </c>
      <c r="G26">
        <v>3.1050936037441494</v>
      </c>
    </row>
    <row r="27" spans="1:7" ht="12.75">
      <c r="A27">
        <v>12666</v>
      </c>
      <c r="B27">
        <v>0.091</v>
      </c>
      <c r="C27">
        <v>345.3</v>
      </c>
      <c r="D27">
        <f t="shared" si="0"/>
        <v>4.847441970630033</v>
      </c>
      <c r="E27">
        <f t="shared" si="1"/>
        <v>0.2911392405063291</v>
      </c>
      <c r="F27">
        <f t="shared" si="2"/>
        <v>23</v>
      </c>
      <c r="G27">
        <v>3.117837338262477</v>
      </c>
    </row>
    <row r="28" spans="1:7" ht="12.75">
      <c r="A28">
        <v>12718</v>
      </c>
      <c r="B28">
        <v>0.084</v>
      </c>
      <c r="C28">
        <v>492</v>
      </c>
      <c r="D28">
        <f t="shared" si="0"/>
        <v>4.456266708601981</v>
      </c>
      <c r="E28">
        <f t="shared" si="1"/>
        <v>0.3037974683544304</v>
      </c>
      <c r="F28">
        <f t="shared" si="2"/>
        <v>24</v>
      </c>
      <c r="G28">
        <v>3.1181354581673304</v>
      </c>
    </row>
    <row r="29" spans="1:7" ht="12.75">
      <c r="A29">
        <v>12749</v>
      </c>
      <c r="B29">
        <v>0.048</v>
      </c>
      <c r="C29">
        <v>472</v>
      </c>
      <c r="D29">
        <f t="shared" si="0"/>
        <v>2.5402462938269665</v>
      </c>
      <c r="E29">
        <f t="shared" si="1"/>
        <v>0.31645569620253167</v>
      </c>
      <c r="F29">
        <f t="shared" si="2"/>
        <v>25</v>
      </c>
      <c r="G29">
        <v>3.157722308892356</v>
      </c>
    </row>
    <row r="30" spans="1:7" ht="12.75">
      <c r="A30">
        <v>12782</v>
      </c>
      <c r="B30">
        <v>0.084</v>
      </c>
      <c r="C30">
        <v>522.9</v>
      </c>
      <c r="D30">
        <f t="shared" si="0"/>
        <v>4.433953997809419</v>
      </c>
      <c r="E30">
        <f t="shared" si="1"/>
        <v>0.3291139240506329</v>
      </c>
      <c r="F30">
        <f t="shared" si="2"/>
        <v>26</v>
      </c>
      <c r="G30">
        <v>3.1660940109759004</v>
      </c>
    </row>
    <row r="31" spans="1:7" ht="12.75">
      <c r="A31">
        <v>12785</v>
      </c>
      <c r="B31">
        <v>0.067</v>
      </c>
      <c r="C31">
        <v>389</v>
      </c>
      <c r="D31">
        <f t="shared" si="0"/>
        <v>3.5357763003519747</v>
      </c>
      <c r="E31">
        <f t="shared" si="1"/>
        <v>0.34177215189873417</v>
      </c>
      <c r="F31">
        <f t="shared" si="2"/>
        <v>27</v>
      </c>
      <c r="G31">
        <v>3.196872778962331</v>
      </c>
    </row>
    <row r="32" spans="1:7" ht="12.75">
      <c r="A32">
        <v>12791</v>
      </c>
      <c r="B32">
        <v>0.062</v>
      </c>
      <c r="C32">
        <v>825</v>
      </c>
      <c r="D32">
        <f t="shared" si="0"/>
        <v>3.2703776092565087</v>
      </c>
      <c r="E32">
        <f t="shared" si="1"/>
        <v>0.35443037974683544</v>
      </c>
      <c r="F32">
        <f t="shared" si="2"/>
        <v>28</v>
      </c>
      <c r="G32">
        <v>3.242995581052795</v>
      </c>
    </row>
    <row r="33" spans="1:7" ht="12.75">
      <c r="A33">
        <v>12796</v>
      </c>
      <c r="B33">
        <v>0.132</v>
      </c>
      <c r="C33">
        <v>426.5</v>
      </c>
      <c r="D33">
        <f t="shared" si="0"/>
        <v>6.960018755861206</v>
      </c>
      <c r="E33">
        <f t="shared" si="1"/>
        <v>0.3670886075949367</v>
      </c>
      <c r="F33">
        <f t="shared" si="2"/>
        <v>29</v>
      </c>
      <c r="G33">
        <v>3.24878844361603</v>
      </c>
    </row>
    <row r="34" spans="1:7" ht="12.75">
      <c r="A34">
        <v>12796</v>
      </c>
      <c r="B34">
        <v>0.257</v>
      </c>
      <c r="C34">
        <v>338</v>
      </c>
      <c r="D34">
        <f t="shared" si="0"/>
        <v>13.5509456080025</v>
      </c>
      <c r="E34">
        <f t="shared" si="1"/>
        <v>0.379746835443038</v>
      </c>
      <c r="F34">
        <f t="shared" si="2"/>
        <v>30</v>
      </c>
      <c r="G34">
        <v>3.2703776092565087</v>
      </c>
    </row>
    <row r="35" spans="1:7" ht="12.75">
      <c r="A35">
        <v>12798</v>
      </c>
      <c r="B35">
        <v>0.067</v>
      </c>
      <c r="C35">
        <v>462</v>
      </c>
      <c r="D35">
        <f t="shared" si="0"/>
        <v>3.532184716361931</v>
      </c>
      <c r="E35">
        <f t="shared" si="1"/>
        <v>0.3924050632911392</v>
      </c>
      <c r="F35">
        <f t="shared" si="2"/>
        <v>31</v>
      </c>
      <c r="G35">
        <v>3.2919842007434945</v>
      </c>
    </row>
    <row r="36" spans="1:7" ht="12.75">
      <c r="A36">
        <v>12800</v>
      </c>
      <c r="B36">
        <v>0.067</v>
      </c>
      <c r="C36">
        <v>450</v>
      </c>
      <c r="D36">
        <f t="shared" si="0"/>
        <v>3.5316328124999994</v>
      </c>
      <c r="E36">
        <f t="shared" si="1"/>
        <v>0.4050632911392405</v>
      </c>
      <c r="F36">
        <f t="shared" si="2"/>
        <v>32</v>
      </c>
      <c r="G36">
        <v>3.318281718281718</v>
      </c>
    </row>
    <row r="37" spans="1:7" ht="12.75">
      <c r="A37">
        <v>12805</v>
      </c>
      <c r="B37">
        <v>0.025</v>
      </c>
      <c r="C37">
        <v>318.9</v>
      </c>
      <c r="D37">
        <f t="shared" si="0"/>
        <v>1.3172588832487309</v>
      </c>
      <c r="E37">
        <f aca="true" t="shared" si="3" ref="E37:E43">F37/MAX(Wabash_index)</f>
        <v>0.4177215189873418</v>
      </c>
      <c r="F37">
        <f t="shared" si="2"/>
        <v>33</v>
      </c>
      <c r="G37">
        <v>3.3687626774847867</v>
      </c>
    </row>
    <row r="38" spans="1:7" ht="12.75">
      <c r="A38">
        <v>12816</v>
      </c>
      <c r="B38">
        <v>0.087</v>
      </c>
      <c r="C38">
        <v>478.6</v>
      </c>
      <c r="D38">
        <f t="shared" si="0"/>
        <v>4.580126404494382</v>
      </c>
      <c r="E38">
        <f t="shared" si="3"/>
        <v>0.43037974683544306</v>
      </c>
      <c r="F38">
        <f t="shared" si="2"/>
        <v>34</v>
      </c>
      <c r="G38">
        <v>3.5222472090595134</v>
      </c>
    </row>
    <row r="39" spans="1:7" ht="12.75">
      <c r="A39">
        <v>12818</v>
      </c>
      <c r="B39">
        <v>0.064</v>
      </c>
      <c r="C39">
        <v>406</v>
      </c>
      <c r="D39">
        <f t="shared" si="0"/>
        <v>3.3687626774847867</v>
      </c>
      <c r="E39">
        <f t="shared" si="3"/>
        <v>0.4430379746835443</v>
      </c>
      <c r="F39">
        <f t="shared" si="2"/>
        <v>35</v>
      </c>
      <c r="G39">
        <v>3.523374902572096</v>
      </c>
    </row>
    <row r="40" spans="1:7" ht="12.75">
      <c r="A40">
        <v>12820</v>
      </c>
      <c r="B40">
        <v>0.06</v>
      </c>
      <c r="C40">
        <v>692</v>
      </c>
      <c r="D40">
        <f t="shared" si="0"/>
        <v>3.157722308892356</v>
      </c>
      <c r="E40">
        <f t="shared" si="3"/>
        <v>0.45569620253164556</v>
      </c>
      <c r="F40">
        <f t="shared" si="2"/>
        <v>36</v>
      </c>
      <c r="G40">
        <v>3.5316328124999994</v>
      </c>
    </row>
    <row r="41" spans="1:7" ht="12.75">
      <c r="A41">
        <v>12820</v>
      </c>
      <c r="B41">
        <v>0.059</v>
      </c>
      <c r="C41">
        <v>462</v>
      </c>
      <c r="D41">
        <f t="shared" si="0"/>
        <v>3.1050936037441494</v>
      </c>
      <c r="E41">
        <f t="shared" si="3"/>
        <v>0.46835443037974683</v>
      </c>
      <c r="F41">
        <f t="shared" si="2"/>
        <v>37</v>
      </c>
      <c r="G41">
        <v>3.532184716361931</v>
      </c>
    </row>
    <row r="42" spans="1:7" ht="12.75">
      <c r="A42">
        <v>12823</v>
      </c>
      <c r="B42">
        <v>0.054</v>
      </c>
      <c r="C42">
        <v>366</v>
      </c>
      <c r="D42">
        <f t="shared" si="0"/>
        <v>2.841285190673009</v>
      </c>
      <c r="E42">
        <f t="shared" si="3"/>
        <v>0.4810126582278481</v>
      </c>
      <c r="F42">
        <f t="shared" si="2"/>
        <v>38</v>
      </c>
      <c r="G42">
        <v>3.5357763003519747</v>
      </c>
    </row>
    <row r="43" spans="1:7" ht="12.75">
      <c r="A43">
        <v>12825</v>
      </c>
      <c r="B43">
        <v>0.053</v>
      </c>
      <c r="C43">
        <v>591</v>
      </c>
      <c r="D43">
        <f t="shared" si="0"/>
        <v>2.788233918128655</v>
      </c>
      <c r="E43">
        <f t="shared" si="3"/>
        <v>0.4936708860759494</v>
      </c>
      <c r="F43">
        <f t="shared" si="2"/>
        <v>39</v>
      </c>
      <c r="G43">
        <v>3.565260058881256</v>
      </c>
    </row>
    <row r="44" spans="1:7" ht="12.75">
      <c r="A44">
        <v>12825</v>
      </c>
      <c r="B44">
        <v>0.053</v>
      </c>
      <c r="C44">
        <v>252</v>
      </c>
      <c r="D44">
        <f t="shared" si="0"/>
        <v>2.788233918128655</v>
      </c>
      <c r="E44">
        <f aca="true" t="shared" si="4" ref="E44:E83">F44/MAX(Wabash_index)</f>
        <v>0.5063291139240507</v>
      </c>
      <c r="F44">
        <f t="shared" si="2"/>
        <v>40</v>
      </c>
      <c r="G44">
        <v>3.6768392370572207</v>
      </c>
    </row>
    <row r="45" spans="1:7" ht="12.75">
      <c r="A45">
        <v>12830</v>
      </c>
      <c r="B45">
        <v>0.067</v>
      </c>
      <c r="C45">
        <v>745</v>
      </c>
      <c r="D45">
        <f t="shared" si="0"/>
        <v>3.523374902572096</v>
      </c>
      <c r="E45">
        <f t="shared" si="4"/>
        <v>0.5189873417721519</v>
      </c>
      <c r="F45">
        <f t="shared" si="2"/>
        <v>41</v>
      </c>
      <c r="G45">
        <v>3.7808474706379056</v>
      </c>
    </row>
    <row r="46" spans="1:7" ht="12.75">
      <c r="A46">
        <v>12833</v>
      </c>
      <c r="B46">
        <v>0.186</v>
      </c>
      <c r="C46">
        <v>322</v>
      </c>
      <c r="D46">
        <f t="shared" si="0"/>
        <v>9.779022831761864</v>
      </c>
      <c r="E46">
        <f t="shared" si="4"/>
        <v>0.5316455696202531</v>
      </c>
      <c r="F46">
        <f t="shared" si="2"/>
        <v>42</v>
      </c>
      <c r="G46">
        <v>3.830763694522191</v>
      </c>
    </row>
    <row r="47" spans="1:7" ht="12.75">
      <c r="A47">
        <v>12836</v>
      </c>
      <c r="B47">
        <v>0.057</v>
      </c>
      <c r="C47">
        <v>380</v>
      </c>
      <c r="D47">
        <f t="shared" si="0"/>
        <v>2.9960969149267687</v>
      </c>
      <c r="E47">
        <f t="shared" si="4"/>
        <v>0.5443037974683544</v>
      </c>
      <c r="F47">
        <f t="shared" si="2"/>
        <v>43</v>
      </c>
      <c r="G47">
        <v>3.832031432350424</v>
      </c>
    </row>
    <row r="48" spans="1:7" ht="12.75">
      <c r="A48">
        <v>12845</v>
      </c>
      <c r="B48">
        <v>0.07</v>
      </c>
      <c r="C48">
        <v>464</v>
      </c>
      <c r="D48">
        <f t="shared" si="0"/>
        <v>3.6768392370572207</v>
      </c>
      <c r="E48">
        <f t="shared" si="4"/>
        <v>0.5569620253164557</v>
      </c>
      <c r="F48">
        <f t="shared" si="2"/>
        <v>44</v>
      </c>
      <c r="G48">
        <v>3.850160745860794</v>
      </c>
    </row>
    <row r="49" spans="1:7" ht="12.75">
      <c r="A49">
        <v>12853</v>
      </c>
      <c r="B49">
        <v>0.073</v>
      </c>
      <c r="C49">
        <v>400.9</v>
      </c>
      <c r="D49">
        <f t="shared" si="0"/>
        <v>3.832031432350424</v>
      </c>
      <c r="E49">
        <f t="shared" si="4"/>
        <v>0.569620253164557</v>
      </c>
      <c r="F49">
        <f t="shared" si="2"/>
        <v>45</v>
      </c>
      <c r="G49">
        <v>3.868872530027121</v>
      </c>
    </row>
    <row r="50" spans="1:7" ht="12.75">
      <c r="A50">
        <v>12856</v>
      </c>
      <c r="B50">
        <v>0.058</v>
      </c>
      <c r="C50">
        <v>352</v>
      </c>
      <c r="D50">
        <f t="shared" si="0"/>
        <v>3.043917237087741</v>
      </c>
      <c r="E50">
        <f t="shared" si="4"/>
        <v>0.5822784810126582</v>
      </c>
      <c r="F50">
        <f t="shared" si="2"/>
        <v>46</v>
      </c>
      <c r="G50">
        <v>4.143946985614999</v>
      </c>
    </row>
    <row r="51" spans="1:7" ht="12.75">
      <c r="A51">
        <v>12864</v>
      </c>
      <c r="B51">
        <v>0.05</v>
      </c>
      <c r="C51">
        <v>384</v>
      </c>
      <c r="D51">
        <f t="shared" si="0"/>
        <v>2.622434701492537</v>
      </c>
      <c r="E51">
        <f t="shared" si="4"/>
        <v>0.5949367088607594</v>
      </c>
      <c r="F51">
        <f t="shared" si="2"/>
        <v>47</v>
      </c>
      <c r="G51">
        <v>4.156919431279621</v>
      </c>
    </row>
    <row r="52" spans="1:7" ht="12.75">
      <c r="A52">
        <v>12876</v>
      </c>
      <c r="B52">
        <v>0.062</v>
      </c>
      <c r="C52">
        <v>229</v>
      </c>
      <c r="D52">
        <f t="shared" si="0"/>
        <v>3.24878844361603</v>
      </c>
      <c r="E52">
        <f t="shared" si="4"/>
        <v>0.6075949367088608</v>
      </c>
      <c r="F52">
        <f t="shared" si="2"/>
        <v>48</v>
      </c>
      <c r="G52">
        <v>4.17737736148595</v>
      </c>
    </row>
    <row r="53" spans="1:7" ht="12.75">
      <c r="A53">
        <v>12879</v>
      </c>
      <c r="B53">
        <v>0.042</v>
      </c>
      <c r="C53">
        <v>832</v>
      </c>
      <c r="D53">
        <f t="shared" si="0"/>
        <v>2.2002795248078266</v>
      </c>
      <c r="E53">
        <f t="shared" si="4"/>
        <v>0.620253164556962</v>
      </c>
      <c r="F53">
        <f t="shared" si="2"/>
        <v>49</v>
      </c>
      <c r="G53">
        <v>4.2369872813990455</v>
      </c>
    </row>
    <row r="54" spans="1:7" ht="12.75">
      <c r="A54">
        <v>12899</v>
      </c>
      <c r="B54">
        <v>0.062</v>
      </c>
      <c r="C54">
        <v>313</v>
      </c>
      <c r="D54">
        <f t="shared" si="0"/>
        <v>3.242995581052795</v>
      </c>
      <c r="E54">
        <f t="shared" si="4"/>
        <v>0.6329113924050633</v>
      </c>
      <c r="F54">
        <f t="shared" si="2"/>
        <v>50</v>
      </c>
      <c r="G54">
        <v>4.262833675564682</v>
      </c>
    </row>
    <row r="55" spans="1:7" ht="12.75">
      <c r="A55">
        <v>12902</v>
      </c>
      <c r="B55">
        <v>0.057</v>
      </c>
      <c r="C55">
        <v>467</v>
      </c>
      <c r="D55">
        <f t="shared" si="0"/>
        <v>2.980770423190203</v>
      </c>
      <c r="E55">
        <f t="shared" si="4"/>
        <v>0.6455696202531646</v>
      </c>
      <c r="F55">
        <f t="shared" si="2"/>
        <v>51</v>
      </c>
      <c r="G55">
        <v>4.433953997809419</v>
      </c>
    </row>
    <row r="56" spans="1:7" ht="12.75">
      <c r="A56">
        <v>12903</v>
      </c>
      <c r="B56">
        <v>0.024</v>
      </c>
      <c r="C56">
        <v>499</v>
      </c>
      <c r="D56">
        <f t="shared" si="0"/>
        <v>1.2549639618693327</v>
      </c>
      <c r="E56">
        <f t="shared" si="4"/>
        <v>0.6582278481012658</v>
      </c>
      <c r="F56">
        <f t="shared" si="2"/>
        <v>52</v>
      </c>
      <c r="G56">
        <v>4.456266708601981</v>
      </c>
    </row>
    <row r="57" spans="1:7" ht="12.75">
      <c r="A57">
        <v>12905</v>
      </c>
      <c r="B57">
        <v>0.074</v>
      </c>
      <c r="C57">
        <v>474</v>
      </c>
      <c r="D57">
        <f t="shared" si="0"/>
        <v>3.868872530027121</v>
      </c>
      <c r="E57">
        <f t="shared" si="4"/>
        <v>0.6708860759493671</v>
      </c>
      <c r="F57">
        <f t="shared" si="2"/>
        <v>53</v>
      </c>
      <c r="G57">
        <v>4.483893369175627</v>
      </c>
    </row>
    <row r="58" spans="1:7" ht="12.75">
      <c r="A58">
        <v>12910</v>
      </c>
      <c r="B58">
        <v>0.103</v>
      </c>
      <c r="C58">
        <v>461.7</v>
      </c>
      <c r="D58">
        <f t="shared" si="0"/>
        <v>5.382966692486444</v>
      </c>
      <c r="E58">
        <f t="shared" si="4"/>
        <v>0.6835443037974683</v>
      </c>
      <c r="F58">
        <f t="shared" si="2"/>
        <v>54</v>
      </c>
      <c r="G58">
        <v>4.505867387501987</v>
      </c>
    </row>
    <row r="59" spans="1:7" ht="12.75">
      <c r="A59">
        <v>12912</v>
      </c>
      <c r="B59">
        <v>0.063</v>
      </c>
      <c r="C59">
        <v>434</v>
      </c>
      <c r="D59">
        <f t="shared" si="0"/>
        <v>3.2919842007434945</v>
      </c>
      <c r="E59">
        <f t="shared" si="4"/>
        <v>0.6962025316455697</v>
      </c>
      <c r="F59">
        <f t="shared" si="2"/>
        <v>55</v>
      </c>
      <c r="G59">
        <v>4.580126404494382</v>
      </c>
    </row>
    <row r="60" spans="1:7" ht="12.75">
      <c r="A60">
        <v>12914</v>
      </c>
      <c r="B60">
        <v>0.056</v>
      </c>
      <c r="C60">
        <v>362</v>
      </c>
      <c r="D60">
        <f t="shared" si="0"/>
        <v>2.925754994579526</v>
      </c>
      <c r="E60">
        <f t="shared" si="4"/>
        <v>0.7088607594936709</v>
      </c>
      <c r="F60">
        <f t="shared" si="2"/>
        <v>56</v>
      </c>
      <c r="G60">
        <v>4.789804395438411</v>
      </c>
    </row>
    <row r="61" spans="1:7" ht="12.75">
      <c r="A61">
        <v>12924</v>
      </c>
      <c r="B61">
        <v>0.058</v>
      </c>
      <c r="C61">
        <v>507</v>
      </c>
      <c r="D61">
        <f t="shared" si="0"/>
        <v>3.0279015784586814</v>
      </c>
      <c r="E61">
        <f t="shared" si="4"/>
        <v>0.7215189873417721</v>
      </c>
      <c r="F61">
        <f t="shared" si="2"/>
        <v>57</v>
      </c>
      <c r="G61">
        <v>4.808195382673892</v>
      </c>
    </row>
    <row r="62" spans="1:7" ht="12.75">
      <c r="A62">
        <v>12946</v>
      </c>
      <c r="B62">
        <v>0.049</v>
      </c>
      <c r="C62">
        <v>526</v>
      </c>
      <c r="D62">
        <f t="shared" si="0"/>
        <v>2.5537077089448474</v>
      </c>
      <c r="E62">
        <f t="shared" si="4"/>
        <v>0.7341772151898734</v>
      </c>
      <c r="F62">
        <f t="shared" si="2"/>
        <v>58</v>
      </c>
      <c r="G62">
        <v>4.847441970630033</v>
      </c>
    </row>
    <row r="63" spans="1:7" ht="12.75">
      <c r="A63">
        <v>12954</v>
      </c>
      <c r="B63">
        <v>0.054</v>
      </c>
      <c r="C63">
        <v>272</v>
      </c>
      <c r="D63">
        <f t="shared" si="0"/>
        <v>2.812552107457156</v>
      </c>
      <c r="E63">
        <f t="shared" si="4"/>
        <v>0.7468354430379747</v>
      </c>
      <c r="F63">
        <f t="shared" si="2"/>
        <v>59</v>
      </c>
      <c r="G63">
        <v>4.8745642782660505</v>
      </c>
    </row>
    <row r="64" spans="1:7" ht="12.75">
      <c r="A64">
        <v>12977</v>
      </c>
      <c r="B64">
        <v>0.059</v>
      </c>
      <c r="C64">
        <v>712</v>
      </c>
      <c r="D64">
        <f t="shared" si="0"/>
        <v>3.0675271634430143</v>
      </c>
      <c r="E64">
        <f t="shared" si="4"/>
        <v>0.759493670886076</v>
      </c>
      <c r="F64">
        <f t="shared" si="2"/>
        <v>60</v>
      </c>
      <c r="G64">
        <v>4.911586792616344</v>
      </c>
    </row>
    <row r="65" spans="1:7" ht="12.75">
      <c r="A65">
        <v>12979</v>
      </c>
      <c r="B65">
        <v>0.05</v>
      </c>
      <c r="C65">
        <v>399</v>
      </c>
      <c r="D65">
        <f t="shared" si="0"/>
        <v>2.599198705601356</v>
      </c>
      <c r="E65">
        <f t="shared" si="4"/>
        <v>0.7721518987341772</v>
      </c>
      <c r="F65">
        <f t="shared" si="2"/>
        <v>61</v>
      </c>
      <c r="G65">
        <v>4.911586792616344</v>
      </c>
    </row>
    <row r="66" spans="1:7" ht="12.75">
      <c r="A66">
        <v>12984</v>
      </c>
      <c r="B66">
        <v>0.06</v>
      </c>
      <c r="C66">
        <v>406</v>
      </c>
      <c r="D66">
        <f t="shared" si="0"/>
        <v>3.117837338262477</v>
      </c>
      <c r="E66">
        <f t="shared" si="4"/>
        <v>0.7848101265822784</v>
      </c>
      <c r="F66">
        <f t="shared" si="2"/>
        <v>62</v>
      </c>
      <c r="G66">
        <v>5.067598017124831</v>
      </c>
    </row>
    <row r="67" spans="1:7" ht="12.75">
      <c r="A67">
        <v>13001</v>
      </c>
      <c r="B67">
        <v>0.106</v>
      </c>
      <c r="C67">
        <v>418.1</v>
      </c>
      <c r="D67">
        <f t="shared" si="0"/>
        <v>5.500976847934774</v>
      </c>
      <c r="E67">
        <f t="shared" si="4"/>
        <v>0.7974683544303798</v>
      </c>
      <c r="F67">
        <f t="shared" si="2"/>
        <v>63</v>
      </c>
      <c r="G67">
        <v>5.280216720595982</v>
      </c>
    </row>
    <row r="68" spans="1:7" ht="12.75">
      <c r="A68">
        <v>13009</v>
      </c>
      <c r="B68">
        <v>0.047</v>
      </c>
      <c r="C68">
        <v>743</v>
      </c>
      <c r="D68">
        <f t="shared" si="0"/>
        <v>2.437612422169267</v>
      </c>
      <c r="E68">
        <f t="shared" si="4"/>
        <v>0.810126582278481</v>
      </c>
      <c r="F68">
        <f t="shared" si="2"/>
        <v>64</v>
      </c>
      <c r="G68">
        <v>5.294385189699832</v>
      </c>
    </row>
    <row r="69" spans="1:7" ht="12.75">
      <c r="A69">
        <v>13013</v>
      </c>
      <c r="B69">
        <v>0.064</v>
      </c>
      <c r="C69">
        <v>532.6</v>
      </c>
      <c r="D69">
        <f aca="true" t="shared" si="5" ref="D69:D83">1000000*B69*$B$3*EXP(-$A$3*C69)/A69</f>
        <v>3.318281718281718</v>
      </c>
      <c r="E69">
        <f t="shared" si="4"/>
        <v>0.8227848101265823</v>
      </c>
      <c r="F69">
        <f t="shared" si="2"/>
        <v>65</v>
      </c>
      <c r="G69">
        <v>5.331207233626588</v>
      </c>
    </row>
    <row r="70" spans="1:7" ht="12.75">
      <c r="A70">
        <v>13019</v>
      </c>
      <c r="B70">
        <v>0.16</v>
      </c>
      <c r="C70">
        <v>260</v>
      </c>
      <c r="D70">
        <f t="shared" si="5"/>
        <v>8.291881096858438</v>
      </c>
      <c r="E70">
        <f t="shared" si="4"/>
        <v>0.8354430379746836</v>
      </c>
      <c r="F70">
        <f t="shared" si="2"/>
        <v>66</v>
      </c>
      <c r="G70">
        <v>5.382966692486444</v>
      </c>
    </row>
    <row r="71" spans="1:7" ht="12.75">
      <c r="A71">
        <v>13027</v>
      </c>
      <c r="B71">
        <v>0.073</v>
      </c>
      <c r="C71">
        <v>232</v>
      </c>
      <c r="D71">
        <f t="shared" si="5"/>
        <v>3.7808474706379056</v>
      </c>
      <c r="E71">
        <f t="shared" si="4"/>
        <v>0.8481012658227848</v>
      </c>
      <c r="F71">
        <f aca="true" t="shared" si="6" ref="F71:F83">F70+1</f>
        <v>67</v>
      </c>
      <c r="G71">
        <v>5.386168132942326</v>
      </c>
    </row>
    <row r="72" spans="1:7" ht="12.75">
      <c r="A72">
        <v>13083</v>
      </c>
      <c r="B72">
        <v>0.048</v>
      </c>
      <c r="C72">
        <v>578</v>
      </c>
      <c r="D72">
        <f t="shared" si="5"/>
        <v>2.4753955514790182</v>
      </c>
      <c r="E72">
        <f t="shared" si="4"/>
        <v>0.8607594936708861</v>
      </c>
      <c r="F72">
        <f t="shared" si="6"/>
        <v>68</v>
      </c>
      <c r="G72">
        <v>5.470225978954631</v>
      </c>
    </row>
    <row r="73" spans="1:7" ht="12.75">
      <c r="A73">
        <v>13100</v>
      </c>
      <c r="B73">
        <v>0.152</v>
      </c>
      <c r="C73">
        <v>313</v>
      </c>
      <c r="D73">
        <f t="shared" si="5"/>
        <v>7.828580152671755</v>
      </c>
      <c r="E73">
        <f t="shared" si="4"/>
        <v>0.8734177215189873</v>
      </c>
      <c r="F73">
        <f t="shared" si="6"/>
        <v>69</v>
      </c>
      <c r="G73">
        <v>5.470225978954631</v>
      </c>
    </row>
    <row r="74" spans="1:7" ht="12.75">
      <c r="A74">
        <v>13126</v>
      </c>
      <c r="B74">
        <v>0.103</v>
      </c>
      <c r="C74">
        <v>188</v>
      </c>
      <c r="D74">
        <f t="shared" si="5"/>
        <v>5.294385189699832</v>
      </c>
      <c r="E74">
        <f t="shared" si="4"/>
        <v>0.8860759493670886</v>
      </c>
      <c r="F74">
        <f t="shared" si="6"/>
        <v>70</v>
      </c>
      <c r="G74">
        <v>5.500976847934774</v>
      </c>
    </row>
    <row r="75" spans="1:7" ht="12.75">
      <c r="A75">
        <v>13154</v>
      </c>
      <c r="B75">
        <v>0.05</v>
      </c>
      <c r="C75">
        <v>555</v>
      </c>
      <c r="D75">
        <f t="shared" si="5"/>
        <v>2.5646191272616696</v>
      </c>
      <c r="E75">
        <f t="shared" si="4"/>
        <v>0.8987341772151899</v>
      </c>
      <c r="F75">
        <f t="shared" si="6"/>
        <v>71</v>
      </c>
      <c r="G75">
        <v>5.979389486441447</v>
      </c>
    </row>
    <row r="76" spans="1:7" ht="12.75">
      <c r="A76">
        <v>13202</v>
      </c>
      <c r="B76">
        <v>0.117</v>
      </c>
      <c r="C76">
        <v>347.2</v>
      </c>
      <c r="D76">
        <f t="shared" si="5"/>
        <v>5.979389486441447</v>
      </c>
      <c r="E76">
        <f t="shared" si="4"/>
        <v>0.9113924050632911</v>
      </c>
      <c r="F76">
        <f t="shared" si="6"/>
        <v>72</v>
      </c>
      <c r="G76">
        <v>6.100659824046921</v>
      </c>
    </row>
    <row r="77" spans="1:7" ht="12.75">
      <c r="A77">
        <v>13241</v>
      </c>
      <c r="B77">
        <v>0.094</v>
      </c>
      <c r="C77">
        <v>281.7</v>
      </c>
      <c r="D77">
        <f t="shared" si="5"/>
        <v>4.789804395438411</v>
      </c>
      <c r="E77">
        <f t="shared" si="4"/>
        <v>0.9240506329113924</v>
      </c>
      <c r="F77">
        <f t="shared" si="6"/>
        <v>73</v>
      </c>
      <c r="G77">
        <v>6.3754643206256105</v>
      </c>
    </row>
    <row r="78" spans="1:7" ht="12.75">
      <c r="A78">
        <v>13247</v>
      </c>
      <c r="B78">
        <v>0.07</v>
      </c>
      <c r="C78">
        <v>755</v>
      </c>
      <c r="D78">
        <f t="shared" si="5"/>
        <v>3.565260058881256</v>
      </c>
      <c r="E78">
        <f t="shared" si="4"/>
        <v>0.9367088607594937</v>
      </c>
      <c r="F78">
        <f t="shared" si="6"/>
        <v>74</v>
      </c>
      <c r="G78">
        <v>6.960018755861206</v>
      </c>
    </row>
    <row r="79" spans="1:7" ht="12.75">
      <c r="A79">
        <v>13289</v>
      </c>
      <c r="B79">
        <v>0.104</v>
      </c>
      <c r="C79">
        <v>758</v>
      </c>
      <c r="D79">
        <f t="shared" si="5"/>
        <v>5.280216720595982</v>
      </c>
      <c r="E79">
        <f t="shared" si="4"/>
        <v>0.9493670886075949</v>
      </c>
      <c r="F79">
        <f t="shared" si="6"/>
        <v>75</v>
      </c>
      <c r="G79">
        <v>6.980034213098729</v>
      </c>
    </row>
    <row r="80" spans="1:7" ht="12.75">
      <c r="A80">
        <v>13314</v>
      </c>
      <c r="B80">
        <v>0.1</v>
      </c>
      <c r="C80">
        <v>351</v>
      </c>
      <c r="D80">
        <f t="shared" si="5"/>
        <v>5.067598017124831</v>
      </c>
      <c r="E80">
        <f t="shared" si="4"/>
        <v>0.9620253164556962</v>
      </c>
      <c r="F80">
        <f t="shared" si="6"/>
        <v>76</v>
      </c>
      <c r="G80">
        <v>7.828580152671755</v>
      </c>
    </row>
    <row r="81" spans="1:7" ht="12.75">
      <c r="A81">
        <v>13392</v>
      </c>
      <c r="B81">
        <v>0.089</v>
      </c>
      <c r="C81">
        <v>291</v>
      </c>
      <c r="D81">
        <f t="shared" si="5"/>
        <v>4.483893369175627</v>
      </c>
      <c r="E81">
        <f t="shared" si="4"/>
        <v>0.9746835443037974</v>
      </c>
      <c r="F81">
        <f t="shared" si="6"/>
        <v>77</v>
      </c>
      <c r="G81">
        <v>8.291881096858438</v>
      </c>
    </row>
    <row r="82" spans="1:7" ht="12.75">
      <c r="A82">
        <v>13426</v>
      </c>
      <c r="B82">
        <v>0.097</v>
      </c>
      <c r="C82">
        <v>306</v>
      </c>
      <c r="D82">
        <f t="shared" si="5"/>
        <v>4.8745642782660505</v>
      </c>
      <c r="E82">
        <f t="shared" si="4"/>
        <v>0.9873417721518988</v>
      </c>
      <c r="F82">
        <f t="shared" si="6"/>
        <v>78</v>
      </c>
      <c r="G82">
        <v>9.779022831761864</v>
      </c>
    </row>
    <row r="83" spans="1:7" ht="12.75">
      <c r="A83">
        <v>13471</v>
      </c>
      <c r="B83">
        <v>0.096</v>
      </c>
      <c r="C83">
        <v>253</v>
      </c>
      <c r="D83">
        <f t="shared" si="5"/>
        <v>4.808195382673892</v>
      </c>
      <c r="E83">
        <f t="shared" si="4"/>
        <v>1</v>
      </c>
      <c r="F83">
        <f t="shared" si="6"/>
        <v>79</v>
      </c>
      <c r="G83">
        <v>13.5509456080025</v>
      </c>
    </row>
  </sheetData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7" sqref="M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5"/>
  <sheetViews>
    <sheetView workbookViewId="0" topLeftCell="A1">
      <selection activeCell="R1" sqref="R1:AA59"/>
    </sheetView>
  </sheetViews>
  <sheetFormatPr defaultColWidth="9.140625" defaultRowHeight="12.75"/>
  <cols>
    <col min="1" max="1" width="37.7109375" style="0" customWidth="1"/>
    <col min="3" max="3" width="13.7109375" style="0" customWidth="1"/>
    <col min="5" max="5" width="10.7109375" style="0" customWidth="1"/>
    <col min="6" max="6" width="15.140625" style="0" customWidth="1"/>
    <col min="7" max="7" width="13.140625" style="0" customWidth="1"/>
    <col min="8" max="8" width="11.00390625" style="0" customWidth="1"/>
    <col min="9" max="9" width="14.57421875" style="0" customWidth="1"/>
    <col min="10" max="10" width="20.421875" style="0" customWidth="1"/>
    <col min="11" max="11" width="12.7109375" style="0" customWidth="1"/>
    <col min="12" max="12" width="19.8515625" style="0" customWidth="1"/>
    <col min="13" max="13" width="18.57421875" style="0" customWidth="1"/>
    <col min="15" max="15" width="15.8515625" style="0" customWidth="1"/>
    <col min="16" max="16" width="20.57421875" style="0" customWidth="1"/>
    <col min="18" max="18" width="13.7109375" style="0" customWidth="1"/>
    <col min="35" max="35" width="13.140625" style="0" customWidth="1"/>
  </cols>
  <sheetData>
    <row r="1" ht="15">
      <c r="A1" s="54" t="s">
        <v>89</v>
      </c>
    </row>
    <row r="2" spans="1:10" ht="42">
      <c r="A2" s="5" t="s">
        <v>0</v>
      </c>
      <c r="B2" s="5" t="s">
        <v>1</v>
      </c>
      <c r="C2" s="4" t="s">
        <v>106</v>
      </c>
      <c r="D2" s="4" t="s">
        <v>113</v>
      </c>
      <c r="E2" s="4" t="s">
        <v>114</v>
      </c>
      <c r="F2" s="55" t="s">
        <v>115</v>
      </c>
      <c r="G2" s="5" t="s">
        <v>116</v>
      </c>
      <c r="H2" s="5" t="s">
        <v>117</v>
      </c>
      <c r="I2" s="4" t="s">
        <v>118</v>
      </c>
      <c r="J2" s="5" t="s">
        <v>119</v>
      </c>
    </row>
    <row r="3" spans="1:16" ht="12.75">
      <c r="A3" t="s">
        <v>32</v>
      </c>
      <c r="B3" s="2">
        <v>10</v>
      </c>
      <c r="C3" s="2" t="s">
        <v>107</v>
      </c>
      <c r="D3">
        <v>28.333333333333332</v>
      </c>
      <c r="E3">
        <v>0.0147</v>
      </c>
      <c r="F3">
        <f aca="true" t="shared" si="0" ref="F3:F12">-LN(1-$E3)</f>
        <v>0.014809115653708226</v>
      </c>
      <c r="G3">
        <f aca="true" t="shared" si="1" ref="G3:G12">$D3^2</f>
        <v>802.7777777777777</v>
      </c>
      <c r="H3">
        <f aca="true" t="shared" si="2" ref="H3:H12">$D3*$F3</f>
        <v>0.4195916101883997</v>
      </c>
      <c r="I3">
        <f aca="true" t="shared" si="3" ref="I3:I12">1-EXP(-$M$4)*EXP(-$M$3*$D3)</f>
        <v>0.22988102315755632</v>
      </c>
      <c r="J3">
        <f>($E3-$I3)^2</f>
        <v>0.04630287272713279</v>
      </c>
      <c r="L3" s="1" t="s">
        <v>98</v>
      </c>
      <c r="M3">
        <f>(SUM(H3:H12)*COUNT(H3:H12)-SUM(F3:F12)*SUM(D3:D12))/(SUM(G3:G12)*COUNT(H3:H12)-SUM(D3:D12)^2)</f>
        <v>0.0021640066056808935</v>
      </c>
      <c r="O3" s="69" t="s">
        <v>95</v>
      </c>
      <c r="P3" s="70"/>
    </row>
    <row r="4" spans="1:16" ht="15">
      <c r="A4" t="s">
        <v>100</v>
      </c>
      <c r="B4" s="2">
        <v>1</v>
      </c>
      <c r="C4" s="2" t="s">
        <v>107</v>
      </c>
      <c r="D4">
        <v>100</v>
      </c>
      <c r="E4">
        <v>0.3824</v>
      </c>
      <c r="F4">
        <f t="shared" si="0"/>
        <v>0.48191428027157074</v>
      </c>
      <c r="G4">
        <f t="shared" si="1"/>
        <v>10000</v>
      </c>
      <c r="H4">
        <f t="shared" si="2"/>
        <v>48.19142802715707</v>
      </c>
      <c r="I4">
        <f t="shared" si="3"/>
        <v>0.3405158897619476</v>
      </c>
      <c r="J4">
        <f aca="true" t="shared" si="4" ref="J4:J12">($E4-$I4)^2</f>
        <v>0.0017542786904333294</v>
      </c>
      <c r="L4" s="1" t="s">
        <v>91</v>
      </c>
      <c r="M4">
        <f>(SUM(G3:G12)*SUM(F3:F12)-SUM(D3:D12)*SUM(H3:H12))/(SUM(G3:G12)*COUNT(G3:G12)-SUM(D3:D12)^2)</f>
        <v>0.19989674019659023</v>
      </c>
      <c r="O4" s="1" t="s">
        <v>90</v>
      </c>
      <c r="P4" s="1" t="s">
        <v>120</v>
      </c>
    </row>
    <row r="5" spans="1:16" ht="12.75">
      <c r="A5" t="s">
        <v>104</v>
      </c>
      <c r="B5" s="2" t="s">
        <v>105</v>
      </c>
      <c r="C5" s="2" t="s">
        <v>108</v>
      </c>
      <c r="D5">
        <v>102</v>
      </c>
      <c r="E5">
        <v>0.0446</v>
      </c>
      <c r="F5">
        <f t="shared" si="0"/>
        <v>0.045625178026275554</v>
      </c>
      <c r="G5">
        <f t="shared" si="1"/>
        <v>10404</v>
      </c>
      <c r="H5">
        <f t="shared" si="2"/>
        <v>4.653768158680107</v>
      </c>
      <c r="I5">
        <f t="shared" si="3"/>
        <v>0.3433639779762391</v>
      </c>
      <c r="J5">
        <f t="shared" si="4"/>
        <v>0.08925991453618669</v>
      </c>
      <c r="L5" s="1" t="s">
        <v>92</v>
      </c>
      <c r="M5">
        <f>1-EXP(-$M$4)</f>
        <v>0.18118470058036562</v>
      </c>
      <c r="O5">
        <v>0</v>
      </c>
      <c r="P5">
        <f aca="true" t="shared" si="5" ref="P5:P68">1-EXP(-$M$4)*EXP(-$M$3*$O5)</f>
        <v>0.18118470058036562</v>
      </c>
    </row>
    <row r="6" spans="1:16" ht="12.75">
      <c r="A6" t="s">
        <v>29</v>
      </c>
      <c r="B6" s="2" t="s">
        <v>30</v>
      </c>
      <c r="C6" s="2" t="s">
        <v>107</v>
      </c>
      <c r="D6">
        <v>107</v>
      </c>
      <c r="E6">
        <v>0.3333</v>
      </c>
      <c r="F6">
        <f t="shared" si="0"/>
        <v>0.40541510935812264</v>
      </c>
      <c r="G6">
        <f t="shared" si="1"/>
        <v>11449</v>
      </c>
      <c r="H6">
        <f t="shared" si="2"/>
        <v>43.37941670131912</v>
      </c>
      <c r="I6">
        <f t="shared" si="3"/>
        <v>0.35043050246645135</v>
      </c>
      <c r="J6">
        <f t="shared" si="4"/>
        <v>0.00029345411475309647</v>
      </c>
      <c r="L6" s="1" t="s">
        <v>99</v>
      </c>
      <c r="M6">
        <f>EXP(-M4)</f>
        <v>0.8188152994196344</v>
      </c>
      <c r="O6">
        <f>O5+5</f>
        <v>5</v>
      </c>
      <c r="P6">
        <f t="shared" si="5"/>
        <v>0.18999655093922396</v>
      </c>
    </row>
    <row r="7" spans="1:16" ht="12.75">
      <c r="A7" t="s">
        <v>24</v>
      </c>
      <c r="B7" s="2" t="s">
        <v>25</v>
      </c>
      <c r="C7" s="2" t="s">
        <v>108</v>
      </c>
      <c r="D7">
        <v>116.66666666666667</v>
      </c>
      <c r="E7">
        <v>0.336</v>
      </c>
      <c r="F7">
        <f t="shared" si="0"/>
        <v>0.4094731295057033</v>
      </c>
      <c r="G7">
        <f t="shared" si="1"/>
        <v>13611.111111111111</v>
      </c>
      <c r="H7">
        <f t="shared" si="2"/>
        <v>47.77186510899872</v>
      </c>
      <c r="I7">
        <f t="shared" si="3"/>
        <v>0.3638775339689212</v>
      </c>
      <c r="J7">
        <f t="shared" si="4"/>
        <v>0.0007771569001883541</v>
      </c>
      <c r="L7" s="1" t="s">
        <v>93</v>
      </c>
      <c r="M7">
        <f>SUM($J$3:$J$12)/(10-2)</f>
        <v>0.01889739692605089</v>
      </c>
      <c r="O7">
        <f aca="true" t="shared" si="6" ref="O7:O70">O6+5</f>
        <v>10</v>
      </c>
      <c r="P7">
        <f t="shared" si="5"/>
        <v>0.1987135707461838</v>
      </c>
    </row>
    <row r="8" spans="1:16" ht="12.75">
      <c r="A8" t="s">
        <v>102</v>
      </c>
      <c r="B8" s="2">
        <v>101</v>
      </c>
      <c r="C8" s="2" t="s">
        <v>108</v>
      </c>
      <c r="D8">
        <v>126.66666666666667</v>
      </c>
      <c r="E8">
        <v>0.3183</v>
      </c>
      <c r="F8">
        <f t="shared" si="0"/>
        <v>0.3831656006133975</v>
      </c>
      <c r="G8">
        <f t="shared" si="1"/>
        <v>16044.444444444445</v>
      </c>
      <c r="H8">
        <f t="shared" si="2"/>
        <v>48.53430941103035</v>
      </c>
      <c r="I8">
        <f t="shared" si="3"/>
        <v>0.377495389087801</v>
      </c>
      <c r="J8">
        <f t="shared" si="4"/>
        <v>0.003504094089256147</v>
      </c>
      <c r="L8" s="1" t="s">
        <v>94</v>
      </c>
      <c r="M8">
        <f>VAR($E$3:$E$12)</f>
        <v>0.15713768622222218</v>
      </c>
      <c r="O8">
        <f t="shared" si="6"/>
        <v>15</v>
      </c>
      <c r="P8">
        <f t="shared" si="5"/>
        <v>0.2073367805398615</v>
      </c>
    </row>
    <row r="9" spans="1:16" ht="12.75">
      <c r="A9" t="s">
        <v>103</v>
      </c>
      <c r="B9" s="2">
        <v>1</v>
      </c>
      <c r="C9" s="2" t="s">
        <v>109</v>
      </c>
      <c r="D9">
        <v>917.3333333333334</v>
      </c>
      <c r="E9">
        <v>0.9736</v>
      </c>
      <c r="F9">
        <f t="shared" si="0"/>
        <v>3.634391268829867</v>
      </c>
      <c r="G9">
        <f t="shared" si="1"/>
        <v>841500.4444444445</v>
      </c>
      <c r="H9">
        <f t="shared" si="2"/>
        <v>3333.948257273265</v>
      </c>
      <c r="I9">
        <f t="shared" si="3"/>
        <v>0.8875236310456552</v>
      </c>
      <c r="J9">
        <f t="shared" si="4"/>
        <v>0.00740914129236449</v>
      </c>
      <c r="L9" s="1" t="s">
        <v>110</v>
      </c>
      <c r="M9">
        <f>$M$7/$M$8</f>
        <v>0.12026011951917392</v>
      </c>
      <c r="O9">
        <f t="shared" si="6"/>
        <v>20</v>
      </c>
      <c r="P9">
        <f t="shared" si="5"/>
        <v>0.21586718987613585</v>
      </c>
    </row>
    <row r="10" spans="1:16" ht="12.75">
      <c r="A10" t="s">
        <v>101</v>
      </c>
      <c r="B10" s="2" t="s">
        <v>5</v>
      </c>
      <c r="C10" s="2" t="s">
        <v>109</v>
      </c>
      <c r="D10">
        <v>1500</v>
      </c>
      <c r="E10">
        <v>0.9752</v>
      </c>
      <c r="F10">
        <f t="shared" si="0"/>
        <v>3.696911625811199</v>
      </c>
      <c r="G10">
        <f t="shared" si="1"/>
        <v>2250000</v>
      </c>
      <c r="H10">
        <f t="shared" si="2"/>
        <v>5545.3674387167985</v>
      </c>
      <c r="I10">
        <f t="shared" si="3"/>
        <v>0.9681241512599089</v>
      </c>
      <c r="J10">
        <f t="shared" si="4"/>
        <v>5.0067635392647954E-05</v>
      </c>
      <c r="L10" s="1" t="s">
        <v>96</v>
      </c>
      <c r="M10">
        <f>CORREL(E3:E12,I3:I12)</f>
        <v>0.9667950371836339</v>
      </c>
      <c r="O10">
        <f t="shared" si="6"/>
        <v>25</v>
      </c>
      <c r="P10">
        <f t="shared" si="5"/>
        <v>0.22430579744634127</v>
      </c>
    </row>
    <row r="11" spans="1:16" ht="12.75">
      <c r="A11" t="s">
        <v>6</v>
      </c>
      <c r="B11" s="2" t="s">
        <v>7</v>
      </c>
      <c r="C11" s="2" t="s">
        <v>109</v>
      </c>
      <c r="D11">
        <v>1700</v>
      </c>
      <c r="E11">
        <v>0.9366</v>
      </c>
      <c r="F11">
        <f t="shared" si="0"/>
        <v>2.7582914175389566</v>
      </c>
      <c r="G11">
        <f t="shared" si="1"/>
        <v>2890000</v>
      </c>
      <c r="H11">
        <f t="shared" si="2"/>
        <v>4689.0954098162265</v>
      </c>
      <c r="I11">
        <f t="shared" si="3"/>
        <v>0.9793224760855455</v>
      </c>
      <c r="J11">
        <f t="shared" si="4"/>
        <v>0.0018252099628800044</v>
      </c>
      <c r="L11" s="1" t="s">
        <v>97</v>
      </c>
      <c r="M11">
        <f>$M$10^2</f>
        <v>0.9346926439229041</v>
      </c>
      <c r="O11">
        <f t="shared" si="6"/>
        <v>30</v>
      </c>
      <c r="P11">
        <f t="shared" si="5"/>
        <v>0.23265359119418838</v>
      </c>
    </row>
    <row r="12" spans="1:16" ht="12.75">
      <c r="A12" t="s">
        <v>4</v>
      </c>
      <c r="B12" s="2" t="s">
        <v>5</v>
      </c>
      <c r="C12" s="2" t="s">
        <v>109</v>
      </c>
      <c r="D12">
        <v>1892.6666666666667</v>
      </c>
      <c r="E12">
        <v>0.9881</v>
      </c>
      <c r="F12">
        <f t="shared" si="0"/>
        <v>4.431216878864651</v>
      </c>
      <c r="G12">
        <f t="shared" si="1"/>
        <v>3582187.1111111115</v>
      </c>
      <c r="H12">
        <f t="shared" si="2"/>
        <v>8386.81647939783</v>
      </c>
      <c r="I12">
        <f t="shared" si="3"/>
        <v>0.9863721516792303</v>
      </c>
      <c r="J12">
        <f t="shared" si="4"/>
        <v>2.985459819586551E-06</v>
      </c>
      <c r="O12">
        <f t="shared" si="6"/>
        <v>35</v>
      </c>
      <c r="P12">
        <f t="shared" si="5"/>
        <v>0.24091154843142704</v>
      </c>
    </row>
    <row r="13" spans="15:16" ht="12.75">
      <c r="O13">
        <f t="shared" si="6"/>
        <v>40</v>
      </c>
      <c r="P13">
        <f t="shared" si="5"/>
        <v>0.24908063595226448</v>
      </c>
    </row>
    <row r="14" spans="7:16" ht="12.75">
      <c r="G14" s="1"/>
      <c r="O14">
        <f t="shared" si="6"/>
        <v>45</v>
      </c>
      <c r="P14">
        <f t="shared" si="5"/>
        <v>0.25716181014655193</v>
      </c>
    </row>
    <row r="15" ht="15">
      <c r="A15" s="54" t="s">
        <v>111</v>
      </c>
    </row>
    <row r="16" spans="1:10" ht="42">
      <c r="A16" s="5" t="s">
        <v>0</v>
      </c>
      <c r="B16" s="5" t="s">
        <v>1</v>
      </c>
      <c r="C16" s="4" t="s">
        <v>106</v>
      </c>
      <c r="D16" s="4" t="s">
        <v>113</v>
      </c>
      <c r="E16" s="4" t="s">
        <v>114</v>
      </c>
      <c r="F16" s="55" t="s">
        <v>115</v>
      </c>
      <c r="G16" s="5" t="s">
        <v>116</v>
      </c>
      <c r="H16" s="5" t="s">
        <v>117</v>
      </c>
      <c r="I16" s="4" t="s">
        <v>118</v>
      </c>
      <c r="J16" s="5" t="s">
        <v>119</v>
      </c>
    </row>
    <row r="17" spans="1:16" ht="12.75">
      <c r="A17" t="s">
        <v>103</v>
      </c>
      <c r="B17" s="2">
        <v>1</v>
      </c>
      <c r="C17" s="2" t="s">
        <v>109</v>
      </c>
      <c r="D17">
        <v>917.3333333333334</v>
      </c>
      <c r="E17">
        <v>0.9736</v>
      </c>
      <c r="F17">
        <f>-LN(1-$E17)</f>
        <v>3.634391268829867</v>
      </c>
      <c r="G17">
        <f>$D17^2</f>
        <v>841500.4444444445</v>
      </c>
      <c r="H17">
        <f>$D17*$F17</f>
        <v>3333.948257273265</v>
      </c>
      <c r="I17">
        <f>1-EXP(-$M$4)*EXP(-$M$3*$D17)</f>
        <v>0.8875236310456552</v>
      </c>
      <c r="J17">
        <f>($E17-$I17)^2</f>
        <v>0.00740914129236449</v>
      </c>
      <c r="L17" s="1" t="s">
        <v>98</v>
      </c>
      <c r="M17">
        <f>(SUM(H17:H20)*COUNT(H17:H20)-SUM(F17:F20)*SUM(D17:D20))/(SUM(G17:G20)*COUNT(H17:H20)-SUM(D17:D20)^2)</f>
        <v>0.00025804465617066975</v>
      </c>
      <c r="O17" s="69" t="s">
        <v>95</v>
      </c>
      <c r="P17" s="69"/>
    </row>
    <row r="18" spans="1:16" ht="15">
      <c r="A18" t="s">
        <v>101</v>
      </c>
      <c r="B18" s="2" t="s">
        <v>5</v>
      </c>
      <c r="C18" s="2" t="s">
        <v>109</v>
      </c>
      <c r="D18">
        <v>1500</v>
      </c>
      <c r="E18">
        <v>0.9752</v>
      </c>
      <c r="F18">
        <f>-LN(1-$E18)</f>
        <v>3.696911625811199</v>
      </c>
      <c r="G18">
        <f>$D18^2</f>
        <v>2250000</v>
      </c>
      <c r="H18">
        <f>$D18*$F18</f>
        <v>5545.3674387167985</v>
      </c>
      <c r="I18">
        <f>1-EXP(-$M$4)*EXP(-$M$3*$D18)</f>
        <v>0.9681241512599089</v>
      </c>
      <c r="J18">
        <f>($E18-$I18)^2</f>
        <v>5.0067635392647954E-05</v>
      </c>
      <c r="L18" s="1" t="s">
        <v>91</v>
      </c>
      <c r="M18">
        <f>(SUM(G17:G20)*SUM(F17:F20)-SUM(D17:D20)*SUM(H17:H20))/(SUM(G17:G20)*COUNT(G17:G20)-SUM(D17:D20)^2)</f>
        <v>3.24249070186473</v>
      </c>
      <c r="O18" s="1" t="s">
        <v>90</v>
      </c>
      <c r="P18" s="1" t="s">
        <v>120</v>
      </c>
    </row>
    <row r="19" spans="1:16" ht="12.75">
      <c r="A19" t="s">
        <v>6</v>
      </c>
      <c r="B19" s="2" t="s">
        <v>7</v>
      </c>
      <c r="C19" s="2" t="s">
        <v>109</v>
      </c>
      <c r="D19">
        <v>1700</v>
      </c>
      <c r="E19">
        <v>0.9366</v>
      </c>
      <c r="F19">
        <f>-LN(1-$E19)</f>
        <v>2.7582914175389566</v>
      </c>
      <c r="G19">
        <f>$D19^2</f>
        <v>2890000</v>
      </c>
      <c r="H19">
        <f>$D19*$F19</f>
        <v>4689.0954098162265</v>
      </c>
      <c r="I19">
        <f>1-EXP(-$M$4)*EXP(-$M$3*$D19)</f>
        <v>0.9793224760855455</v>
      </c>
      <c r="J19">
        <f>($E19-$I19)^2</f>
        <v>0.0018252099628800044</v>
      </c>
      <c r="L19" s="1" t="s">
        <v>92</v>
      </c>
      <c r="M19">
        <f>1-EXP(-$M$18)</f>
        <v>0.9609335291098717</v>
      </c>
      <c r="O19">
        <v>0</v>
      </c>
      <c r="P19">
        <f t="shared" si="5"/>
        <v>0.18118470058036562</v>
      </c>
    </row>
    <row r="20" spans="1:16" ht="12.75">
      <c r="A20" t="s">
        <v>4</v>
      </c>
      <c r="B20" s="2" t="s">
        <v>5</v>
      </c>
      <c r="C20" s="2" t="s">
        <v>109</v>
      </c>
      <c r="D20">
        <v>1892.6666666666667</v>
      </c>
      <c r="E20">
        <v>0.9881</v>
      </c>
      <c r="F20">
        <f>-LN(1-$E20)</f>
        <v>4.431216878864651</v>
      </c>
      <c r="G20">
        <f>$D20^2</f>
        <v>3582187.1111111115</v>
      </c>
      <c r="H20">
        <f>$D20*$F20</f>
        <v>8386.81647939783</v>
      </c>
      <c r="I20">
        <f>1-EXP(-$M$4)*EXP(-$M$3*$D20)</f>
        <v>0.9863721516792303</v>
      </c>
      <c r="J20">
        <f>($E20-$I20)^2</f>
        <v>2.985459819586551E-06</v>
      </c>
      <c r="L20" s="1" t="s">
        <v>99</v>
      </c>
      <c r="M20">
        <f>EXP(-M18)</f>
        <v>0.0390664708901283</v>
      </c>
      <c r="O20">
        <f>O19+5</f>
        <v>5</v>
      </c>
      <c r="P20">
        <f t="shared" si="5"/>
        <v>0.18999655093922396</v>
      </c>
    </row>
    <row r="21" spans="2:16" ht="12.75">
      <c r="B21" s="2"/>
      <c r="C21" s="2"/>
      <c r="L21" s="1" t="s">
        <v>93</v>
      </c>
      <c r="M21">
        <f>SUM($J$17:$J$20)/(4-2)</f>
        <v>0.004643702175228365</v>
      </c>
      <c r="O21">
        <f aca="true" t="shared" si="7" ref="O21:O26">O20+5</f>
        <v>10</v>
      </c>
      <c r="P21">
        <f t="shared" si="5"/>
        <v>0.1987135707461838</v>
      </c>
    </row>
    <row r="22" spans="2:16" ht="12.75">
      <c r="B22" s="2"/>
      <c r="C22" s="2"/>
      <c r="L22" s="1" t="s">
        <v>94</v>
      </c>
      <c r="M22">
        <f>VAR($E$17:$E$20)</f>
        <v>0.0004908691666667409</v>
      </c>
      <c r="O22">
        <f t="shared" si="7"/>
        <v>15</v>
      </c>
      <c r="P22">
        <f t="shared" si="5"/>
        <v>0.2073367805398615</v>
      </c>
    </row>
    <row r="23" spans="12:16" ht="12.75">
      <c r="L23" s="1" t="s">
        <v>110</v>
      </c>
      <c r="M23">
        <f>$M$21/$M$22</f>
        <v>9.460162688077434</v>
      </c>
      <c r="O23">
        <f>O22+5</f>
        <v>20</v>
      </c>
      <c r="P23">
        <f t="shared" si="5"/>
        <v>0.21586718987613585</v>
      </c>
    </row>
    <row r="24" spans="12:16" ht="12.75">
      <c r="L24" s="1" t="s">
        <v>96</v>
      </c>
      <c r="M24">
        <f>CORREL(E17:E22,I17:I22)</f>
        <v>-0.13690634161500093</v>
      </c>
      <c r="O24">
        <f t="shared" si="7"/>
        <v>25</v>
      </c>
      <c r="P24">
        <f t="shared" si="5"/>
        <v>0.22430579744634127</v>
      </c>
    </row>
    <row r="25" spans="12:16" ht="12.75">
      <c r="L25" s="1" t="s">
        <v>97</v>
      </c>
      <c r="M25">
        <f>$M$24^2</f>
        <v>0.018743346374403336</v>
      </c>
      <c r="O25">
        <f t="shared" si="7"/>
        <v>30</v>
      </c>
      <c r="P25">
        <f t="shared" si="5"/>
        <v>0.23265359119418838</v>
      </c>
    </row>
    <row r="26" spans="15:16" ht="12.75">
      <c r="O26">
        <f t="shared" si="7"/>
        <v>35</v>
      </c>
      <c r="P26">
        <f t="shared" si="5"/>
        <v>0.24091154843142704</v>
      </c>
    </row>
    <row r="27" spans="15:16" ht="12.75">
      <c r="O27">
        <f t="shared" si="6"/>
        <v>40</v>
      </c>
      <c r="P27">
        <f t="shared" si="5"/>
        <v>0.24908063595226448</v>
      </c>
    </row>
    <row r="28" spans="1:16" ht="15">
      <c r="A28" s="54" t="s">
        <v>112</v>
      </c>
      <c r="O28">
        <f t="shared" si="6"/>
        <v>45</v>
      </c>
      <c r="P28">
        <f t="shared" si="5"/>
        <v>0.25716181014655193</v>
      </c>
    </row>
    <row r="29" spans="1:16" ht="42">
      <c r="A29" s="5" t="s">
        <v>0</v>
      </c>
      <c r="B29" s="5" t="s">
        <v>1</v>
      </c>
      <c r="C29" s="4" t="s">
        <v>106</v>
      </c>
      <c r="D29" s="4" t="s">
        <v>113</v>
      </c>
      <c r="E29" s="4" t="s">
        <v>114</v>
      </c>
      <c r="F29" s="55" t="s">
        <v>115</v>
      </c>
      <c r="G29" s="5" t="s">
        <v>116</v>
      </c>
      <c r="H29" s="5" t="s">
        <v>117</v>
      </c>
      <c r="I29" s="4" t="s">
        <v>118</v>
      </c>
      <c r="J29" s="5" t="s">
        <v>119</v>
      </c>
      <c r="O29">
        <f t="shared" si="6"/>
        <v>50</v>
      </c>
      <c r="P29">
        <f t="shared" si="5"/>
        <v>0.2651560171117531</v>
      </c>
    </row>
    <row r="30" spans="1:16" ht="12.75">
      <c r="A30" t="s">
        <v>103</v>
      </c>
      <c r="B30" s="2">
        <v>1</v>
      </c>
      <c r="C30" s="2" t="s">
        <v>109</v>
      </c>
      <c r="D30">
        <v>917.3333333333334</v>
      </c>
      <c r="E30">
        <v>0.9736</v>
      </c>
      <c r="F30">
        <f>-LN(1-$E30)</f>
        <v>3.634391268829867</v>
      </c>
      <c r="G30">
        <f>$D30^2</f>
        <v>841500.4444444445</v>
      </c>
      <c r="H30">
        <f>$D30*$F30</f>
        <v>3333.948257273265</v>
      </c>
      <c r="I30">
        <f>1-EXP(-$M$4)*EXP(-$M$3*$D30)</f>
        <v>0.8875236310456552</v>
      </c>
      <c r="J30">
        <f>($E30-$I30)^2</f>
        <v>0.00740914129236449</v>
      </c>
      <c r="L30" s="1" t="s">
        <v>98</v>
      </c>
      <c r="M30">
        <f>(SUM(H30:H32)*COUNT(H30:H32)-SUM(F30:F32)*SUM(D30:D32))/(SUM(G30:G32)*COUNT(H30:H32)-SUM(D30:D32)^2)</f>
        <v>0.0002584653651671596</v>
      </c>
      <c r="O30">
        <f t="shared" si="6"/>
        <v>55</v>
      </c>
      <c r="P30">
        <f t="shared" si="5"/>
        <v>0.2730641927637083</v>
      </c>
    </row>
    <row r="31" spans="1:16" ht="12.75">
      <c r="A31" t="s">
        <v>6</v>
      </c>
      <c r="B31" s="2" t="s">
        <v>7</v>
      </c>
      <c r="C31" s="2" t="s">
        <v>109</v>
      </c>
      <c r="D31">
        <v>1700</v>
      </c>
      <c r="E31">
        <v>0.9366</v>
      </c>
      <c r="F31">
        <f>-LN(1-$E31)</f>
        <v>2.7582914175389566</v>
      </c>
      <c r="G31">
        <f>$D31^2</f>
        <v>2890000</v>
      </c>
      <c r="H31">
        <f>$D31*$F31</f>
        <v>4689.0954098162265</v>
      </c>
      <c r="I31">
        <f>1-EXP(-$M$4)*EXP(-$M$3*$D31)</f>
        <v>0.9793224760855455</v>
      </c>
      <c r="J31">
        <f>($E31-$I31)^2</f>
        <v>0.0018252099628800044</v>
      </c>
      <c r="L31" s="1" t="s">
        <v>91</v>
      </c>
      <c r="M31">
        <f>(SUM(G30:G32)*SUM(F30:F32)-SUM(D30:D32)*SUM(H30:H32))/(SUM(G30:G32)*COUNT(G30:G32)-SUM(D30:D32)^2)</f>
        <v>3.21940692277653</v>
      </c>
      <c r="O31">
        <f t="shared" si="6"/>
        <v>60</v>
      </c>
      <c r="P31">
        <f t="shared" si="5"/>
        <v>0.28088726294620525</v>
      </c>
    </row>
    <row r="32" spans="1:16" ht="12.75">
      <c r="A32" t="s">
        <v>4</v>
      </c>
      <c r="B32" s="2" t="s">
        <v>5</v>
      </c>
      <c r="C32" s="2" t="s">
        <v>109</v>
      </c>
      <c r="D32">
        <v>1892.6666666666667</v>
      </c>
      <c r="E32">
        <v>0.9881</v>
      </c>
      <c r="F32">
        <f>-LN(1-$E32)</f>
        <v>4.431216878864651</v>
      </c>
      <c r="G32">
        <f>$D32^2</f>
        <v>3582187.1111111115</v>
      </c>
      <c r="H32">
        <f>$D32*$F32</f>
        <v>8386.81647939783</v>
      </c>
      <c r="I32">
        <f>1-EXP(-$M$4)*EXP(-$M$3*$D32)</f>
        <v>0.9863721516792303</v>
      </c>
      <c r="J32">
        <f>($E32-$I32)^2</f>
        <v>2.985459819586551E-06</v>
      </c>
      <c r="L32" s="1" t="s">
        <v>92</v>
      </c>
      <c r="M32">
        <f>1-EXP(-$M$31)</f>
        <v>0.9600212382760319</v>
      </c>
      <c r="O32">
        <f t="shared" si="6"/>
        <v>65</v>
      </c>
      <c r="P32">
        <f t="shared" si="5"/>
        <v>0.28862614353937255</v>
      </c>
    </row>
    <row r="33" spans="12:16" ht="12.75">
      <c r="L33" s="1" t="s">
        <v>99</v>
      </c>
      <c r="M33">
        <f>EXP(-M31)</f>
        <v>0.03997876172396803</v>
      </c>
      <c r="O33">
        <f t="shared" si="6"/>
        <v>70</v>
      </c>
      <c r="P33">
        <f t="shared" si="5"/>
        <v>0.2962817405669049</v>
      </c>
    </row>
    <row r="34" spans="2:16" ht="12.75">
      <c r="B34" s="2"/>
      <c r="C34" s="2"/>
      <c r="L34" s="1" t="s">
        <v>93</v>
      </c>
      <c r="M34">
        <f>SUM($J$30:$J$32)/(4-2)</f>
        <v>0.004618668357532041</v>
      </c>
      <c r="O34">
        <f t="shared" si="6"/>
        <v>75</v>
      </c>
      <c r="P34">
        <f t="shared" si="5"/>
        <v>0.3038549503021356</v>
      </c>
    </row>
    <row r="35" spans="2:16" ht="12.75">
      <c r="B35" s="2"/>
      <c r="C35" s="2"/>
      <c r="L35" s="1" t="s">
        <v>94</v>
      </c>
      <c r="M35">
        <f>VAR($E$30:$E$32)</f>
        <v>0.0007052499999999906</v>
      </c>
      <c r="O35">
        <f t="shared" si="6"/>
        <v>80</v>
      </c>
      <c r="P35">
        <f t="shared" si="5"/>
        <v>0.3113466593729669</v>
      </c>
    </row>
    <row r="36" spans="12:16" ht="12.75">
      <c r="L36" s="1" t="s">
        <v>110</v>
      </c>
      <c r="M36">
        <f>$M$34/$M$35</f>
        <v>6.54898030135711</v>
      </c>
      <c r="O36">
        <f t="shared" si="6"/>
        <v>85</v>
      </c>
      <c r="P36">
        <f t="shared" si="5"/>
        <v>0.31875774486567143</v>
      </c>
    </row>
    <row r="37" spans="12:16" ht="12.75">
      <c r="L37" s="1" t="s">
        <v>96</v>
      </c>
      <c r="M37">
        <f>CORREL(E30:E35,I30:I35)</f>
        <v>-0.18210468546455258</v>
      </c>
      <c r="O37">
        <f t="shared" si="6"/>
        <v>90</v>
      </c>
      <c r="P37">
        <f t="shared" si="5"/>
        <v>0.32608907442757595</v>
      </c>
    </row>
    <row r="38" spans="12:16" ht="12.75">
      <c r="L38" s="1" t="s">
        <v>97</v>
      </c>
      <c r="M38">
        <f>$M$37^2</f>
        <v>0.033162116468143626</v>
      </c>
      <c r="O38">
        <f t="shared" si="6"/>
        <v>95</v>
      </c>
      <c r="P38">
        <f t="shared" si="5"/>
        <v>0.33334150636864124</v>
      </c>
    </row>
    <row r="39" spans="15:16" ht="12.75">
      <c r="O39">
        <f t="shared" si="6"/>
        <v>100</v>
      </c>
      <c r="P39">
        <f t="shared" si="5"/>
        <v>0.3405158897619476</v>
      </c>
    </row>
    <row r="40" spans="15:16" ht="12.75">
      <c r="O40">
        <f t="shared" si="6"/>
        <v>105</v>
      </c>
      <c r="P40">
        <f t="shared" si="5"/>
        <v>0.3476130645430997</v>
      </c>
    </row>
    <row r="41" spans="15:16" ht="12.75">
      <c r="O41">
        <f t="shared" si="6"/>
        <v>110</v>
      </c>
      <c r="P41">
        <f t="shared" si="5"/>
        <v>0.35463386160856125</v>
      </c>
    </row>
    <row r="42" spans="15:16" ht="12.75">
      <c r="O42">
        <f t="shared" si="6"/>
        <v>115</v>
      </c>
      <c r="P42">
        <f t="shared" si="5"/>
        <v>0.3615791029129315</v>
      </c>
    </row>
    <row r="43" spans="15:16" ht="12.75">
      <c r="O43">
        <f t="shared" si="6"/>
        <v>120</v>
      </c>
      <c r="P43">
        <f t="shared" si="5"/>
        <v>0.3684496015651755</v>
      </c>
    </row>
    <row r="44" spans="15:16" ht="12.75">
      <c r="O44">
        <f t="shared" si="6"/>
        <v>125</v>
      </c>
      <c r="P44">
        <f t="shared" si="5"/>
        <v>0.37524616192381743</v>
      </c>
    </row>
    <row r="45" spans="15:16" ht="12.75">
      <c r="O45">
        <f t="shared" si="6"/>
        <v>130</v>
      </c>
      <c r="P45">
        <f t="shared" si="5"/>
        <v>0.381969579691111</v>
      </c>
    </row>
    <row r="46" spans="15:16" ht="12.75">
      <c r="O46">
        <f t="shared" si="6"/>
        <v>135</v>
      </c>
      <c r="P46">
        <f t="shared" si="5"/>
        <v>0.38862064200619495</v>
      </c>
    </row>
    <row r="47" spans="15:16" ht="12.75">
      <c r="O47">
        <f t="shared" si="6"/>
        <v>140</v>
      </c>
      <c r="P47">
        <f t="shared" si="5"/>
        <v>0.395200127537248</v>
      </c>
    </row>
    <row r="48" spans="15:16" ht="12.75">
      <c r="O48">
        <f t="shared" si="6"/>
        <v>145</v>
      </c>
      <c r="P48">
        <f t="shared" si="5"/>
        <v>0.4017088065726492</v>
      </c>
    </row>
    <row r="49" spans="15:16" ht="12.75">
      <c r="O49">
        <f t="shared" si="6"/>
        <v>150</v>
      </c>
      <c r="P49">
        <f t="shared" si="5"/>
        <v>0.4081474411111603</v>
      </c>
    </row>
    <row r="50" spans="15:16" ht="12.75">
      <c r="O50">
        <f t="shared" si="6"/>
        <v>155</v>
      </c>
      <c r="P50">
        <f t="shared" si="5"/>
        <v>0.4145167849511354</v>
      </c>
    </row>
    <row r="51" spans="15:16" ht="12.75">
      <c r="O51">
        <f t="shared" si="6"/>
        <v>160</v>
      </c>
      <c r="P51">
        <f t="shared" si="5"/>
        <v>0.42081758377877165</v>
      </c>
    </row>
    <row r="52" spans="15:16" ht="12.75">
      <c r="O52">
        <f t="shared" si="6"/>
        <v>165</v>
      </c>
      <c r="P52">
        <f t="shared" si="5"/>
        <v>0.4270505752554098</v>
      </c>
    </row>
    <row r="53" spans="15:16" ht="12.75">
      <c r="O53">
        <f t="shared" si="6"/>
        <v>170</v>
      </c>
      <c r="P53">
        <f t="shared" si="5"/>
        <v>0.4332164891038952</v>
      </c>
    </row>
    <row r="54" spans="15:16" ht="12.75">
      <c r="O54">
        <f t="shared" si="6"/>
        <v>175</v>
      </c>
      <c r="P54">
        <f t="shared" si="5"/>
        <v>0.43931604719400996</v>
      </c>
    </row>
    <row r="55" spans="15:16" ht="12.75">
      <c r="O55">
        <f t="shared" si="6"/>
        <v>180</v>
      </c>
      <c r="P55">
        <f t="shared" si="5"/>
        <v>0.4453499636269851</v>
      </c>
    </row>
    <row r="56" spans="15:16" ht="12.75">
      <c r="O56">
        <f t="shared" si="6"/>
        <v>185</v>
      </c>
      <c r="P56">
        <f t="shared" si="5"/>
        <v>0.4513189448191032</v>
      </c>
    </row>
    <row r="57" spans="15:16" ht="12.75">
      <c r="O57">
        <f t="shared" si="6"/>
        <v>190</v>
      </c>
      <c r="P57">
        <f t="shared" si="5"/>
        <v>0.45722368958440174</v>
      </c>
    </row>
    <row r="58" spans="15:16" ht="12.75">
      <c r="O58">
        <f t="shared" si="6"/>
        <v>195</v>
      </c>
      <c r="P58">
        <f t="shared" si="5"/>
        <v>0.4630648892164868</v>
      </c>
    </row>
    <row r="59" spans="10:16" ht="12.75">
      <c r="J59" s="6"/>
      <c r="O59">
        <f t="shared" si="6"/>
        <v>200</v>
      </c>
      <c r="P59">
        <f t="shared" si="5"/>
        <v>0.4688432275694643</v>
      </c>
    </row>
    <row r="60" spans="15:16" ht="12.75">
      <c r="O60">
        <f t="shared" si="6"/>
        <v>205</v>
      </c>
      <c r="P60">
        <f t="shared" si="5"/>
        <v>0.47455938113800356</v>
      </c>
    </row>
    <row r="61" spans="15:16" ht="12.75">
      <c r="O61">
        <f t="shared" si="6"/>
        <v>210</v>
      </c>
      <c r="P61">
        <f t="shared" si="5"/>
        <v>0.48021401913653583</v>
      </c>
    </row>
    <row r="62" spans="15:16" ht="12.75">
      <c r="O62">
        <f t="shared" si="6"/>
        <v>215</v>
      </c>
      <c r="P62">
        <f t="shared" si="5"/>
        <v>0.4858078035776029</v>
      </c>
    </row>
    <row r="63" spans="15:16" ht="12.75">
      <c r="O63">
        <f t="shared" si="6"/>
        <v>220</v>
      </c>
      <c r="P63">
        <f t="shared" si="5"/>
        <v>0.49134138934936156</v>
      </c>
    </row>
    <row r="64" spans="15:16" ht="12.75">
      <c r="O64">
        <f t="shared" si="6"/>
        <v>225</v>
      </c>
      <c r="P64">
        <f t="shared" si="5"/>
        <v>0.4968154242922542</v>
      </c>
    </row>
    <row r="65" spans="15:16" ht="12.75">
      <c r="O65">
        <f t="shared" si="6"/>
        <v>230</v>
      </c>
      <c r="P65">
        <f t="shared" si="5"/>
        <v>0.5022305492748542</v>
      </c>
    </row>
    <row r="66" spans="15:16" ht="12.75">
      <c r="O66">
        <f t="shared" si="6"/>
        <v>235</v>
      </c>
      <c r="P66">
        <f t="shared" si="5"/>
        <v>0.5075873982688947</v>
      </c>
    </row>
    <row r="67" spans="15:16" ht="12.75">
      <c r="O67">
        <f t="shared" si="6"/>
        <v>240</v>
      </c>
      <c r="P67">
        <f t="shared" si="5"/>
        <v>0.5128865984234913</v>
      </c>
    </row>
    <row r="68" spans="15:16" ht="12.75">
      <c r="O68">
        <f t="shared" si="6"/>
        <v>245</v>
      </c>
      <c r="P68">
        <f t="shared" si="5"/>
        <v>0.5181287701385642</v>
      </c>
    </row>
    <row r="69" spans="15:16" ht="12.75">
      <c r="O69">
        <f t="shared" si="6"/>
        <v>250</v>
      </c>
      <c r="P69">
        <f aca="true" t="shared" si="8" ref="P69:P132">1-EXP(-$M$4)*EXP(-$M$3*$O69)</f>
        <v>0.523314527137472</v>
      </c>
    </row>
    <row r="70" spans="15:16" ht="12.75">
      <c r="O70">
        <f t="shared" si="6"/>
        <v>255</v>
      </c>
      <c r="P70">
        <f t="shared" si="8"/>
        <v>0.5284444765388612</v>
      </c>
    </row>
    <row r="71" spans="15:16" ht="12.75">
      <c r="O71">
        <f aca="true" t="shared" si="9" ref="O71:O134">O70+5</f>
        <v>260</v>
      </c>
      <c r="P71">
        <f t="shared" si="8"/>
        <v>0.5335192189277466</v>
      </c>
    </row>
    <row r="72" spans="15:16" ht="12.75">
      <c r="O72">
        <f t="shared" si="9"/>
        <v>265</v>
      </c>
      <c r="P72">
        <f t="shared" si="8"/>
        <v>0.5385393484258221</v>
      </c>
    </row>
    <row r="73" spans="15:16" ht="12.75">
      <c r="O73">
        <f t="shared" si="9"/>
        <v>270</v>
      </c>
      <c r="P73">
        <f t="shared" si="8"/>
        <v>0.5435054527610184</v>
      </c>
    </row>
    <row r="74" spans="15:16" ht="12.75">
      <c r="O74">
        <f t="shared" si="9"/>
        <v>275</v>
      </c>
      <c r="P74">
        <f t="shared" si="8"/>
        <v>0.5484181133363103</v>
      </c>
    </row>
    <row r="75" spans="15:16" ht="12.75">
      <c r="O75">
        <f t="shared" si="9"/>
        <v>280</v>
      </c>
      <c r="P75">
        <f t="shared" si="8"/>
        <v>0.5532779052977842</v>
      </c>
    </row>
    <row r="76" spans="15:16" ht="12.75">
      <c r="O76">
        <f t="shared" si="9"/>
        <v>285</v>
      </c>
      <c r="P76">
        <f t="shared" si="8"/>
        <v>0.5580853976019726</v>
      </c>
    </row>
    <row r="77" spans="15:16" ht="12.75">
      <c r="O77">
        <f t="shared" si="9"/>
        <v>290</v>
      </c>
      <c r="P77">
        <f t="shared" si="8"/>
        <v>0.5628411530824649</v>
      </c>
    </row>
    <row r="78" spans="15:16" ht="12.75">
      <c r="O78">
        <f t="shared" si="9"/>
        <v>295</v>
      </c>
      <c r="P78">
        <f t="shared" si="8"/>
        <v>0.5675457285157997</v>
      </c>
    </row>
    <row r="79" spans="15:16" ht="12.75">
      <c r="O79">
        <f t="shared" si="9"/>
        <v>300</v>
      </c>
      <c r="P79">
        <f t="shared" si="8"/>
        <v>0.5721996746866502</v>
      </c>
    </row>
    <row r="80" spans="15:16" ht="12.75">
      <c r="O80">
        <f t="shared" si="9"/>
        <v>305</v>
      </c>
      <c r="P80">
        <f t="shared" si="8"/>
        <v>0.5768035364523062</v>
      </c>
    </row>
    <row r="81" spans="15:16" ht="12.75">
      <c r="O81">
        <f t="shared" si="9"/>
        <v>310</v>
      </c>
      <c r="P81">
        <f t="shared" si="8"/>
        <v>0.5813578528064625</v>
      </c>
    </row>
    <row r="82" spans="15:16" ht="12.75">
      <c r="O82">
        <f t="shared" si="9"/>
        <v>315</v>
      </c>
      <c r="P82">
        <f t="shared" si="8"/>
        <v>0.5858631569423224</v>
      </c>
    </row>
    <row r="83" spans="15:16" ht="12.75">
      <c r="O83">
        <f t="shared" si="9"/>
        <v>320</v>
      </c>
      <c r="P83">
        <f t="shared" si="8"/>
        <v>0.5903199763150195</v>
      </c>
    </row>
    <row r="84" spans="15:16" ht="12.75">
      <c r="O84">
        <f t="shared" si="9"/>
        <v>325</v>
      </c>
      <c r="P84">
        <f t="shared" si="8"/>
        <v>0.5947288327033702</v>
      </c>
    </row>
    <row r="85" spans="15:16" ht="12.75">
      <c r="O85">
        <f t="shared" si="9"/>
        <v>330</v>
      </c>
      <c r="P85">
        <f t="shared" si="8"/>
        <v>0.5990902422709601</v>
      </c>
    </row>
    <row r="86" spans="15:16" ht="12.75">
      <c r="O86">
        <f t="shared" si="9"/>
        <v>335</v>
      </c>
      <c r="P86">
        <f t="shared" si="8"/>
        <v>0.6034047156265733</v>
      </c>
    </row>
    <row r="87" spans="15:16" ht="12.75">
      <c r="O87">
        <f t="shared" si="9"/>
        <v>340</v>
      </c>
      <c r="P87">
        <f t="shared" si="8"/>
        <v>0.6076727578839719</v>
      </c>
    </row>
    <row r="88" spans="15:16" ht="12.75">
      <c r="O88">
        <f t="shared" si="9"/>
        <v>345</v>
      </c>
      <c r="P88">
        <f t="shared" si="8"/>
        <v>0.6118948687210317</v>
      </c>
    </row>
    <row r="89" spans="15:16" ht="12.75">
      <c r="O89">
        <f t="shared" si="9"/>
        <v>350</v>
      </c>
      <c r="P89">
        <f t="shared" si="8"/>
        <v>0.6160715424382416</v>
      </c>
    </row>
    <row r="90" spans="15:16" ht="12.75">
      <c r="O90">
        <f t="shared" si="9"/>
        <v>355</v>
      </c>
      <c r="P90">
        <f t="shared" si="8"/>
        <v>0.6202032680165733</v>
      </c>
    </row>
    <row r="91" spans="15:16" ht="12.75">
      <c r="O91">
        <f t="shared" si="9"/>
        <v>360</v>
      </c>
      <c r="P91">
        <f t="shared" si="8"/>
        <v>0.6242905291747289</v>
      </c>
    </row>
    <row r="92" spans="15:16" ht="12.75">
      <c r="O92">
        <f t="shared" si="9"/>
        <v>365</v>
      </c>
      <c r="P92">
        <f t="shared" si="8"/>
        <v>0.6283338044257711</v>
      </c>
    </row>
    <row r="93" spans="15:16" ht="12.75">
      <c r="O93">
        <f t="shared" si="9"/>
        <v>370</v>
      </c>
      <c r="P93">
        <f t="shared" si="8"/>
        <v>0.6323335671331455</v>
      </c>
    </row>
    <row r="94" spans="15:16" ht="12.75">
      <c r="O94">
        <f t="shared" si="9"/>
        <v>375</v>
      </c>
      <c r="P94">
        <f t="shared" si="8"/>
        <v>0.636290285566099</v>
      </c>
    </row>
    <row r="95" spans="15:16" ht="12.75">
      <c r="O95">
        <f t="shared" si="9"/>
        <v>380</v>
      </c>
      <c r="P95">
        <f t="shared" si="8"/>
        <v>0.6402044229545018</v>
      </c>
    </row>
    <row r="96" spans="15:16" ht="12.75">
      <c r="O96">
        <f t="shared" si="9"/>
        <v>385</v>
      </c>
      <c r="P96">
        <f t="shared" si="8"/>
        <v>0.6440764375430801</v>
      </c>
    </row>
    <row r="97" spans="15:16" ht="12.75">
      <c r="O97">
        <f t="shared" si="9"/>
        <v>390</v>
      </c>
      <c r="P97">
        <f t="shared" si="8"/>
        <v>0.6479067826450648</v>
      </c>
    </row>
    <row r="98" spans="15:16" ht="12.75">
      <c r="O98">
        <f t="shared" si="9"/>
        <v>395</v>
      </c>
      <c r="P98">
        <f t="shared" si="8"/>
        <v>0.6516959066952623</v>
      </c>
    </row>
    <row r="99" spans="15:16" ht="12.75">
      <c r="O99">
        <f t="shared" si="9"/>
        <v>400</v>
      </c>
      <c r="P99">
        <f t="shared" si="8"/>
        <v>0.6554442533025553</v>
      </c>
    </row>
    <row r="100" spans="15:16" ht="12.75">
      <c r="O100">
        <f t="shared" si="9"/>
        <v>405</v>
      </c>
      <c r="P100">
        <f t="shared" si="8"/>
        <v>0.6591522613018375</v>
      </c>
    </row>
    <row r="101" spans="15:16" ht="12.75">
      <c r="O101">
        <f t="shared" si="9"/>
        <v>410</v>
      </c>
      <c r="P101">
        <f t="shared" si="8"/>
        <v>0.6628203648053899</v>
      </c>
    </row>
    <row r="102" spans="15:16" ht="12.75">
      <c r="O102">
        <f t="shared" si="9"/>
        <v>415</v>
      </c>
      <c r="P102">
        <f t="shared" si="8"/>
        <v>0.6664489932537045</v>
      </c>
    </row>
    <row r="103" spans="15:16" ht="12.75">
      <c r="O103">
        <f t="shared" si="9"/>
        <v>420</v>
      </c>
      <c r="P103">
        <f t="shared" si="8"/>
        <v>0.6700385714657605</v>
      </c>
    </row>
    <row r="104" spans="15:16" ht="12.75">
      <c r="O104">
        <f t="shared" si="9"/>
        <v>425</v>
      </c>
      <c r="P104">
        <f t="shared" si="8"/>
        <v>0.6735895196887598</v>
      </c>
    </row>
    <row r="105" spans="15:16" ht="12.75">
      <c r="O105">
        <f t="shared" si="9"/>
        <v>430</v>
      </c>
      <c r="P105">
        <f t="shared" si="8"/>
        <v>0.677102253647327</v>
      </c>
    </row>
    <row r="106" spans="15:16" ht="12.75">
      <c r="O106">
        <f t="shared" si="9"/>
        <v>435</v>
      </c>
      <c r="P106">
        <f t="shared" si="8"/>
        <v>0.68057718459218</v>
      </c>
    </row>
    <row r="107" spans="15:16" ht="12.75">
      <c r="O107">
        <f t="shared" si="9"/>
        <v>440</v>
      </c>
      <c r="P107">
        <f t="shared" si="8"/>
        <v>0.6840147193482771</v>
      </c>
    </row>
    <row r="108" spans="15:16" ht="12.75">
      <c r="O108">
        <f t="shared" si="9"/>
        <v>445</v>
      </c>
      <c r="P108">
        <f t="shared" si="8"/>
        <v>0.6874152603624452</v>
      </c>
    </row>
    <row r="109" spans="15:16" ht="12.75">
      <c r="O109">
        <f t="shared" si="9"/>
        <v>450</v>
      </c>
      <c r="P109">
        <f t="shared" si="8"/>
        <v>0.6907792057504968</v>
      </c>
    </row>
    <row r="110" spans="15:16" ht="12.75">
      <c r="O110">
        <f t="shared" si="9"/>
        <v>455</v>
      </c>
      <c r="P110">
        <f t="shared" si="8"/>
        <v>0.6941069493438385</v>
      </c>
    </row>
    <row r="111" spans="15:16" ht="12.75">
      <c r="O111">
        <f t="shared" si="9"/>
        <v>460</v>
      </c>
      <c r="P111">
        <f t="shared" si="8"/>
        <v>0.6973988807355789</v>
      </c>
    </row>
    <row r="112" spans="15:16" ht="12.75">
      <c r="O112">
        <f t="shared" si="9"/>
        <v>465</v>
      </c>
      <c r="P112">
        <f t="shared" si="8"/>
        <v>0.7006553853261392</v>
      </c>
    </row>
    <row r="113" spans="15:16" ht="12.75">
      <c r="O113">
        <f t="shared" si="9"/>
        <v>470</v>
      </c>
      <c r="P113">
        <f t="shared" si="8"/>
        <v>0.7038768443683748</v>
      </c>
    </row>
    <row r="114" spans="15:16" ht="12.75">
      <c r="O114">
        <f t="shared" si="9"/>
        <v>475</v>
      </c>
      <c r="P114">
        <f t="shared" si="8"/>
        <v>0.707063635012209</v>
      </c>
    </row>
    <row r="115" spans="15:16" ht="12.75">
      <c r="O115">
        <f t="shared" si="9"/>
        <v>480</v>
      </c>
      <c r="P115">
        <f t="shared" si="8"/>
        <v>0.7102161303487885</v>
      </c>
    </row>
    <row r="116" spans="15:16" ht="12.75">
      <c r="O116">
        <f t="shared" si="9"/>
        <v>485</v>
      </c>
      <c r="P116">
        <f t="shared" si="8"/>
        <v>0.7133346994541622</v>
      </c>
    </row>
    <row r="117" spans="15:16" ht="12.75">
      <c r="O117">
        <f t="shared" si="9"/>
        <v>490</v>
      </c>
      <c r="P117">
        <f t="shared" si="8"/>
        <v>0.7164197074324907</v>
      </c>
    </row>
    <row r="118" spans="15:16" ht="12.75">
      <c r="O118">
        <f t="shared" si="9"/>
        <v>495</v>
      </c>
      <c r="P118">
        <f t="shared" si="8"/>
        <v>0.7194715154587908</v>
      </c>
    </row>
    <row r="119" spans="15:16" ht="12.75">
      <c r="O119">
        <f t="shared" si="9"/>
        <v>500</v>
      </c>
      <c r="P119">
        <f t="shared" si="8"/>
        <v>0.7224904808212194</v>
      </c>
    </row>
    <row r="120" spans="15:16" ht="12.75">
      <c r="O120">
        <f t="shared" si="9"/>
        <v>505</v>
      </c>
      <c r="P120">
        <f t="shared" si="8"/>
        <v>0.7254769569629029</v>
      </c>
    </row>
    <row r="121" spans="15:16" ht="12.75">
      <c r="O121">
        <f t="shared" si="9"/>
        <v>510</v>
      </c>
      <c r="P121">
        <f t="shared" si="8"/>
        <v>0.7284312935233163</v>
      </c>
    </row>
    <row r="122" spans="15:16" ht="12.75">
      <c r="O122">
        <f t="shared" si="9"/>
        <v>515</v>
      </c>
      <c r="P122">
        <f t="shared" si="8"/>
        <v>0.7313538363792171</v>
      </c>
    </row>
    <row r="123" spans="15:16" ht="12.75">
      <c r="O123">
        <f t="shared" si="9"/>
        <v>520</v>
      </c>
      <c r="P123">
        <f t="shared" si="8"/>
        <v>0.7342449276851388</v>
      </c>
    </row>
    <row r="124" spans="15:16" ht="12.75">
      <c r="O124">
        <f t="shared" si="9"/>
        <v>525</v>
      </c>
      <c r="P124">
        <f t="shared" si="8"/>
        <v>0.7371049059134474</v>
      </c>
    </row>
    <row r="125" spans="15:16" ht="12.75">
      <c r="O125">
        <f t="shared" si="9"/>
        <v>530</v>
      </c>
      <c r="P125">
        <f t="shared" si="8"/>
        <v>0.7399341058939688</v>
      </c>
    </row>
    <row r="126" spans="15:16" ht="12.75">
      <c r="O126">
        <f t="shared" si="9"/>
        <v>535</v>
      </c>
      <c r="P126">
        <f t="shared" si="8"/>
        <v>0.7427328588531885</v>
      </c>
    </row>
    <row r="127" spans="15:16" ht="12.75">
      <c r="O127">
        <f t="shared" si="9"/>
        <v>540</v>
      </c>
      <c r="P127">
        <f t="shared" si="8"/>
        <v>0.7455014924530294</v>
      </c>
    </row>
    <row r="128" spans="15:16" ht="12.75">
      <c r="O128">
        <f t="shared" si="9"/>
        <v>545</v>
      </c>
      <c r="P128">
        <f t="shared" si="8"/>
        <v>0.7482403308292129</v>
      </c>
    </row>
    <row r="129" spans="15:16" ht="12.75">
      <c r="O129">
        <f t="shared" si="9"/>
        <v>550</v>
      </c>
      <c r="P129">
        <f t="shared" si="8"/>
        <v>0.7509496946292067</v>
      </c>
    </row>
    <row r="130" spans="15:16" ht="12.75">
      <c r="O130">
        <f t="shared" si="9"/>
        <v>555</v>
      </c>
      <c r="P130">
        <f t="shared" si="8"/>
        <v>0.7536299010497645</v>
      </c>
    </row>
    <row r="131" spans="15:16" ht="12.75">
      <c r="O131">
        <f t="shared" si="9"/>
        <v>560</v>
      </c>
      <c r="P131">
        <f t="shared" si="8"/>
        <v>0.7562812638740611</v>
      </c>
    </row>
    <row r="132" spans="15:16" ht="12.75">
      <c r="O132">
        <f t="shared" si="9"/>
        <v>565</v>
      </c>
      <c r="P132">
        <f t="shared" si="8"/>
        <v>0.7589040935084292</v>
      </c>
    </row>
    <row r="133" spans="15:16" ht="12.75">
      <c r="O133">
        <f t="shared" si="9"/>
        <v>570</v>
      </c>
      <c r="P133">
        <f aca="true" t="shared" si="10" ref="P133:P196">1-EXP(-$M$4)*EXP(-$M$3*$O133)</f>
        <v>0.7614986970186993</v>
      </c>
    </row>
    <row r="134" spans="15:16" ht="12.75">
      <c r="O134">
        <f t="shared" si="9"/>
        <v>575</v>
      </c>
      <c r="P134">
        <f t="shared" si="10"/>
        <v>0.7640653781661493</v>
      </c>
    </row>
    <row r="135" spans="15:16" ht="12.75">
      <c r="O135">
        <f aca="true" t="shared" si="11" ref="O135:O198">O134+5</f>
        <v>580</v>
      </c>
      <c r="P135">
        <f t="shared" si="10"/>
        <v>0.7666044374430672</v>
      </c>
    </row>
    <row r="136" spans="15:16" ht="12.75">
      <c r="O136">
        <f t="shared" si="11"/>
        <v>585</v>
      </c>
      <c r="P136">
        <f t="shared" si="10"/>
        <v>0.7691161721079312</v>
      </c>
    </row>
    <row r="137" spans="15:16" ht="12.75">
      <c r="O137">
        <f t="shared" si="11"/>
        <v>590</v>
      </c>
      <c r="P137">
        <f t="shared" si="10"/>
        <v>0.7716008762202106</v>
      </c>
    </row>
    <row r="138" spans="15:16" ht="12.75">
      <c r="O138">
        <f t="shared" si="11"/>
        <v>595</v>
      </c>
      <c r="P138">
        <f t="shared" si="10"/>
        <v>0.7740588406747931</v>
      </c>
    </row>
    <row r="139" spans="15:16" ht="12.75">
      <c r="O139">
        <f t="shared" si="11"/>
        <v>600</v>
      </c>
      <c r="P139">
        <f t="shared" si="10"/>
        <v>0.7764903532360409</v>
      </c>
    </row>
    <row r="140" spans="15:16" ht="12.75">
      <c r="O140">
        <f t="shared" si="11"/>
        <v>605</v>
      </c>
      <c r="P140">
        <f t="shared" si="10"/>
        <v>0.7788956985714801</v>
      </c>
    </row>
    <row r="141" spans="15:16" ht="12.75">
      <c r="O141">
        <f t="shared" si="11"/>
        <v>610</v>
      </c>
      <c r="P141">
        <f t="shared" si="10"/>
        <v>0.7812751582851286</v>
      </c>
    </row>
    <row r="142" spans="15:16" ht="12.75">
      <c r="O142">
        <f t="shared" si="11"/>
        <v>615</v>
      </c>
      <c r="P142">
        <f t="shared" si="10"/>
        <v>0.7836290109504641</v>
      </c>
    </row>
    <row r="143" spans="15:16" ht="12.75">
      <c r="O143">
        <f t="shared" si="11"/>
        <v>620</v>
      </c>
      <c r="P143">
        <f t="shared" si="10"/>
        <v>0.7859575321430384</v>
      </c>
    </row>
    <row r="144" spans="15:16" ht="12.75">
      <c r="O144">
        <f t="shared" si="11"/>
        <v>625</v>
      </c>
      <c r="P144">
        <f t="shared" si="10"/>
        <v>0.7882609944727398</v>
      </c>
    </row>
    <row r="145" spans="15:16" ht="12.75">
      <c r="O145">
        <f t="shared" si="11"/>
        <v>630</v>
      </c>
      <c r="P145">
        <f t="shared" si="10"/>
        <v>0.7905396676157088</v>
      </c>
    </row>
    <row r="146" spans="15:16" ht="12.75">
      <c r="O146">
        <f t="shared" si="11"/>
        <v>635</v>
      </c>
      <c r="P146">
        <f t="shared" si="10"/>
        <v>0.7927938183459106</v>
      </c>
    </row>
    <row r="147" spans="15:16" ht="12.75">
      <c r="O147">
        <f t="shared" si="11"/>
        <v>640</v>
      </c>
      <c r="P147">
        <f t="shared" si="10"/>
        <v>0.7950237105663667</v>
      </c>
    </row>
    <row r="148" spans="15:16" ht="12.75">
      <c r="O148">
        <f t="shared" si="11"/>
        <v>645</v>
      </c>
      <c r="P148">
        <f t="shared" si="10"/>
        <v>0.7972296053400518</v>
      </c>
    </row>
    <row r="149" spans="15:16" ht="12.75">
      <c r="O149">
        <f t="shared" si="11"/>
        <v>650</v>
      </c>
      <c r="P149">
        <f t="shared" si="10"/>
        <v>0.7994117609204574</v>
      </c>
    </row>
    <row r="150" spans="15:16" ht="12.75">
      <c r="O150">
        <f t="shared" si="11"/>
        <v>655</v>
      </c>
      <c r="P150">
        <f t="shared" si="10"/>
        <v>0.8015704327818267</v>
      </c>
    </row>
    <row r="151" spans="15:16" ht="12.75">
      <c r="O151">
        <f t="shared" si="11"/>
        <v>660</v>
      </c>
      <c r="P151">
        <f t="shared" si="10"/>
        <v>0.8037058736490637</v>
      </c>
    </row>
    <row r="152" spans="15:16" ht="12.75">
      <c r="O152">
        <f t="shared" si="11"/>
        <v>665</v>
      </c>
      <c r="P152">
        <f t="shared" si="10"/>
        <v>0.805818333527321</v>
      </c>
    </row>
    <row r="153" spans="15:16" ht="12.75">
      <c r="O153">
        <f t="shared" si="11"/>
        <v>670</v>
      </c>
      <c r="P153">
        <f t="shared" si="10"/>
        <v>0.8079080597312693</v>
      </c>
    </row>
    <row r="154" spans="15:16" ht="12.75">
      <c r="O154">
        <f t="shared" si="11"/>
        <v>675</v>
      </c>
      <c r="P154">
        <f t="shared" si="10"/>
        <v>0.809975296914051</v>
      </c>
    </row>
    <row r="155" spans="15:16" ht="12.75">
      <c r="O155">
        <f t="shared" si="11"/>
        <v>680</v>
      </c>
      <c r="P155">
        <f t="shared" si="10"/>
        <v>0.8120202870959232</v>
      </c>
    </row>
    <row r="156" spans="15:16" ht="12.75">
      <c r="O156">
        <f t="shared" si="11"/>
        <v>685</v>
      </c>
      <c r="P156">
        <f t="shared" si="10"/>
        <v>0.8140432696925918</v>
      </c>
    </row>
    <row r="157" spans="15:16" ht="12.75">
      <c r="O157">
        <f t="shared" si="11"/>
        <v>690</v>
      </c>
      <c r="P157">
        <f t="shared" si="10"/>
        <v>0.8160444815432409</v>
      </c>
    </row>
    <row r="158" spans="15:16" ht="12.75">
      <c r="O158">
        <f t="shared" si="11"/>
        <v>695</v>
      </c>
      <c r="P158">
        <f t="shared" si="10"/>
        <v>0.8180241569382611</v>
      </c>
    </row>
    <row r="159" spans="15:16" ht="12.75">
      <c r="O159">
        <f t="shared" si="11"/>
        <v>700</v>
      </c>
      <c r="P159">
        <f t="shared" si="10"/>
        <v>0.8199825276466782</v>
      </c>
    </row>
    <row r="160" spans="15:16" ht="12.75">
      <c r="O160">
        <f t="shared" si="11"/>
        <v>705</v>
      </c>
      <c r="P160">
        <f t="shared" si="10"/>
        <v>0.8219198229432875</v>
      </c>
    </row>
    <row r="161" spans="15:16" ht="12.75">
      <c r="O161">
        <f t="shared" si="11"/>
        <v>710</v>
      </c>
      <c r="P161">
        <f t="shared" si="10"/>
        <v>0.8238362696354963</v>
      </c>
    </row>
    <row r="162" spans="15:16" ht="12.75">
      <c r="O162">
        <f t="shared" si="11"/>
        <v>715</v>
      </c>
      <c r="P162">
        <f t="shared" si="10"/>
        <v>0.8257320920898771</v>
      </c>
    </row>
    <row r="163" spans="15:16" ht="12.75">
      <c r="O163">
        <f t="shared" si="11"/>
        <v>720</v>
      </c>
      <c r="P163">
        <f t="shared" si="10"/>
        <v>0.827607512258435</v>
      </c>
    </row>
    <row r="164" spans="15:16" ht="12.75">
      <c r="O164">
        <f t="shared" si="11"/>
        <v>725</v>
      </c>
      <c r="P164">
        <f t="shared" si="10"/>
        <v>0.8294627497045924</v>
      </c>
    </row>
    <row r="165" spans="15:16" ht="12.75">
      <c r="O165">
        <f t="shared" si="11"/>
        <v>730</v>
      </c>
      <c r="P165">
        <f t="shared" si="10"/>
        <v>0.831298021628895</v>
      </c>
    </row>
    <row r="166" spans="15:16" ht="12.75">
      <c r="O166">
        <f t="shared" si="11"/>
        <v>735</v>
      </c>
      <c r="P166">
        <f t="shared" si="10"/>
        <v>0.8331135428944395</v>
      </c>
    </row>
    <row r="167" spans="15:16" ht="12.75">
      <c r="O167">
        <f t="shared" si="11"/>
        <v>740</v>
      </c>
      <c r="P167">
        <f t="shared" si="10"/>
        <v>0.834909526052029</v>
      </c>
    </row>
    <row r="168" spans="15:16" ht="12.75">
      <c r="O168">
        <f t="shared" si="11"/>
        <v>745</v>
      </c>
      <c r="P168">
        <f t="shared" si="10"/>
        <v>0.836686181365057</v>
      </c>
    </row>
    <row r="169" spans="15:16" ht="12.75">
      <c r="O169">
        <f t="shared" si="11"/>
        <v>750</v>
      </c>
      <c r="P169">
        <f t="shared" si="10"/>
        <v>0.8384437168341241</v>
      </c>
    </row>
    <row r="170" spans="15:16" ht="12.75">
      <c r="O170">
        <f t="shared" si="11"/>
        <v>755</v>
      </c>
      <c r="P170">
        <f t="shared" si="10"/>
        <v>0.8401823382213895</v>
      </c>
    </row>
    <row r="171" spans="15:16" ht="12.75">
      <c r="O171">
        <f t="shared" si="11"/>
        <v>760</v>
      </c>
      <c r="P171">
        <f t="shared" si="10"/>
        <v>0.8419022490746599</v>
      </c>
    </row>
    <row r="172" spans="15:16" ht="12.75">
      <c r="O172">
        <f t="shared" si="11"/>
        <v>765</v>
      </c>
      <c r="P172">
        <f t="shared" si="10"/>
        <v>0.8436036507512207</v>
      </c>
    </row>
    <row r="173" spans="15:16" ht="12.75">
      <c r="O173">
        <f t="shared" si="11"/>
        <v>770</v>
      </c>
      <c r="P173">
        <f t="shared" si="10"/>
        <v>0.8452867424414087</v>
      </c>
    </row>
    <row r="174" spans="15:16" ht="12.75">
      <c r="O174">
        <f t="shared" si="11"/>
        <v>775</v>
      </c>
      <c r="P174">
        <f t="shared" si="10"/>
        <v>0.846951721191933</v>
      </c>
    </row>
    <row r="175" spans="15:16" ht="12.75">
      <c r="O175">
        <f t="shared" si="11"/>
        <v>780</v>
      </c>
      <c r="P175">
        <f t="shared" si="10"/>
        <v>0.8485987819289433</v>
      </c>
    </row>
    <row r="176" spans="15:16" ht="12.75">
      <c r="O176">
        <f t="shared" si="11"/>
        <v>785</v>
      </c>
      <c r="P176">
        <f t="shared" si="10"/>
        <v>0.8502281174808518</v>
      </c>
    </row>
    <row r="177" spans="15:16" ht="12.75">
      <c r="O177">
        <f t="shared" si="11"/>
        <v>790</v>
      </c>
      <c r="P177">
        <f t="shared" si="10"/>
        <v>0.8518399186009075</v>
      </c>
    </row>
    <row r="178" spans="15:16" ht="12.75">
      <c r="O178">
        <f t="shared" si="11"/>
        <v>795</v>
      </c>
      <c r="P178">
        <f t="shared" si="10"/>
        <v>0.8534343739895286</v>
      </c>
    </row>
    <row r="179" spans="15:16" ht="12.75">
      <c r="O179">
        <f t="shared" si="11"/>
        <v>800</v>
      </c>
      <c r="P179">
        <f t="shared" si="10"/>
        <v>0.855011670316395</v>
      </c>
    </row>
    <row r="180" spans="15:16" ht="12.75">
      <c r="O180">
        <f t="shared" si="11"/>
        <v>805</v>
      </c>
      <c r="P180">
        <f t="shared" si="10"/>
        <v>0.8565719922423023</v>
      </c>
    </row>
    <row r="181" spans="15:16" ht="12.75">
      <c r="O181">
        <f t="shared" si="11"/>
        <v>810</v>
      </c>
      <c r="P181">
        <f t="shared" si="10"/>
        <v>0.8581155224407803</v>
      </c>
    </row>
    <row r="182" spans="15:16" ht="12.75">
      <c r="O182">
        <f t="shared" si="11"/>
        <v>815</v>
      </c>
      <c r="P182">
        <f t="shared" si="10"/>
        <v>0.85964244161948</v>
      </c>
    </row>
    <row r="183" spans="15:16" ht="12.75">
      <c r="O183">
        <f t="shared" si="11"/>
        <v>820</v>
      </c>
      <c r="P183">
        <f t="shared" si="10"/>
        <v>0.8611529285413299</v>
      </c>
    </row>
    <row r="184" spans="15:16" ht="12.75">
      <c r="O184">
        <f t="shared" si="11"/>
        <v>825</v>
      </c>
      <c r="P184">
        <f t="shared" si="10"/>
        <v>0.8626471600454635</v>
      </c>
    </row>
    <row r="185" spans="15:16" ht="12.75">
      <c r="O185">
        <f t="shared" si="11"/>
        <v>830</v>
      </c>
      <c r="P185">
        <f t="shared" si="10"/>
        <v>0.8641253110679242</v>
      </c>
    </row>
    <row r="186" spans="15:16" ht="12.75">
      <c r="O186">
        <f t="shared" si="11"/>
        <v>835</v>
      </c>
      <c r="P186">
        <f t="shared" si="10"/>
        <v>0.8655875546621445</v>
      </c>
    </row>
    <row r="187" spans="15:16" ht="12.75">
      <c r="O187">
        <f t="shared" si="11"/>
        <v>840</v>
      </c>
      <c r="P187">
        <f t="shared" si="10"/>
        <v>0.8670340620192064</v>
      </c>
    </row>
    <row r="188" spans="15:16" ht="12.75">
      <c r="O188">
        <f t="shared" si="11"/>
        <v>845</v>
      </c>
      <c r="P188">
        <f t="shared" si="10"/>
        <v>0.8684650024878842</v>
      </c>
    </row>
    <row r="189" spans="15:16" ht="12.75">
      <c r="O189">
        <f t="shared" si="11"/>
        <v>850</v>
      </c>
      <c r="P189">
        <f t="shared" si="10"/>
        <v>0.8698805435944695</v>
      </c>
    </row>
    <row r="190" spans="15:16" ht="12.75">
      <c r="O190">
        <f t="shared" si="11"/>
        <v>855</v>
      </c>
      <c r="P190">
        <f t="shared" si="10"/>
        <v>0.871280851062386</v>
      </c>
    </row>
    <row r="191" spans="15:16" ht="12.75">
      <c r="O191">
        <f t="shared" si="11"/>
        <v>860</v>
      </c>
      <c r="P191">
        <f t="shared" si="10"/>
        <v>0.8726660888315896</v>
      </c>
    </row>
    <row r="192" spans="15:16" ht="12.75">
      <c r="O192">
        <f t="shared" si="11"/>
        <v>865</v>
      </c>
      <c r="P192">
        <f t="shared" si="10"/>
        <v>0.874036419077763</v>
      </c>
    </row>
    <row r="193" spans="15:16" ht="12.75">
      <c r="O193">
        <f t="shared" si="11"/>
        <v>870</v>
      </c>
      <c r="P193">
        <f t="shared" si="10"/>
        <v>0.8753920022313012</v>
      </c>
    </row>
    <row r="194" spans="15:16" ht="12.75">
      <c r="O194">
        <f t="shared" si="11"/>
        <v>875</v>
      </c>
      <c r="P194">
        <f t="shared" si="10"/>
        <v>0.876732996996095</v>
      </c>
    </row>
    <row r="195" spans="15:16" ht="12.75">
      <c r="O195">
        <f t="shared" si="11"/>
        <v>880</v>
      </c>
      <c r="P195">
        <f t="shared" si="10"/>
        <v>0.8780595603681096</v>
      </c>
    </row>
    <row r="196" spans="15:16" ht="12.75">
      <c r="O196">
        <f t="shared" si="11"/>
        <v>885</v>
      </c>
      <c r="P196">
        <f t="shared" si="10"/>
        <v>0.8793718476537664</v>
      </c>
    </row>
    <row r="197" spans="15:16" ht="12.75">
      <c r="O197">
        <f t="shared" si="11"/>
        <v>890</v>
      </c>
      <c r="P197">
        <f aca="true" t="shared" si="12" ref="P197:P260">1-EXP(-$M$4)*EXP(-$M$3*$O197)</f>
        <v>0.880670012488124</v>
      </c>
    </row>
    <row r="198" spans="15:16" ht="12.75">
      <c r="O198">
        <f t="shared" si="11"/>
        <v>895</v>
      </c>
      <c r="P198">
        <f t="shared" si="12"/>
        <v>0.8819542068528659</v>
      </c>
    </row>
    <row r="199" spans="15:16" ht="12.75">
      <c r="O199">
        <f aca="true" t="shared" si="13" ref="O199:O262">O198+5</f>
        <v>900</v>
      </c>
      <c r="P199">
        <f t="shared" si="12"/>
        <v>0.8832245810940929</v>
      </c>
    </row>
    <row r="200" spans="15:16" ht="12.75">
      <c r="O200">
        <f t="shared" si="13"/>
        <v>905</v>
      </c>
      <c r="P200">
        <f t="shared" si="12"/>
        <v>0.8844812839399254</v>
      </c>
    </row>
    <row r="201" spans="15:16" ht="12.75">
      <c r="O201">
        <f t="shared" si="13"/>
        <v>910</v>
      </c>
      <c r="P201">
        <f t="shared" si="12"/>
        <v>0.8857244625179151</v>
      </c>
    </row>
    <row r="202" spans="15:16" ht="12.75">
      <c r="O202">
        <f t="shared" si="13"/>
        <v>915</v>
      </c>
      <c r="P202">
        <f t="shared" si="12"/>
        <v>0.8869542623722706</v>
      </c>
    </row>
    <row r="203" spans="15:16" ht="12.75">
      <c r="O203">
        <f t="shared" si="13"/>
        <v>920</v>
      </c>
      <c r="P203">
        <f t="shared" si="12"/>
        <v>0.8881708274808957</v>
      </c>
    </row>
    <row r="204" spans="15:16" ht="12.75">
      <c r="O204">
        <f t="shared" si="13"/>
        <v>925</v>
      </c>
      <c r="P204">
        <f t="shared" si="12"/>
        <v>0.8893743002722465</v>
      </c>
    </row>
    <row r="205" spans="15:16" ht="12.75">
      <c r="O205">
        <f t="shared" si="13"/>
        <v>930</v>
      </c>
      <c r="P205">
        <f t="shared" si="12"/>
        <v>0.8905648216420058</v>
      </c>
    </row>
    <row r="206" spans="15:16" ht="12.75">
      <c r="O206">
        <f t="shared" si="13"/>
        <v>935</v>
      </c>
      <c r="P206">
        <f t="shared" si="12"/>
        <v>0.8917425309695783</v>
      </c>
    </row>
    <row r="207" spans="15:16" ht="12.75">
      <c r="O207">
        <f t="shared" si="13"/>
        <v>940</v>
      </c>
      <c r="P207">
        <f t="shared" si="12"/>
        <v>0.8929075661344085</v>
      </c>
    </row>
    <row r="208" spans="15:16" ht="12.75">
      <c r="O208">
        <f t="shared" si="13"/>
        <v>945</v>
      </c>
      <c r="P208">
        <f t="shared" si="12"/>
        <v>0.8940600635321224</v>
      </c>
    </row>
    <row r="209" spans="15:16" ht="12.75">
      <c r="O209">
        <f t="shared" si="13"/>
        <v>950</v>
      </c>
      <c r="P209">
        <f t="shared" si="12"/>
        <v>0.8952001580904967</v>
      </c>
    </row>
    <row r="210" spans="15:16" ht="12.75">
      <c r="O210">
        <f t="shared" si="13"/>
        <v>955</v>
      </c>
      <c r="P210">
        <f t="shared" si="12"/>
        <v>0.8963279832852544</v>
      </c>
    </row>
    <row r="211" spans="15:16" ht="12.75">
      <c r="O211">
        <f t="shared" si="13"/>
        <v>960</v>
      </c>
      <c r="P211">
        <f t="shared" si="12"/>
        <v>0.8974436711556922</v>
      </c>
    </row>
    <row r="212" spans="15:16" ht="12.75">
      <c r="O212">
        <f t="shared" si="13"/>
        <v>965</v>
      </c>
      <c r="P212">
        <f t="shared" si="12"/>
        <v>0.8985473523201386</v>
      </c>
    </row>
    <row r="213" spans="15:16" ht="12.75">
      <c r="O213">
        <f t="shared" si="13"/>
        <v>970</v>
      </c>
      <c r="P213">
        <f t="shared" si="12"/>
        <v>0.8996391559912456</v>
      </c>
    </row>
    <row r="214" spans="15:16" ht="12.75">
      <c r="O214">
        <f t="shared" si="13"/>
        <v>975</v>
      </c>
      <c r="P214">
        <f t="shared" si="12"/>
        <v>0.9007192099911167</v>
      </c>
    </row>
    <row r="215" spans="15:16" ht="12.75">
      <c r="O215">
        <f t="shared" si="13"/>
        <v>980</v>
      </c>
      <c r="P215">
        <f t="shared" si="12"/>
        <v>0.9017876407662714</v>
      </c>
    </row>
    <row r="216" spans="15:16" ht="12.75">
      <c r="O216">
        <f t="shared" si="13"/>
        <v>985</v>
      </c>
      <c r="P216">
        <f t="shared" si="12"/>
        <v>0.902844573402449</v>
      </c>
    </row>
    <row r="217" spans="15:16" ht="12.75">
      <c r="O217">
        <f t="shared" si="13"/>
        <v>990</v>
      </c>
      <c r="P217">
        <f t="shared" si="12"/>
        <v>0.9038901316392521</v>
      </c>
    </row>
    <row r="218" spans="15:16" ht="12.75">
      <c r="O218">
        <f t="shared" si="13"/>
        <v>995</v>
      </c>
      <c r="P218">
        <f t="shared" si="12"/>
        <v>0.9049244378846346</v>
      </c>
    </row>
    <row r="219" spans="15:16" ht="12.75">
      <c r="O219">
        <f t="shared" si="13"/>
        <v>1000</v>
      </c>
      <c r="P219">
        <f t="shared" si="12"/>
        <v>0.9059476132292316</v>
      </c>
    </row>
    <row r="220" spans="15:16" ht="12.75">
      <c r="O220">
        <f t="shared" si="13"/>
        <v>1005</v>
      </c>
      <c r="P220">
        <f t="shared" si="12"/>
        <v>0.9069597774605361</v>
      </c>
    </row>
    <row r="221" spans="15:16" ht="12.75">
      <c r="O221">
        <f t="shared" si="13"/>
        <v>1010</v>
      </c>
      <c r="P221">
        <f t="shared" si="12"/>
        <v>0.9079610490769235</v>
      </c>
    </row>
    <row r="222" spans="15:16" ht="12.75">
      <c r="O222">
        <f t="shared" si="13"/>
        <v>1015</v>
      </c>
      <c r="P222">
        <f t="shared" si="12"/>
        <v>0.9089515453015242</v>
      </c>
    </row>
    <row r="223" spans="15:16" ht="12.75">
      <c r="O223">
        <f t="shared" si="13"/>
        <v>1020</v>
      </c>
      <c r="P223">
        <f t="shared" si="12"/>
        <v>0.9099313820959477</v>
      </c>
    </row>
    <row r="224" spans="15:16" ht="12.75">
      <c r="O224">
        <f t="shared" si="13"/>
        <v>1025</v>
      </c>
      <c r="P224">
        <f t="shared" si="12"/>
        <v>0.9109006741738587</v>
      </c>
    </row>
    <row r="225" spans="15:16" ht="12.75">
      <c r="O225">
        <f t="shared" si="13"/>
        <v>1030</v>
      </c>
      <c r="P225">
        <f t="shared" si="12"/>
        <v>0.9118595350144066</v>
      </c>
    </row>
    <row r="226" spans="15:16" ht="12.75">
      <c r="O226">
        <f t="shared" si="13"/>
        <v>1035</v>
      </c>
      <c r="P226">
        <f t="shared" si="12"/>
        <v>0.9128080768755124</v>
      </c>
    </row>
    <row r="227" spans="15:16" ht="12.75">
      <c r="O227">
        <f t="shared" si="13"/>
        <v>1040</v>
      </c>
      <c r="P227">
        <f t="shared" si="12"/>
        <v>0.913746410807009</v>
      </c>
    </row>
    <row r="228" spans="15:16" ht="12.75">
      <c r="O228">
        <f t="shared" si="13"/>
        <v>1045</v>
      </c>
      <c r="P228">
        <f t="shared" si="12"/>
        <v>0.9146746466636445</v>
      </c>
    </row>
    <row r="229" spans="15:16" ht="12.75">
      <c r="O229">
        <f t="shared" si="13"/>
        <v>1050</v>
      </c>
      <c r="P229">
        <f t="shared" si="12"/>
        <v>0.9155928931179421</v>
      </c>
    </row>
    <row r="230" spans="15:16" ht="12.75">
      <c r="O230">
        <f t="shared" si="13"/>
        <v>1055</v>
      </c>
      <c r="P230">
        <f t="shared" si="12"/>
        <v>0.916501257672923</v>
      </c>
    </row>
    <row r="231" spans="15:16" ht="12.75">
      <c r="O231">
        <f t="shared" si="13"/>
        <v>1060</v>
      </c>
      <c r="P231">
        <f t="shared" si="12"/>
        <v>0.9173998466746924</v>
      </c>
    </row>
    <row r="232" spans="15:16" ht="12.75">
      <c r="O232">
        <f t="shared" si="13"/>
        <v>1065</v>
      </c>
      <c r="P232">
        <f t="shared" si="12"/>
        <v>0.9182887653248902</v>
      </c>
    </row>
    <row r="233" spans="15:16" ht="12.75">
      <c r="O233">
        <f t="shared" si="13"/>
        <v>1070</v>
      </c>
      <c r="P233">
        <f t="shared" si="12"/>
        <v>0.9191681176930067</v>
      </c>
    </row>
    <row r="234" spans="15:16" ht="12.75">
      <c r="O234">
        <f t="shared" si="13"/>
        <v>1075</v>
      </c>
      <c r="P234">
        <f t="shared" si="12"/>
        <v>0.9200380067285668</v>
      </c>
    </row>
    <row r="235" spans="15:16" ht="12.75">
      <c r="O235">
        <f t="shared" si="13"/>
        <v>1080</v>
      </c>
      <c r="P235">
        <f t="shared" si="12"/>
        <v>0.9208985342731831</v>
      </c>
    </row>
    <row r="236" spans="15:16" ht="12.75">
      <c r="O236">
        <f t="shared" si="13"/>
        <v>1085</v>
      </c>
      <c r="P236">
        <f t="shared" si="12"/>
        <v>0.9217498010724786</v>
      </c>
    </row>
    <row r="237" spans="15:16" ht="12.75">
      <c r="O237">
        <f t="shared" si="13"/>
        <v>1090</v>
      </c>
      <c r="P237">
        <f t="shared" si="12"/>
        <v>0.922591906787881</v>
      </c>
    </row>
    <row r="238" spans="15:16" ht="12.75">
      <c r="O238">
        <f t="shared" si="13"/>
        <v>1095</v>
      </c>
      <c r="P238">
        <f t="shared" si="12"/>
        <v>0.9234249500082913</v>
      </c>
    </row>
    <row r="239" spans="15:16" ht="12.75">
      <c r="O239">
        <f t="shared" si="13"/>
        <v>1100</v>
      </c>
      <c r="P239">
        <f t="shared" si="12"/>
        <v>0.9242490282616255</v>
      </c>
    </row>
    <row r="240" spans="15:16" ht="12.75">
      <c r="O240">
        <f t="shared" si="13"/>
        <v>1105</v>
      </c>
      <c r="P240">
        <f t="shared" si="12"/>
        <v>0.9250642380262327</v>
      </c>
    </row>
    <row r="241" spans="15:16" ht="12.75">
      <c r="O241">
        <f t="shared" si="13"/>
        <v>1110</v>
      </c>
      <c r="P241">
        <f t="shared" si="12"/>
        <v>0.9258706747421903</v>
      </c>
    </row>
    <row r="242" spans="15:16" ht="12.75">
      <c r="O242">
        <f t="shared" si="13"/>
        <v>1115</v>
      </c>
      <c r="P242">
        <f t="shared" si="12"/>
        <v>0.9266684328224777</v>
      </c>
    </row>
    <row r="243" spans="15:16" ht="12.75">
      <c r="O243">
        <f t="shared" si="13"/>
        <v>1120</v>
      </c>
      <c r="P243">
        <f t="shared" si="12"/>
        <v>0.9274576056640293</v>
      </c>
    </row>
    <row r="244" spans="15:16" ht="12.75">
      <c r="O244">
        <f t="shared" si="13"/>
        <v>1125</v>
      </c>
      <c r="P244">
        <f t="shared" si="12"/>
        <v>0.9282382856586691</v>
      </c>
    </row>
    <row r="245" spans="15:16" ht="12.75">
      <c r="O245">
        <f t="shared" si="13"/>
        <v>1130</v>
      </c>
      <c r="P245">
        <f t="shared" si="12"/>
        <v>0.9290105642039272</v>
      </c>
    </row>
    <row r="246" spans="15:16" ht="12.75">
      <c r="O246">
        <f t="shared" si="13"/>
        <v>1135</v>
      </c>
      <c r="P246">
        <f t="shared" si="12"/>
        <v>0.9297745317137407</v>
      </c>
    </row>
    <row r="247" spans="15:16" ht="12.75">
      <c r="O247">
        <f t="shared" si="13"/>
        <v>1140</v>
      </c>
      <c r="P247">
        <f t="shared" si="12"/>
        <v>0.930530277629038</v>
      </c>
    </row>
    <row r="248" spans="15:16" ht="12.75">
      <c r="O248">
        <f t="shared" si="13"/>
        <v>1145</v>
      </c>
      <c r="P248">
        <f t="shared" si="12"/>
        <v>0.9312778904282104</v>
      </c>
    </row>
    <row r="249" spans="15:16" ht="12.75">
      <c r="O249">
        <f t="shared" si="13"/>
        <v>1150</v>
      </c>
      <c r="P249">
        <f t="shared" si="12"/>
        <v>0.932017457637471</v>
      </c>
    </row>
    <row r="250" spans="15:16" ht="12.75">
      <c r="O250">
        <f t="shared" si="13"/>
        <v>1155</v>
      </c>
      <c r="P250">
        <f t="shared" si="12"/>
        <v>0.9327490658411013</v>
      </c>
    </row>
    <row r="251" spans="15:16" ht="12.75">
      <c r="O251">
        <f t="shared" si="13"/>
        <v>1160</v>
      </c>
      <c r="P251">
        <f t="shared" si="12"/>
        <v>0.9334728006915879</v>
      </c>
    </row>
    <row r="252" spans="15:16" ht="12.75">
      <c r="O252">
        <f t="shared" si="13"/>
        <v>1165</v>
      </c>
      <c r="P252">
        <f t="shared" si="12"/>
        <v>0.9341887469196508</v>
      </c>
    </row>
    <row r="253" spans="15:16" ht="12.75">
      <c r="O253">
        <f t="shared" si="13"/>
        <v>1170</v>
      </c>
      <c r="P253">
        <f t="shared" si="12"/>
        <v>0.9348969883441626</v>
      </c>
    </row>
    <row r="254" spans="15:16" ht="12.75">
      <c r="O254">
        <f t="shared" si="13"/>
        <v>1175</v>
      </c>
      <c r="P254">
        <f t="shared" si="12"/>
        <v>0.9355976078819617</v>
      </c>
    </row>
    <row r="255" spans="15:16" ht="12.75">
      <c r="O255">
        <f t="shared" si="13"/>
        <v>1180</v>
      </c>
      <c r="P255">
        <f t="shared" si="12"/>
        <v>0.93629068755756</v>
      </c>
    </row>
    <row r="256" spans="15:16" ht="12.75">
      <c r="O256">
        <f t="shared" si="13"/>
        <v>1185</v>
      </c>
      <c r="P256">
        <f t="shared" si="12"/>
        <v>0.9369763085127454</v>
      </c>
    </row>
    <row r="257" spans="15:16" ht="12.75">
      <c r="O257">
        <f t="shared" si="13"/>
        <v>1190</v>
      </c>
      <c r="P257">
        <f t="shared" si="12"/>
        <v>0.9376545510160819</v>
      </c>
    </row>
    <row r="258" spans="15:16" ht="12.75">
      <c r="O258">
        <f t="shared" si="13"/>
        <v>1195</v>
      </c>
      <c r="P258">
        <f t="shared" si="12"/>
        <v>0.9383254944723063</v>
      </c>
    </row>
    <row r="259" spans="15:16" ht="12.75">
      <c r="O259">
        <f t="shared" si="13"/>
        <v>1200</v>
      </c>
      <c r="P259">
        <f t="shared" si="12"/>
        <v>0.9389892174316254</v>
      </c>
    </row>
    <row r="260" spans="15:16" ht="12.75">
      <c r="O260">
        <f t="shared" si="13"/>
        <v>1205</v>
      </c>
      <c r="P260">
        <f t="shared" si="12"/>
        <v>0.9396457975989116</v>
      </c>
    </row>
    <row r="261" spans="15:16" ht="12.75">
      <c r="O261">
        <f t="shared" si="13"/>
        <v>1210</v>
      </c>
      <c r="P261">
        <f aca="true" t="shared" si="14" ref="P261:P324">1-EXP(-$M$4)*EXP(-$M$3*$O261)</f>
        <v>0.9402953118427998</v>
      </c>
    </row>
    <row r="262" spans="15:16" ht="12.75">
      <c r="O262">
        <f t="shared" si="13"/>
        <v>1215</v>
      </c>
      <c r="P262">
        <f t="shared" si="14"/>
        <v>0.9409378362046876</v>
      </c>
    </row>
    <row r="263" spans="15:16" ht="12.75">
      <c r="O263">
        <f aca="true" t="shared" si="15" ref="O263:O326">O262+5</f>
        <v>1220</v>
      </c>
      <c r="P263">
        <f t="shared" si="14"/>
        <v>0.9415734459076371</v>
      </c>
    </row>
    <row r="264" spans="15:16" ht="12.75">
      <c r="O264">
        <f t="shared" si="15"/>
        <v>1225</v>
      </c>
      <c r="P264">
        <f t="shared" si="14"/>
        <v>0.9422022153651821</v>
      </c>
    </row>
    <row r="265" spans="15:16" ht="12.75">
      <c r="O265">
        <f t="shared" si="15"/>
        <v>1230</v>
      </c>
      <c r="P265">
        <f t="shared" si="14"/>
        <v>0.9428242181900397</v>
      </c>
    </row>
    <row r="266" spans="15:16" ht="12.75">
      <c r="O266">
        <f t="shared" si="15"/>
        <v>1235</v>
      </c>
      <c r="P266">
        <f t="shared" si="14"/>
        <v>0.9434395272027281</v>
      </c>
    </row>
    <row r="267" spans="15:16" ht="12.75">
      <c r="O267">
        <f t="shared" si="15"/>
        <v>1240</v>
      </c>
      <c r="P267">
        <f t="shared" si="14"/>
        <v>0.944048214440093</v>
      </c>
    </row>
    <row r="268" spans="15:16" ht="12.75">
      <c r="O268">
        <f t="shared" si="15"/>
        <v>1245</v>
      </c>
      <c r="P268">
        <f t="shared" si="14"/>
        <v>0.9446503511637403</v>
      </c>
    </row>
    <row r="269" spans="15:16" ht="12.75">
      <c r="O269">
        <f t="shared" si="15"/>
        <v>1250</v>
      </c>
      <c r="P269">
        <f t="shared" si="14"/>
        <v>0.9452460078683795</v>
      </c>
    </row>
    <row r="270" spans="15:16" ht="12.75">
      <c r="O270">
        <f t="shared" si="15"/>
        <v>1255</v>
      </c>
      <c r="P270">
        <f t="shared" si="14"/>
        <v>0.9458352542900768</v>
      </c>
    </row>
    <row r="271" spans="15:16" ht="12.75">
      <c r="O271">
        <f t="shared" si="15"/>
        <v>1260</v>
      </c>
      <c r="P271">
        <f t="shared" si="14"/>
        <v>0.9464181594144189</v>
      </c>
    </row>
    <row r="272" spans="15:16" ht="12.75">
      <c r="O272">
        <f t="shared" si="15"/>
        <v>1265</v>
      </c>
      <c r="P272">
        <f t="shared" si="14"/>
        <v>0.9469947914845903</v>
      </c>
    </row>
    <row r="273" spans="15:16" ht="12.75">
      <c r="O273">
        <f t="shared" si="15"/>
        <v>1270</v>
      </c>
      <c r="P273">
        <f t="shared" si="14"/>
        <v>0.947565218009362</v>
      </c>
    </row>
    <row r="274" spans="15:16" ht="12.75">
      <c r="O274">
        <f t="shared" si="15"/>
        <v>1275</v>
      </c>
      <c r="P274">
        <f t="shared" si="14"/>
        <v>0.9481295057709955</v>
      </c>
    </row>
    <row r="275" spans="15:16" ht="12.75">
      <c r="O275">
        <f t="shared" si="15"/>
        <v>1280</v>
      </c>
      <c r="P275">
        <f t="shared" si="14"/>
        <v>0.9486877208330615</v>
      </c>
    </row>
    <row r="276" spans="15:16" ht="12.75">
      <c r="O276">
        <f t="shared" si="15"/>
        <v>1285</v>
      </c>
      <c r="P276">
        <f t="shared" si="14"/>
        <v>0.9492399285481732</v>
      </c>
    </row>
    <row r="277" spans="15:16" ht="12.75">
      <c r="O277">
        <f t="shared" si="15"/>
        <v>1290</v>
      </c>
      <c r="P277">
        <f t="shared" si="14"/>
        <v>0.9497861935656386</v>
      </c>
    </row>
    <row r="278" spans="15:16" ht="12.75">
      <c r="O278">
        <f t="shared" si="15"/>
        <v>1295</v>
      </c>
      <c r="P278">
        <f t="shared" si="14"/>
        <v>0.9503265798390288</v>
      </c>
    </row>
    <row r="279" spans="15:16" ht="12.75">
      <c r="O279">
        <f t="shared" si="15"/>
        <v>1300</v>
      </c>
      <c r="P279">
        <f t="shared" si="14"/>
        <v>0.9508611506336652</v>
      </c>
    </row>
    <row r="280" spans="15:16" ht="12.75">
      <c r="O280">
        <f t="shared" si="15"/>
        <v>1305</v>
      </c>
      <c r="P280">
        <f t="shared" si="14"/>
        <v>0.9513899685340264</v>
      </c>
    </row>
    <row r="281" spans="15:16" ht="12.75">
      <c r="O281">
        <f t="shared" si="15"/>
        <v>1310</v>
      </c>
      <c r="P281">
        <f t="shared" si="14"/>
        <v>0.9519130954510748</v>
      </c>
    </row>
    <row r="282" spans="15:16" ht="12.75">
      <c r="O282">
        <f t="shared" si="15"/>
        <v>1315</v>
      </c>
      <c r="P282">
        <f t="shared" si="14"/>
        <v>0.9524305926295059</v>
      </c>
    </row>
    <row r="283" spans="15:16" ht="12.75">
      <c r="O283">
        <f t="shared" si="15"/>
        <v>1320</v>
      </c>
      <c r="P283">
        <f t="shared" si="14"/>
        <v>0.952942520654917</v>
      </c>
    </row>
    <row r="284" spans="15:16" ht="12.75">
      <c r="O284">
        <f t="shared" si="15"/>
        <v>1325</v>
      </c>
      <c r="P284">
        <f t="shared" si="14"/>
        <v>0.9534489394609016</v>
      </c>
    </row>
    <row r="285" spans="15:16" ht="12.75">
      <c r="O285">
        <f t="shared" si="15"/>
        <v>1330</v>
      </c>
      <c r="P285">
        <f t="shared" si="14"/>
        <v>0.9539499083360647</v>
      </c>
    </row>
    <row r="286" spans="15:16" ht="12.75">
      <c r="O286">
        <f t="shared" si="15"/>
        <v>1335</v>
      </c>
      <c r="P286">
        <f t="shared" si="14"/>
        <v>0.9544454859309655</v>
      </c>
    </row>
    <row r="287" spans="15:16" ht="12.75">
      <c r="O287">
        <f t="shared" si="15"/>
        <v>1340</v>
      </c>
      <c r="P287">
        <f t="shared" si="14"/>
        <v>0.9549357302649825</v>
      </c>
    </row>
    <row r="288" spans="15:16" ht="12.75">
      <c r="O288">
        <f t="shared" si="15"/>
        <v>1345</v>
      </c>
      <c r="P288">
        <f t="shared" si="14"/>
        <v>0.9554206987331066</v>
      </c>
    </row>
    <row r="289" spans="15:16" ht="12.75">
      <c r="O289">
        <f t="shared" si="15"/>
        <v>1350</v>
      </c>
      <c r="P289">
        <f t="shared" si="14"/>
        <v>0.9559004481126612</v>
      </c>
    </row>
    <row r="290" spans="15:16" ht="12.75">
      <c r="O290">
        <f t="shared" si="15"/>
        <v>1355</v>
      </c>
      <c r="P290">
        <f t="shared" si="14"/>
        <v>0.9563750345699481</v>
      </c>
    </row>
    <row r="291" spans="15:16" ht="12.75">
      <c r="O291">
        <f t="shared" si="15"/>
        <v>1360</v>
      </c>
      <c r="P291">
        <f t="shared" si="14"/>
        <v>0.9568445136668243</v>
      </c>
    </row>
    <row r="292" spans="15:16" ht="12.75">
      <c r="O292">
        <f t="shared" si="15"/>
        <v>1365</v>
      </c>
      <c r="P292">
        <f t="shared" si="14"/>
        <v>0.9573089403672063</v>
      </c>
    </row>
    <row r="293" spans="15:16" ht="12.75">
      <c r="O293">
        <f t="shared" si="15"/>
        <v>1370</v>
      </c>
      <c r="P293">
        <f t="shared" si="14"/>
        <v>0.9577683690435047</v>
      </c>
    </row>
    <row r="294" spans="15:16" ht="12.75">
      <c r="O294">
        <f t="shared" si="15"/>
        <v>1375</v>
      </c>
      <c r="P294">
        <f t="shared" si="14"/>
        <v>0.9582228534829906</v>
      </c>
    </row>
    <row r="295" spans="15:16" ht="12.75">
      <c r="O295">
        <f t="shared" si="15"/>
        <v>1380</v>
      </c>
      <c r="P295">
        <f t="shared" si="14"/>
        <v>0.9586724468940918</v>
      </c>
    </row>
    <row r="296" spans="15:16" ht="12.75">
      <c r="O296">
        <f t="shared" si="15"/>
        <v>1385</v>
      </c>
      <c r="P296">
        <f t="shared" si="14"/>
        <v>0.9591172019126231</v>
      </c>
    </row>
    <row r="297" spans="15:16" ht="12.75">
      <c r="O297">
        <f t="shared" si="15"/>
        <v>1390</v>
      </c>
      <c r="P297">
        <f t="shared" si="14"/>
        <v>0.9595571706079475</v>
      </c>
    </row>
    <row r="298" spans="15:16" ht="12.75">
      <c r="O298">
        <f t="shared" si="15"/>
        <v>1395</v>
      </c>
      <c r="P298">
        <f t="shared" si="14"/>
        <v>0.9599924044890734</v>
      </c>
    </row>
    <row r="299" spans="15:16" ht="12.75">
      <c r="O299">
        <f t="shared" si="15"/>
        <v>1400</v>
      </c>
      <c r="P299">
        <f t="shared" si="14"/>
        <v>0.9604229545106837</v>
      </c>
    </row>
    <row r="300" spans="15:16" ht="12.75">
      <c r="O300">
        <f t="shared" si="15"/>
        <v>1405</v>
      </c>
      <c r="P300">
        <f t="shared" si="14"/>
        <v>0.9608488710791026</v>
      </c>
    </row>
    <row r="301" spans="15:16" ht="12.75">
      <c r="O301">
        <f t="shared" si="15"/>
        <v>1410</v>
      </c>
      <c r="P301">
        <f t="shared" si="14"/>
        <v>0.9612702040581954</v>
      </c>
    </row>
    <row r="302" spans="15:16" ht="12.75">
      <c r="O302">
        <f t="shared" si="15"/>
        <v>1415</v>
      </c>
      <c r="P302">
        <f t="shared" si="14"/>
        <v>0.9616870027752079</v>
      </c>
    </row>
    <row r="303" spans="15:16" ht="12.75">
      <c r="O303">
        <f t="shared" si="15"/>
        <v>1420</v>
      </c>
      <c r="P303">
        <f t="shared" si="14"/>
        <v>0.9620993160265401</v>
      </c>
    </row>
    <row r="304" spans="15:16" ht="12.75">
      <c r="O304">
        <f t="shared" si="15"/>
        <v>1425</v>
      </c>
      <c r="P304">
        <f t="shared" si="14"/>
        <v>0.9625071920834594</v>
      </c>
    </row>
    <row r="305" spans="15:16" ht="12.75">
      <c r="O305">
        <f t="shared" si="15"/>
        <v>1430</v>
      </c>
      <c r="P305">
        <f t="shared" si="14"/>
        <v>0.9629106786977522</v>
      </c>
    </row>
    <row r="306" spans="15:16" ht="12.75">
      <c r="O306">
        <f t="shared" si="15"/>
        <v>1435</v>
      </c>
      <c r="P306">
        <f t="shared" si="14"/>
        <v>0.963309823107314</v>
      </c>
    </row>
    <row r="307" spans="15:16" ht="12.75">
      <c r="O307">
        <f t="shared" si="15"/>
        <v>1440</v>
      </c>
      <c r="P307">
        <f t="shared" si="14"/>
        <v>0.96370467204168</v>
      </c>
    </row>
    <row r="308" spans="15:16" ht="12.75">
      <c r="O308">
        <f t="shared" si="15"/>
        <v>1445</v>
      </c>
      <c r="P308">
        <f t="shared" si="14"/>
        <v>0.9640952717274957</v>
      </c>
    </row>
    <row r="309" spans="15:16" ht="12.75">
      <c r="O309">
        <f t="shared" si="15"/>
        <v>1450</v>
      </c>
      <c r="P309">
        <f t="shared" si="14"/>
        <v>0.9644816678939291</v>
      </c>
    </row>
    <row r="310" spans="15:16" ht="12.75">
      <c r="O310">
        <f t="shared" si="15"/>
        <v>1455</v>
      </c>
      <c r="P310">
        <f t="shared" si="14"/>
        <v>0.9648639057780243</v>
      </c>
    </row>
    <row r="311" spans="15:16" ht="12.75">
      <c r="O311">
        <f t="shared" si="15"/>
        <v>1460</v>
      </c>
      <c r="P311">
        <f t="shared" si="14"/>
        <v>0.9652420301299974</v>
      </c>
    </row>
    <row r="312" spans="15:16" ht="12.75">
      <c r="O312">
        <f t="shared" si="15"/>
        <v>1465</v>
      </c>
      <c r="P312">
        <f t="shared" si="14"/>
        <v>0.9656160852184762</v>
      </c>
    </row>
    <row r="313" spans="15:16" ht="12.75">
      <c r="O313">
        <f t="shared" si="15"/>
        <v>1470</v>
      </c>
      <c r="P313">
        <f t="shared" si="14"/>
        <v>0.9659861148356821</v>
      </c>
    </row>
    <row r="314" spans="15:16" ht="12.75">
      <c r="O314">
        <f t="shared" si="15"/>
        <v>1475</v>
      </c>
      <c r="P314">
        <f t="shared" si="14"/>
        <v>0.9663521623025574</v>
      </c>
    </row>
    <row r="315" spans="15:16" ht="12.75">
      <c r="O315">
        <f t="shared" si="15"/>
        <v>1480</v>
      </c>
      <c r="P315">
        <f t="shared" si="14"/>
        <v>0.9667142704738375</v>
      </c>
    </row>
    <row r="316" spans="15:16" ht="12.75">
      <c r="O316">
        <f t="shared" si="15"/>
        <v>1485</v>
      </c>
      <c r="P316">
        <f t="shared" si="14"/>
        <v>0.9670724817430675</v>
      </c>
    </row>
    <row r="317" spans="15:16" ht="12.75">
      <c r="O317">
        <f t="shared" si="15"/>
        <v>1490</v>
      </c>
      <c r="P317">
        <f t="shared" si="14"/>
        <v>0.9674268380475654</v>
      </c>
    </row>
    <row r="318" spans="15:16" ht="12.75">
      <c r="O318">
        <f t="shared" si="15"/>
        <v>1495</v>
      </c>
      <c r="P318">
        <f t="shared" si="14"/>
        <v>0.9677773808733322</v>
      </c>
    </row>
    <row r="319" spans="15:16" ht="12.75">
      <c r="O319">
        <f t="shared" si="15"/>
        <v>1500</v>
      </c>
      <c r="P319">
        <f t="shared" si="14"/>
        <v>0.9681241512599089</v>
      </c>
    </row>
    <row r="320" spans="15:16" ht="12.75">
      <c r="O320">
        <f t="shared" si="15"/>
        <v>1505</v>
      </c>
      <c r="P320">
        <f t="shared" si="14"/>
        <v>0.9684671898051808</v>
      </c>
    </row>
    <row r="321" spans="15:16" ht="12.75">
      <c r="O321">
        <f t="shared" si="15"/>
        <v>1510</v>
      </c>
      <c r="P321">
        <f t="shared" si="14"/>
        <v>0.9688065366701307</v>
      </c>
    </row>
    <row r="322" spans="15:16" ht="12.75">
      <c r="O322">
        <f t="shared" si="15"/>
        <v>1515</v>
      </c>
      <c r="P322">
        <f t="shared" si="14"/>
        <v>0.9691422315835405</v>
      </c>
    </row>
    <row r="323" spans="15:16" ht="12.75">
      <c r="O323">
        <f t="shared" si="15"/>
        <v>1520</v>
      </c>
      <c r="P323">
        <f t="shared" si="14"/>
        <v>0.969474313846643</v>
      </c>
    </row>
    <row r="324" spans="15:16" ht="12.75">
      <c r="O324">
        <f t="shared" si="15"/>
        <v>1525</v>
      </c>
      <c r="P324">
        <f t="shared" si="14"/>
        <v>0.9698028223377221</v>
      </c>
    </row>
    <row r="325" spans="15:16" ht="12.75">
      <c r="O325">
        <f t="shared" si="15"/>
        <v>1530</v>
      </c>
      <c r="P325">
        <f aca="true" t="shared" si="16" ref="P325:P388">1-EXP(-$M$4)*EXP(-$M$3*$O325)</f>
        <v>0.9701277955166654</v>
      </c>
    </row>
    <row r="326" spans="15:16" ht="12.75">
      <c r="O326">
        <f t="shared" si="15"/>
        <v>1535</v>
      </c>
      <c r="P326">
        <f t="shared" si="16"/>
        <v>0.9704492714294665</v>
      </c>
    </row>
    <row r="327" spans="15:16" ht="12.75">
      <c r="O327">
        <f aca="true" t="shared" si="17" ref="O327:O390">O326+5</f>
        <v>1540</v>
      </c>
      <c r="P327">
        <f t="shared" si="16"/>
        <v>0.9707672877126787</v>
      </c>
    </row>
    <row r="328" spans="15:16" ht="12.75">
      <c r="O328">
        <f t="shared" si="17"/>
        <v>1545</v>
      </c>
      <c r="P328">
        <f t="shared" si="16"/>
        <v>0.9710818815978223</v>
      </c>
    </row>
    <row r="329" spans="15:16" ht="12.75">
      <c r="O329">
        <f t="shared" si="17"/>
        <v>1550</v>
      </c>
      <c r="P329">
        <f t="shared" si="16"/>
        <v>0.9713930899157426</v>
      </c>
    </row>
    <row r="330" spans="15:16" ht="12.75">
      <c r="O330">
        <f t="shared" si="17"/>
        <v>1555</v>
      </c>
      <c r="P330">
        <f t="shared" si="16"/>
        <v>0.971700949100922</v>
      </c>
    </row>
    <row r="331" spans="15:16" ht="12.75">
      <c r="O331">
        <f t="shared" si="17"/>
        <v>1560</v>
      </c>
      <c r="P331">
        <f t="shared" si="16"/>
        <v>0.972005495195746</v>
      </c>
    </row>
    <row r="332" spans="15:16" ht="12.75">
      <c r="O332">
        <f t="shared" si="17"/>
        <v>1565</v>
      </c>
      <c r="P332">
        <f t="shared" si="16"/>
        <v>0.9723067638547223</v>
      </c>
    </row>
    <row r="333" spans="15:16" ht="12.75">
      <c r="O333">
        <f t="shared" si="17"/>
        <v>1570</v>
      </c>
      <c r="P333">
        <f t="shared" si="16"/>
        <v>0.9726047903486552</v>
      </c>
    </row>
    <row r="334" spans="15:16" ht="12.75">
      <c r="O334">
        <f t="shared" si="17"/>
        <v>1575</v>
      </c>
      <c r="P334">
        <f t="shared" si="16"/>
        <v>0.9728996095687752</v>
      </c>
    </row>
    <row r="335" spans="15:16" ht="12.75">
      <c r="O335">
        <f t="shared" si="17"/>
        <v>1580</v>
      </c>
      <c r="P335">
        <f t="shared" si="16"/>
        <v>0.9731912560308233</v>
      </c>
    </row>
    <row r="336" spans="15:16" ht="12.75">
      <c r="O336">
        <f t="shared" si="17"/>
        <v>1585</v>
      </c>
      <c r="P336">
        <f t="shared" si="16"/>
        <v>0.9734797638790924</v>
      </c>
    </row>
    <row r="337" spans="15:16" ht="12.75">
      <c r="O337">
        <f t="shared" si="17"/>
        <v>1590</v>
      </c>
      <c r="P337">
        <f t="shared" si="16"/>
        <v>0.9737651668904242</v>
      </c>
    </row>
    <row r="338" spans="15:16" ht="12.75">
      <c r="O338">
        <f t="shared" si="17"/>
        <v>1595</v>
      </c>
      <c r="P338">
        <f t="shared" si="16"/>
        <v>0.9740474984781646</v>
      </c>
    </row>
    <row r="339" spans="15:16" ht="12.75">
      <c r="O339">
        <f t="shared" si="17"/>
        <v>1600</v>
      </c>
      <c r="P339">
        <f t="shared" si="16"/>
        <v>0.9743267916960742</v>
      </c>
    </row>
    <row r="340" spans="15:16" ht="12.75">
      <c r="O340">
        <f t="shared" si="17"/>
        <v>1605</v>
      </c>
      <c r="P340">
        <f t="shared" si="16"/>
        <v>0.9746030792421988</v>
      </c>
    </row>
    <row r="341" spans="15:16" ht="12.75">
      <c r="O341">
        <f t="shared" si="17"/>
        <v>1610</v>
      </c>
      <c r="P341">
        <f t="shared" si="16"/>
        <v>0.9748763934626978</v>
      </c>
    </row>
    <row r="342" spans="15:16" ht="12.75">
      <c r="O342">
        <f t="shared" si="17"/>
        <v>1615</v>
      </c>
      <c r="P342">
        <f t="shared" si="16"/>
        <v>0.9751467663556304</v>
      </c>
    </row>
    <row r="343" spans="15:16" ht="12.75">
      <c r="O343">
        <f t="shared" si="17"/>
        <v>1620</v>
      </c>
      <c r="P343">
        <f t="shared" si="16"/>
        <v>0.975414229574702</v>
      </c>
    </row>
    <row r="344" spans="15:16" ht="12.75">
      <c r="O344">
        <f t="shared" si="17"/>
        <v>1625</v>
      </c>
      <c r="P344">
        <f t="shared" si="16"/>
        <v>0.9756788144329704</v>
      </c>
    </row>
    <row r="345" spans="15:16" ht="12.75">
      <c r="O345">
        <f t="shared" si="17"/>
        <v>1630</v>
      </c>
      <c r="P345">
        <f t="shared" si="16"/>
        <v>0.9759405519065113</v>
      </c>
    </row>
    <row r="346" spans="15:16" ht="12.75">
      <c r="O346">
        <f t="shared" si="17"/>
        <v>1635</v>
      </c>
      <c r="P346">
        <f t="shared" si="16"/>
        <v>0.9761994726380449</v>
      </c>
    </row>
    <row r="347" spans="15:16" ht="12.75">
      <c r="O347">
        <f t="shared" si="17"/>
        <v>1640</v>
      </c>
      <c r="P347">
        <f t="shared" si="16"/>
        <v>0.9764556069405232</v>
      </c>
    </row>
    <row r="348" spans="15:16" ht="12.75">
      <c r="O348">
        <f t="shared" si="17"/>
        <v>1645</v>
      </c>
      <c r="P348">
        <f t="shared" si="16"/>
        <v>0.9767089848006796</v>
      </c>
    </row>
    <row r="349" spans="15:16" ht="12.75">
      <c r="O349">
        <f t="shared" si="17"/>
        <v>1650</v>
      </c>
      <c r="P349">
        <f t="shared" si="16"/>
        <v>0.9769596358825386</v>
      </c>
    </row>
    <row r="350" spans="15:16" ht="12.75">
      <c r="O350">
        <f t="shared" si="17"/>
        <v>1655</v>
      </c>
      <c r="P350">
        <f t="shared" si="16"/>
        <v>0.9772075895308896</v>
      </c>
    </row>
    <row r="351" spans="15:16" ht="12.75">
      <c r="O351">
        <f t="shared" si="17"/>
        <v>1660</v>
      </c>
      <c r="P351">
        <f t="shared" si="16"/>
        <v>0.9774528747747215</v>
      </c>
    </row>
    <row r="352" spans="15:16" ht="12.75">
      <c r="O352">
        <f t="shared" si="17"/>
        <v>1665</v>
      </c>
      <c r="P352">
        <f t="shared" si="16"/>
        <v>0.9776955203306221</v>
      </c>
    </row>
    <row r="353" spans="15:16" ht="12.75">
      <c r="O353">
        <f t="shared" si="17"/>
        <v>1670</v>
      </c>
      <c r="P353">
        <f t="shared" si="16"/>
        <v>0.9779355546061396</v>
      </c>
    </row>
    <row r="354" spans="15:16" ht="12.75">
      <c r="O354">
        <f t="shared" si="17"/>
        <v>1675</v>
      </c>
      <c r="P354">
        <f t="shared" si="16"/>
        <v>0.9781730057031082</v>
      </c>
    </row>
    <row r="355" spans="15:16" ht="12.75">
      <c r="O355">
        <f t="shared" si="17"/>
        <v>1680</v>
      </c>
      <c r="P355">
        <f t="shared" si="16"/>
        <v>0.9784079014209388</v>
      </c>
    </row>
    <row r="356" spans="15:16" ht="12.75">
      <c r="O356">
        <f t="shared" si="17"/>
        <v>1685</v>
      </c>
      <c r="P356">
        <f t="shared" si="16"/>
        <v>0.978640269259873</v>
      </c>
    </row>
    <row r="357" spans="15:16" ht="12.75">
      <c r="O357">
        <f t="shared" si="17"/>
        <v>1690</v>
      </c>
      <c r="P357">
        <f t="shared" si="16"/>
        <v>0.9788701364242028</v>
      </c>
    </row>
    <row r="358" spans="15:16" ht="12.75">
      <c r="O358">
        <f t="shared" si="17"/>
        <v>1695</v>
      </c>
      <c r="P358">
        <f t="shared" si="16"/>
        <v>0.9790975298254558</v>
      </c>
    </row>
    <row r="359" spans="15:16" ht="12.75">
      <c r="O359">
        <f t="shared" si="17"/>
        <v>1700</v>
      </c>
      <c r="P359">
        <f t="shared" si="16"/>
        <v>0.9793224760855455</v>
      </c>
    </row>
    <row r="360" spans="15:16" ht="12.75">
      <c r="O360">
        <f t="shared" si="17"/>
        <v>1705</v>
      </c>
      <c r="P360">
        <f t="shared" si="16"/>
        <v>0.9795450015398879</v>
      </c>
    </row>
    <row r="361" spans="15:16" ht="12.75">
      <c r="O361">
        <f t="shared" si="17"/>
        <v>1710</v>
      </c>
      <c r="P361">
        <f t="shared" si="16"/>
        <v>0.9797651322404853</v>
      </c>
    </row>
    <row r="362" spans="15:16" ht="12.75">
      <c r="O362">
        <f t="shared" si="17"/>
        <v>1715</v>
      </c>
      <c r="P362">
        <f t="shared" si="16"/>
        <v>0.9799828939589761</v>
      </c>
    </row>
    <row r="363" spans="15:16" ht="12.75">
      <c r="O363">
        <f t="shared" si="17"/>
        <v>1720</v>
      </c>
      <c r="P363">
        <f t="shared" si="16"/>
        <v>0.9801983121896515</v>
      </c>
    </row>
    <row r="364" spans="15:16" ht="12.75">
      <c r="O364">
        <f t="shared" si="17"/>
        <v>1725</v>
      </c>
      <c r="P364">
        <f t="shared" si="16"/>
        <v>0.9804114121524408</v>
      </c>
    </row>
    <row r="365" spans="15:16" ht="12.75">
      <c r="O365">
        <f t="shared" si="17"/>
        <v>1730</v>
      </c>
      <c r="P365">
        <f t="shared" si="16"/>
        <v>0.9806222187958638</v>
      </c>
    </row>
    <row r="366" spans="15:16" ht="12.75">
      <c r="O366">
        <f t="shared" si="17"/>
        <v>1735</v>
      </c>
      <c r="P366">
        <f t="shared" si="16"/>
        <v>0.9808307567999516</v>
      </c>
    </row>
    <row r="367" spans="15:16" ht="12.75">
      <c r="O367">
        <f t="shared" si="17"/>
        <v>1740</v>
      </c>
      <c r="P367">
        <f t="shared" si="16"/>
        <v>0.9810370505791361</v>
      </c>
    </row>
    <row r="368" spans="15:16" ht="12.75">
      <c r="O368">
        <f t="shared" si="17"/>
        <v>1745</v>
      </c>
      <c r="P368">
        <f t="shared" si="16"/>
        <v>0.9812411242851082</v>
      </c>
    </row>
    <row r="369" spans="15:16" ht="12.75">
      <c r="O369">
        <f t="shared" si="17"/>
        <v>1750</v>
      </c>
      <c r="P369">
        <f t="shared" si="16"/>
        <v>0.9814430018096455</v>
      </c>
    </row>
    <row r="370" spans="15:16" ht="12.75">
      <c r="O370">
        <f t="shared" si="17"/>
        <v>1755</v>
      </c>
      <c r="P370">
        <f t="shared" si="16"/>
        <v>0.981642706787409</v>
      </c>
    </row>
    <row r="371" spans="15:16" ht="12.75">
      <c r="O371">
        <f t="shared" si="17"/>
        <v>1760</v>
      </c>
      <c r="P371">
        <f t="shared" si="16"/>
        <v>0.9818402625987106</v>
      </c>
    </row>
    <row r="372" spans="15:16" ht="12.75">
      <c r="O372">
        <f t="shared" si="17"/>
        <v>1765</v>
      </c>
      <c r="P372">
        <f t="shared" si="16"/>
        <v>0.9820356923722502</v>
      </c>
    </row>
    <row r="373" spans="15:16" ht="12.75">
      <c r="O373">
        <f t="shared" si="17"/>
        <v>1770</v>
      </c>
      <c r="P373">
        <f t="shared" si="16"/>
        <v>0.9822290189878232</v>
      </c>
    </row>
    <row r="374" spans="15:16" ht="12.75">
      <c r="O374">
        <f t="shared" si="17"/>
        <v>1775</v>
      </c>
      <c r="P374">
        <f t="shared" si="16"/>
        <v>0.9824202650789996</v>
      </c>
    </row>
    <row r="375" spans="15:16" ht="12.75">
      <c r="O375">
        <f t="shared" si="17"/>
        <v>1780</v>
      </c>
      <c r="P375">
        <f t="shared" si="16"/>
        <v>0.9826094530357733</v>
      </c>
    </row>
    <row r="376" spans="15:16" ht="12.75">
      <c r="O376">
        <f t="shared" si="17"/>
        <v>1785</v>
      </c>
      <c r="P376">
        <f t="shared" si="16"/>
        <v>0.9827966050071838</v>
      </c>
    </row>
    <row r="377" spans="15:16" ht="12.75">
      <c r="O377">
        <f t="shared" si="17"/>
        <v>1790</v>
      </c>
      <c r="P377">
        <f t="shared" si="16"/>
        <v>0.982981742903909</v>
      </c>
    </row>
    <row r="378" spans="15:16" ht="12.75">
      <c r="O378">
        <f t="shared" si="17"/>
        <v>1795</v>
      </c>
      <c r="P378">
        <f t="shared" si="16"/>
        <v>0.9831648884008308</v>
      </c>
    </row>
    <row r="379" spans="15:16" ht="12.75">
      <c r="O379">
        <f t="shared" si="17"/>
        <v>1800</v>
      </c>
      <c r="P379">
        <f t="shared" si="16"/>
        <v>0.983346062939572</v>
      </c>
    </row>
    <row r="380" spans="15:16" ht="12.75">
      <c r="O380">
        <f t="shared" si="17"/>
        <v>1805</v>
      </c>
      <c r="P380">
        <f t="shared" si="16"/>
        <v>0.9835252877310071</v>
      </c>
    </row>
    <row r="381" spans="15:16" ht="12.75">
      <c r="O381">
        <f t="shared" si="17"/>
        <v>1810</v>
      </c>
      <c r="P381">
        <f t="shared" si="16"/>
        <v>0.9837025837577453</v>
      </c>
    </row>
    <row r="382" spans="15:16" ht="12.75">
      <c r="O382">
        <f t="shared" si="17"/>
        <v>1815</v>
      </c>
      <c r="P382">
        <f t="shared" si="16"/>
        <v>0.9838779717765874</v>
      </c>
    </row>
    <row r="383" spans="15:16" ht="12.75">
      <c r="O383">
        <f t="shared" si="17"/>
        <v>1820</v>
      </c>
      <c r="P383">
        <f t="shared" si="16"/>
        <v>0.9840514723209552</v>
      </c>
    </row>
    <row r="384" spans="15:16" ht="12.75">
      <c r="O384">
        <f t="shared" si="17"/>
        <v>1825</v>
      </c>
      <c r="P384">
        <f t="shared" si="16"/>
        <v>0.9842231057032961</v>
      </c>
    </row>
    <row r="385" spans="15:16" ht="12.75">
      <c r="O385">
        <f t="shared" si="17"/>
        <v>1830</v>
      </c>
      <c r="P385">
        <f t="shared" si="16"/>
        <v>0.9843928920174607</v>
      </c>
    </row>
    <row r="386" spans="15:16" ht="12.75">
      <c r="O386">
        <f t="shared" si="17"/>
        <v>1835</v>
      </c>
      <c r="P386">
        <f t="shared" si="16"/>
        <v>0.9845608511410557</v>
      </c>
    </row>
    <row r="387" spans="15:16" ht="12.75">
      <c r="O387">
        <f t="shared" si="17"/>
        <v>1840</v>
      </c>
      <c r="P387">
        <f t="shared" si="16"/>
        <v>0.9847270027377706</v>
      </c>
    </row>
    <row r="388" spans="15:16" ht="12.75">
      <c r="O388">
        <f t="shared" si="17"/>
        <v>1845</v>
      </c>
      <c r="P388">
        <f t="shared" si="16"/>
        <v>0.9848913662596801</v>
      </c>
    </row>
    <row r="389" spans="15:16" ht="12.75">
      <c r="O389">
        <f t="shared" si="17"/>
        <v>1850</v>
      </c>
      <c r="P389">
        <f aca="true" t="shared" si="18" ref="P389:P405">1-EXP(-$M$4)*EXP(-$M$3*$O389)</f>
        <v>0.9850539609495215</v>
      </c>
    </row>
    <row r="390" spans="15:16" ht="12.75">
      <c r="O390">
        <f t="shared" si="17"/>
        <v>1855</v>
      </c>
      <c r="P390">
        <f t="shared" si="18"/>
        <v>0.9852148058429472</v>
      </c>
    </row>
    <row r="391" spans="15:16" ht="12.75">
      <c r="O391">
        <f aca="true" t="shared" si="19" ref="O391:O405">O390+5</f>
        <v>1860</v>
      </c>
      <c r="P391">
        <f t="shared" si="18"/>
        <v>0.9853739197707536</v>
      </c>
    </row>
    <row r="392" spans="15:16" ht="12.75">
      <c r="O392">
        <f t="shared" si="19"/>
        <v>1865</v>
      </c>
      <c r="P392">
        <f t="shared" si="18"/>
        <v>0.9855313213610856</v>
      </c>
    </row>
    <row r="393" spans="15:16" ht="12.75">
      <c r="O393">
        <f t="shared" si="19"/>
        <v>1870</v>
      </c>
      <c r="P393">
        <f t="shared" si="18"/>
        <v>0.9856870290416172</v>
      </c>
    </row>
    <row r="394" spans="15:16" ht="12.75">
      <c r="O394">
        <f t="shared" si="19"/>
        <v>1875</v>
      </c>
      <c r="P394">
        <f t="shared" si="18"/>
        <v>0.9858410610417098</v>
      </c>
    </row>
    <row r="395" spans="15:16" ht="12.75">
      <c r="O395">
        <f t="shared" si="19"/>
        <v>1880</v>
      </c>
      <c r="P395">
        <f t="shared" si="18"/>
        <v>0.985993435394545</v>
      </c>
    </row>
    <row r="396" spans="15:16" ht="12.75">
      <c r="O396">
        <f t="shared" si="19"/>
        <v>1885</v>
      </c>
      <c r="P396">
        <f t="shared" si="18"/>
        <v>0.9861441699392371</v>
      </c>
    </row>
    <row r="397" spans="15:16" ht="12.75">
      <c r="O397">
        <f t="shared" si="19"/>
        <v>1890</v>
      </c>
      <c r="P397">
        <f t="shared" si="18"/>
        <v>0.9862932823229209</v>
      </c>
    </row>
    <row r="398" spans="15:16" ht="12.75">
      <c r="O398">
        <f t="shared" si="19"/>
        <v>1895</v>
      </c>
      <c r="P398">
        <f t="shared" si="18"/>
        <v>0.9864407900028178</v>
      </c>
    </row>
    <row r="399" spans="15:16" ht="12.75">
      <c r="O399">
        <f t="shared" si="19"/>
        <v>1900</v>
      </c>
      <c r="P399">
        <f t="shared" si="18"/>
        <v>0.98658671024828</v>
      </c>
    </row>
    <row r="400" spans="15:16" ht="12.75">
      <c r="O400">
        <f t="shared" si="19"/>
        <v>1905</v>
      </c>
      <c r="P400">
        <f t="shared" si="18"/>
        <v>0.9867310601428118</v>
      </c>
    </row>
    <row r="401" spans="15:16" ht="12.75">
      <c r="O401">
        <f t="shared" si="19"/>
        <v>1910</v>
      </c>
      <c r="P401">
        <f t="shared" si="18"/>
        <v>0.9868738565860696</v>
      </c>
    </row>
    <row r="402" spans="15:16" ht="12.75">
      <c r="O402">
        <f t="shared" si="19"/>
        <v>1915</v>
      </c>
      <c r="P402">
        <f t="shared" si="18"/>
        <v>0.987015116295841</v>
      </c>
    </row>
    <row r="403" spans="15:16" ht="12.75">
      <c r="O403">
        <f t="shared" si="19"/>
        <v>1920</v>
      </c>
      <c r="P403">
        <f t="shared" si="18"/>
        <v>0.9871548558100017</v>
      </c>
    </row>
    <row r="404" spans="15:16" ht="12.75">
      <c r="O404">
        <f t="shared" si="19"/>
        <v>1925</v>
      </c>
      <c r="P404">
        <f t="shared" si="18"/>
        <v>0.9872930914884513</v>
      </c>
    </row>
    <row r="405" spans="15:16" ht="12.75">
      <c r="O405">
        <f t="shared" si="19"/>
        <v>1930</v>
      </c>
      <c r="P405">
        <f t="shared" si="18"/>
        <v>0.9874298395150294</v>
      </c>
    </row>
  </sheetData>
  <mergeCells count="2">
    <mergeCell ref="O3:P3"/>
    <mergeCell ref="O17:P17"/>
  </mergeCells>
  <printOptions/>
  <pageMargins left="0.75" right="0.75" top="1" bottom="1" header="0.5" footer="0.5"/>
  <pageSetup fitToHeight="1" fitToWidth="1" horizontalDpi="600" verticalDpi="600" orientation="landscape" scale="56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H1">
      <selection activeCell="E7" sqref="E7"/>
    </sheetView>
  </sheetViews>
  <sheetFormatPr defaultColWidth="9.140625" defaultRowHeight="12.75"/>
  <cols>
    <col min="1" max="1" width="34.7109375" style="0" customWidth="1"/>
    <col min="2" max="2" width="11.8515625" style="0" customWidth="1"/>
    <col min="3" max="3" width="26.00390625" style="0" customWidth="1"/>
    <col min="4" max="4" width="15.7109375" style="0" customWidth="1"/>
    <col min="5" max="5" width="13.8515625" style="0" customWidth="1"/>
    <col min="6" max="6" width="16.140625" style="0" customWidth="1"/>
    <col min="7" max="7" width="18.7109375" style="0" customWidth="1"/>
    <col min="8" max="9" width="15.28125" style="0" customWidth="1"/>
    <col min="10" max="10" width="16.7109375" style="0" customWidth="1"/>
    <col min="11" max="11" width="19.00390625" style="0" customWidth="1"/>
    <col min="12" max="14" width="16.7109375" style="0" customWidth="1"/>
    <col min="16" max="16" width="18.28125" style="0" customWidth="1"/>
    <col min="17" max="17" width="21.421875" style="0" customWidth="1"/>
  </cols>
  <sheetData>
    <row r="1" ht="15">
      <c r="A1" s="54" t="s">
        <v>121</v>
      </c>
    </row>
    <row r="2" spans="1:14" ht="42">
      <c r="A2" s="5" t="s">
        <v>122</v>
      </c>
      <c r="B2" s="5" t="s">
        <v>123</v>
      </c>
      <c r="C2" s="5" t="s">
        <v>106</v>
      </c>
      <c r="D2" s="4" t="s">
        <v>134</v>
      </c>
      <c r="E2" s="4" t="s">
        <v>135</v>
      </c>
      <c r="F2" s="5" t="s">
        <v>136</v>
      </c>
      <c r="G2" s="56" t="s">
        <v>137</v>
      </c>
      <c r="H2" s="5" t="s">
        <v>117</v>
      </c>
      <c r="I2" s="4" t="s">
        <v>138</v>
      </c>
      <c r="J2" s="5" t="s">
        <v>139</v>
      </c>
      <c r="K2" s="1"/>
      <c r="L2" s="1"/>
      <c r="M2" s="1"/>
      <c r="N2" s="1"/>
    </row>
    <row r="3" spans="1:14" ht="12.75">
      <c r="A3" t="s">
        <v>42</v>
      </c>
      <c r="B3" s="2" t="s">
        <v>43</v>
      </c>
      <c r="C3" s="2" t="s">
        <v>108</v>
      </c>
      <c r="D3" s="2">
        <v>45.666666666666664</v>
      </c>
      <c r="E3" s="2">
        <f>D3^2</f>
        <v>2085.4444444444443</v>
      </c>
      <c r="F3" s="2">
        <v>0.5252</v>
      </c>
      <c r="G3">
        <f>-LN(1-F3)</f>
        <v>0.7448616162466241</v>
      </c>
      <c r="H3">
        <f>D3*G3</f>
        <v>34.01534714192916</v>
      </c>
      <c r="I3">
        <f>1-$L$11*EXP(-$L$10*$D3)</f>
        <v>0.767116222769223</v>
      </c>
      <c r="J3" s="2">
        <f>(F3-I3)^2</f>
        <v>0.058523458838928316</v>
      </c>
      <c r="K3" s="1" t="s">
        <v>124</v>
      </c>
      <c r="L3">
        <f>AVERAGE($D$3:$D$7)</f>
        <v>325.8</v>
      </c>
      <c r="M3" s="69" t="s">
        <v>95</v>
      </c>
      <c r="N3" s="70"/>
    </row>
    <row r="4" spans="1:14" ht="15">
      <c r="A4" t="s">
        <v>125</v>
      </c>
      <c r="B4" s="2" t="s">
        <v>126</v>
      </c>
      <c r="C4" s="2" t="s">
        <v>107</v>
      </c>
      <c r="D4" s="2">
        <v>133.33333333333334</v>
      </c>
      <c r="E4" s="2">
        <f>D4^2</f>
        <v>17777.77777777778</v>
      </c>
      <c r="F4" s="2">
        <v>0.5698</v>
      </c>
      <c r="G4">
        <f>-LN(1-F4)</f>
        <v>0.8435050621485073</v>
      </c>
      <c r="H4">
        <f>D4*G4</f>
        <v>112.46734161980098</v>
      </c>
      <c r="I4">
        <f>1-$L$11*EXP(-$L$10*$D4)</f>
        <v>0.8723774348568465</v>
      </c>
      <c r="J4" s="2">
        <f>(F4-I4)^2</f>
        <v>0.0915531040845492</v>
      </c>
      <c r="K4" s="1" t="s">
        <v>127</v>
      </c>
      <c r="L4">
        <f>AVERAGE($G$3:$G$7)</f>
        <v>3.3791508720108787</v>
      </c>
      <c r="M4" s="1" t="s">
        <v>90</v>
      </c>
      <c r="N4" s="1" t="s">
        <v>120</v>
      </c>
    </row>
    <row r="5" spans="1:14" ht="15">
      <c r="A5" t="s">
        <v>2</v>
      </c>
      <c r="B5" s="2" t="s">
        <v>3</v>
      </c>
      <c r="C5" s="2" t="s">
        <v>128</v>
      </c>
      <c r="D5" s="2">
        <v>266.6666666666667</v>
      </c>
      <c r="E5" s="2">
        <f>D5^2</f>
        <v>71111.11111111112</v>
      </c>
      <c r="F5" s="2">
        <v>0.9975</v>
      </c>
      <c r="G5">
        <f>-LN(1-F5)</f>
        <v>5.991464547108003</v>
      </c>
      <c r="H5">
        <f>D5*G5</f>
        <v>1597.723879228801</v>
      </c>
      <c r="I5">
        <f>1-$L$11*EXP(-$L$10*$D5)</f>
        <v>0.9488733643283113</v>
      </c>
      <c r="J5" s="2">
        <f>(F5-I5)^2</f>
        <v>0.0023645496967471566</v>
      </c>
      <c r="K5" s="1" t="s">
        <v>140</v>
      </c>
      <c r="L5">
        <f>SUM($E$3:$E$7)</f>
        <v>791252.1111111111</v>
      </c>
      <c r="M5">
        <v>0</v>
      </c>
      <c r="N5">
        <f aca="true" t="shared" si="0" ref="N5:N65">1-$L$11*EXP(-$L$10*$M5)</f>
        <v>0.6814279109169384</v>
      </c>
    </row>
    <row r="6" spans="1:14" ht="12.75">
      <c r="A6" t="s">
        <v>129</v>
      </c>
      <c r="B6" s="2" t="s">
        <v>3</v>
      </c>
      <c r="C6" s="2" t="s">
        <v>130</v>
      </c>
      <c r="D6" s="2">
        <v>583.3333333333334</v>
      </c>
      <c r="E6" s="2">
        <f>D6^2</f>
        <v>340277.7777777778</v>
      </c>
      <c r="F6" s="2">
        <v>0.9182</v>
      </c>
      <c r="G6">
        <f>-LN(1-F6)</f>
        <v>2.503478035373436</v>
      </c>
      <c r="H6">
        <f>D6*G6</f>
        <v>1460.3621873011712</v>
      </c>
      <c r="I6">
        <f>1-$L$11*EXP(-$L$10*$D6)</f>
        <v>0.9941775386797113</v>
      </c>
      <c r="J6" s="2">
        <f>(F6-I6)^2</f>
        <v>0.005772586383827018</v>
      </c>
      <c r="K6" s="1" t="s">
        <v>131</v>
      </c>
      <c r="L6">
        <f>SUM($H$3:$H$7)</f>
        <v>7292.035814798395</v>
      </c>
      <c r="M6">
        <f aca="true" t="shared" si="1" ref="M6:M65">M5+10</f>
        <v>10</v>
      </c>
      <c r="N6">
        <f t="shared" si="0"/>
        <v>0.7025515539288447</v>
      </c>
    </row>
    <row r="7" spans="1:14" ht="12.75">
      <c r="A7" t="s">
        <v>57</v>
      </c>
      <c r="B7" s="2" t="s">
        <v>3</v>
      </c>
      <c r="C7" s="2" t="s">
        <v>128</v>
      </c>
      <c r="D7" s="2">
        <v>600</v>
      </c>
      <c r="E7" s="2">
        <f>D7^2</f>
        <v>360000</v>
      </c>
      <c r="F7" s="2">
        <v>0.9989</v>
      </c>
      <c r="G7">
        <f>-LN(1-F7)</f>
        <v>6.812445099177822</v>
      </c>
      <c r="H7">
        <f>D7*G7</f>
        <v>4087.467059506693</v>
      </c>
      <c r="I7">
        <f>1-$L$11*EXP(-$L$10*$D7)</f>
        <v>0.994806662101713</v>
      </c>
      <c r="J7" s="2">
        <f>(F7-I7)^2</f>
        <v>1.6755415149552886E-05</v>
      </c>
      <c r="K7" s="1" t="s">
        <v>21</v>
      </c>
      <c r="L7">
        <f>COUNT($D$3:$D$7)</f>
        <v>5</v>
      </c>
      <c r="M7">
        <f t="shared" si="1"/>
        <v>20</v>
      </c>
      <c r="N7">
        <f t="shared" si="0"/>
        <v>0.7222745460068329</v>
      </c>
    </row>
    <row r="8" spans="11:14" ht="12.75">
      <c r="K8" s="1" t="s">
        <v>43</v>
      </c>
      <c r="L8">
        <f>($L$6*$L$7-$L$7^2*$L$3*$L$4)/($L$5*$L$7-$L$7^2*$L$3^2)</f>
        <v>0.006860786929958089</v>
      </c>
      <c r="M8">
        <f t="shared" si="1"/>
        <v>30</v>
      </c>
      <c r="N8">
        <f t="shared" si="0"/>
        <v>0.7406897604795035</v>
      </c>
    </row>
    <row r="9" spans="11:14" ht="12.75">
      <c r="K9" s="1" t="s">
        <v>91</v>
      </c>
      <c r="L9">
        <f>($L$5*$L$7*$L$4-$L$7*$L$3*$L$6)/($L$5*$L$7-$L$7^2*$L$3^2)</f>
        <v>1.1439064902305336</v>
      </c>
      <c r="M9">
        <f t="shared" si="1"/>
        <v>40</v>
      </c>
      <c r="N9">
        <f t="shared" si="0"/>
        <v>0.7578839124993144</v>
      </c>
    </row>
    <row r="10" spans="11:14" ht="12.75">
      <c r="K10" s="1" t="s">
        <v>132</v>
      </c>
      <c r="L10">
        <f>$L$8</f>
        <v>0.006860786929958089</v>
      </c>
      <c r="M10">
        <f t="shared" si="1"/>
        <v>50</v>
      </c>
      <c r="N10">
        <f t="shared" si="0"/>
        <v>0.7739379673743806</v>
      </c>
    </row>
    <row r="11" spans="11:14" ht="12.75">
      <c r="K11" s="1" t="s">
        <v>133</v>
      </c>
      <c r="L11">
        <f>EXP(-$L$9)</f>
        <v>0.31857208908306156</v>
      </c>
      <c r="M11">
        <f t="shared" si="1"/>
        <v>60</v>
      </c>
      <c r="N11">
        <f t="shared" si="0"/>
        <v>0.7889275218249102</v>
      </c>
    </row>
    <row r="12" spans="11:14" ht="12.75">
      <c r="K12" s="1" t="s">
        <v>92</v>
      </c>
      <c r="L12">
        <f>1-EXP(-$L$9)</f>
        <v>0.6814279109169384</v>
      </c>
      <c r="M12">
        <f t="shared" si="1"/>
        <v>70</v>
      </c>
      <c r="N12">
        <f t="shared" si="0"/>
        <v>0.8029231599595695</v>
      </c>
    </row>
    <row r="13" spans="11:14" ht="12.75">
      <c r="K13" s="1" t="s">
        <v>94</v>
      </c>
      <c r="L13">
        <f>VAR($F$3:$F$7)</f>
        <v>0.055256836999999726</v>
      </c>
      <c r="M13">
        <f t="shared" si="1"/>
        <v>80</v>
      </c>
      <c r="N13">
        <f t="shared" si="0"/>
        <v>0.815990785648031</v>
      </c>
    </row>
    <row r="14" spans="11:14" ht="12.75">
      <c r="K14" s="1" t="s">
        <v>93</v>
      </c>
      <c r="L14">
        <f>SUM(J3:J7)/($L$7-2)</f>
        <v>0.05274348480640042</v>
      </c>
      <c r="M14">
        <f t="shared" si="1"/>
        <v>90</v>
      </c>
      <c r="N14">
        <f t="shared" si="0"/>
        <v>0.8281919328548062</v>
      </c>
    </row>
    <row r="15" spans="11:14" ht="12.75">
      <c r="K15" s="1" t="s">
        <v>110</v>
      </c>
      <c r="L15">
        <f>$L$14/$L$13</f>
        <v>0.9545150911623964</v>
      </c>
      <c r="M15">
        <f t="shared" si="1"/>
        <v>100</v>
      </c>
      <c r="N15">
        <f t="shared" si="0"/>
        <v>0.8395840553956935</v>
      </c>
    </row>
    <row r="16" spans="11:14" ht="12.75">
      <c r="K16" s="1" t="s">
        <v>96</v>
      </c>
      <c r="L16">
        <f>CORREL($F$3:$F$7,$I$3:$I$7)</f>
        <v>0.9050843448261306</v>
      </c>
      <c r="M16">
        <f t="shared" si="1"/>
        <v>110</v>
      </c>
      <c r="N16">
        <f t="shared" si="0"/>
        <v>0.8502207974812678</v>
      </c>
    </row>
    <row r="17" spans="11:14" ht="15">
      <c r="K17" s="1" t="s">
        <v>141</v>
      </c>
      <c r="L17">
        <f>$L$16^2</f>
        <v>0.8191776712493462</v>
      </c>
      <c r="M17">
        <f t="shared" si="1"/>
        <v>120</v>
      </c>
      <c r="N17">
        <f t="shared" si="0"/>
        <v>0.8601522463213724</v>
      </c>
    </row>
    <row r="18" spans="13:14" ht="12.75">
      <c r="M18">
        <f t="shared" si="1"/>
        <v>130</v>
      </c>
      <c r="N18">
        <f t="shared" si="0"/>
        <v>0.8694251679800998</v>
      </c>
    </row>
    <row r="19" spans="13:14" ht="12.75">
      <c r="M19">
        <f t="shared" si="1"/>
        <v>140</v>
      </c>
      <c r="N19">
        <f t="shared" si="0"/>
        <v>0.8780832275918723</v>
      </c>
    </row>
    <row r="20" spans="13:14" ht="12.75">
      <c r="M20">
        <f t="shared" si="1"/>
        <v>150</v>
      </c>
      <c r="N20">
        <f t="shared" si="0"/>
        <v>0.8861671949755989</v>
      </c>
    </row>
    <row r="21" spans="13:14" ht="12.75">
      <c r="M21">
        <f t="shared" si="1"/>
        <v>160</v>
      </c>
      <c r="N21">
        <f t="shared" si="0"/>
        <v>0.8937151366151204</v>
      </c>
    </row>
    <row r="22" spans="13:14" ht="12.75">
      <c r="M22">
        <f t="shared" si="1"/>
        <v>170</v>
      </c>
      <c r="N22">
        <f t="shared" si="0"/>
        <v>0.9007625949099557</v>
      </c>
    </row>
    <row r="23" spans="13:14" ht="12.75">
      <c r="M23">
        <f t="shared" si="1"/>
        <v>180</v>
      </c>
      <c r="N23">
        <f t="shared" si="0"/>
        <v>0.9073427555404228</v>
      </c>
    </row>
    <row r="24" spans="13:14" ht="12.75">
      <c r="M24">
        <f t="shared" si="1"/>
        <v>190</v>
      </c>
      <c r="N24">
        <f t="shared" si="0"/>
        <v>0.9134866037352367</v>
      </c>
    </row>
    <row r="25" spans="13:14" ht="12.75">
      <c r="M25">
        <f t="shared" si="1"/>
        <v>200</v>
      </c>
      <c r="N25">
        <f t="shared" si="0"/>
        <v>0.9192230701774301</v>
      </c>
    </row>
    <row r="26" spans="13:14" ht="12.75">
      <c r="M26">
        <f t="shared" si="1"/>
        <v>210</v>
      </c>
      <c r="N26">
        <f t="shared" si="0"/>
        <v>0.9245791672356533</v>
      </c>
    </row>
    <row r="27" spans="13:14" ht="12.75">
      <c r="M27">
        <f t="shared" si="1"/>
        <v>220</v>
      </c>
      <c r="N27">
        <f t="shared" si="0"/>
        <v>0.9295801161623477</v>
      </c>
    </row>
    <row r="28" spans="13:14" ht="12.75">
      <c r="M28">
        <f t="shared" si="1"/>
        <v>230</v>
      </c>
      <c r="N28">
        <f t="shared" si="0"/>
        <v>0.9342494658577588</v>
      </c>
    </row>
    <row r="29" spans="13:14" ht="12.75">
      <c r="M29">
        <f t="shared" si="1"/>
        <v>240</v>
      </c>
      <c r="N29">
        <f t="shared" si="0"/>
        <v>0.938609203759031</v>
      </c>
    </row>
    <row r="30" spans="13:14" ht="12.75">
      <c r="M30">
        <f t="shared" si="1"/>
        <v>250</v>
      </c>
      <c r="N30">
        <f t="shared" si="0"/>
        <v>0.9426798593765505</v>
      </c>
    </row>
    <row r="31" spans="13:14" ht="12.75">
      <c r="M31">
        <f t="shared" si="1"/>
        <v>260</v>
      </c>
      <c r="N31">
        <f t="shared" si="0"/>
        <v>0.9464806009650778</v>
      </c>
    </row>
    <row r="32" spans="13:14" ht="12.75">
      <c r="M32">
        <f t="shared" si="1"/>
        <v>270</v>
      </c>
      <c r="N32">
        <f t="shared" si="0"/>
        <v>0.9500293257848805</v>
      </c>
    </row>
    <row r="33" spans="13:14" ht="12.75">
      <c r="M33">
        <f t="shared" si="1"/>
        <v>280</v>
      </c>
      <c r="N33">
        <f t="shared" si="0"/>
        <v>0.9533427443778987</v>
      </c>
    </row>
    <row r="34" spans="13:14" ht="12.75">
      <c r="M34">
        <f t="shared" si="1"/>
        <v>290</v>
      </c>
      <c r="N34">
        <f t="shared" si="0"/>
        <v>0.956436459255788</v>
      </c>
    </row>
    <row r="35" spans="13:14" ht="12.75">
      <c r="M35">
        <f t="shared" si="1"/>
        <v>300</v>
      </c>
      <c r="N35">
        <f t="shared" si="0"/>
        <v>0.959325038370374</v>
      </c>
    </row>
    <row r="36" spans="13:14" ht="12.75">
      <c r="M36">
        <f t="shared" si="1"/>
        <v>310</v>
      </c>
      <c r="N36">
        <f t="shared" si="0"/>
        <v>0.9620220837124824</v>
      </c>
    </row>
    <row r="37" spans="13:14" ht="12.75">
      <c r="M37">
        <f t="shared" si="1"/>
        <v>320</v>
      </c>
      <c r="N37">
        <f t="shared" si="0"/>
        <v>0.9645402953621678</v>
      </c>
    </row>
    <row r="38" spans="13:14" ht="12.75">
      <c r="M38">
        <f t="shared" si="1"/>
        <v>330</v>
      </c>
      <c r="N38">
        <f t="shared" si="0"/>
        <v>0.9668915312919479</v>
      </c>
    </row>
    <row r="39" spans="13:14" ht="12.75">
      <c r="M39">
        <f t="shared" si="1"/>
        <v>340</v>
      </c>
      <c r="N39">
        <f t="shared" si="0"/>
        <v>0.9690868632046485</v>
      </c>
    </row>
    <row r="40" spans="13:14" ht="12.75">
      <c r="M40">
        <f t="shared" si="1"/>
        <v>350</v>
      </c>
      <c r="N40">
        <f t="shared" si="0"/>
        <v>0.9711366286687944</v>
      </c>
    </row>
    <row r="41" spans="13:14" ht="12.75">
      <c r="M41">
        <f t="shared" si="1"/>
        <v>360</v>
      </c>
      <c r="N41">
        <f t="shared" si="0"/>
        <v>0.9730504797970441</v>
      </c>
    </row>
    <row r="42" spans="13:14" ht="12.75">
      <c r="M42">
        <f t="shared" si="1"/>
        <v>370</v>
      </c>
      <c r="N42">
        <f t="shared" si="0"/>
        <v>0.9748374286968925</v>
      </c>
    </row>
    <row r="43" spans="13:14" ht="12.75">
      <c r="M43">
        <f t="shared" si="1"/>
        <v>380</v>
      </c>
      <c r="N43">
        <f t="shared" si="0"/>
        <v>0.9765058899076607</v>
      </c>
    </row>
    <row r="44" spans="13:14" ht="12.75">
      <c r="M44">
        <f t="shared" si="1"/>
        <v>390</v>
      </c>
      <c r="N44">
        <f t="shared" si="0"/>
        <v>0.9780637200236054</v>
      </c>
    </row>
    <row r="45" spans="13:14" ht="12.75">
      <c r="M45">
        <f t="shared" si="1"/>
        <v>400</v>
      </c>
      <c r="N45">
        <f t="shared" si="0"/>
        <v>0.9795182546897285</v>
      </c>
    </row>
    <row r="46" spans="13:14" ht="12.75">
      <c r="M46">
        <f t="shared" si="1"/>
        <v>410</v>
      </c>
      <c r="N46">
        <f t="shared" si="0"/>
        <v>0.9808763431444963</v>
      </c>
    </row>
    <row r="47" spans="13:14" ht="12.75">
      <c r="M47">
        <f t="shared" si="1"/>
        <v>420</v>
      </c>
      <c r="N47">
        <f t="shared" si="0"/>
        <v>0.9821443804721246</v>
      </c>
    </row>
    <row r="48" spans="13:14" ht="12.75">
      <c r="M48">
        <f t="shared" si="1"/>
        <v>430</v>
      </c>
      <c r="N48">
        <f t="shared" si="0"/>
        <v>0.9833283377163041</v>
      </c>
    </row>
    <row r="49" spans="13:14" ht="12.75">
      <c r="M49">
        <f t="shared" si="1"/>
        <v>440</v>
      </c>
      <c r="N49">
        <f t="shared" si="0"/>
        <v>0.9844337899971661</v>
      </c>
    </row>
    <row r="50" spans="13:14" ht="12.75">
      <c r="M50">
        <f t="shared" si="1"/>
        <v>450</v>
      </c>
      <c r="N50">
        <f t="shared" si="0"/>
        <v>0.9854659427638904</v>
      </c>
    </row>
    <row r="51" spans="13:14" ht="12.75">
      <c r="M51">
        <f t="shared" si="1"/>
        <v>460</v>
      </c>
      <c r="N51">
        <f t="shared" si="0"/>
        <v>0.9864296563065735</v>
      </c>
    </row>
    <row r="52" spans="13:14" ht="12.75">
      <c r="M52">
        <f t="shared" si="1"/>
        <v>470</v>
      </c>
      <c r="N52">
        <f t="shared" si="0"/>
        <v>0.9873294686427826</v>
      </c>
    </row>
    <row r="53" spans="13:14" ht="12.75">
      <c r="M53">
        <f t="shared" si="1"/>
        <v>480</v>
      </c>
      <c r="N53">
        <f t="shared" si="0"/>
        <v>0.9881696168865644</v>
      </c>
    </row>
    <row r="54" spans="13:14" ht="12.75">
      <c r="M54">
        <f t="shared" si="1"/>
        <v>490</v>
      </c>
      <c r="N54">
        <f t="shared" si="0"/>
        <v>0.988954057200534</v>
      </c>
    </row>
    <row r="55" spans="13:14" ht="12.75">
      <c r="M55">
        <f t="shared" si="1"/>
        <v>500</v>
      </c>
      <c r="N55">
        <f t="shared" si="0"/>
        <v>0.9896864834249953</v>
      </c>
    </row>
    <row r="56" spans="13:14" ht="12.75">
      <c r="M56">
        <f t="shared" si="1"/>
        <v>510</v>
      </c>
      <c r="N56">
        <f t="shared" si="0"/>
        <v>0.9903703444718147</v>
      </c>
    </row>
    <row r="57" spans="13:14" ht="12.75">
      <c r="M57">
        <f t="shared" si="1"/>
        <v>520</v>
      </c>
      <c r="N57">
        <f t="shared" si="0"/>
        <v>0.9910088605649555</v>
      </c>
    </row>
    <row r="58" spans="13:14" ht="12.75">
      <c r="M58">
        <f t="shared" si="1"/>
        <v>530</v>
      </c>
      <c r="N58">
        <f t="shared" si="0"/>
        <v>0.9916050384041467</v>
      </c>
    </row>
    <row r="59" spans="13:14" ht="12.75">
      <c r="M59">
        <f t="shared" si="1"/>
        <v>540</v>
      </c>
      <c r="N59">
        <f t="shared" si="0"/>
        <v>0.9921616853230901</v>
      </c>
    </row>
    <row r="60" spans="13:14" ht="12.75">
      <c r="M60">
        <f t="shared" si="1"/>
        <v>550</v>
      </c>
      <c r="N60">
        <f t="shared" si="0"/>
        <v>0.9926814225088763</v>
      </c>
    </row>
    <row r="61" spans="13:14" ht="12.75">
      <c r="M61">
        <f t="shared" si="1"/>
        <v>560</v>
      </c>
      <c r="N61">
        <f t="shared" si="0"/>
        <v>0.9931666973448559</v>
      </c>
    </row>
    <row r="62" spans="13:14" ht="12.75">
      <c r="M62">
        <f t="shared" si="1"/>
        <v>570</v>
      </c>
      <c r="N62">
        <f t="shared" si="0"/>
        <v>0.9936197949350906</v>
      </c>
    </row>
    <row r="63" spans="13:14" ht="12.75">
      <c r="M63">
        <f t="shared" si="1"/>
        <v>580</v>
      </c>
      <c r="N63">
        <f t="shared" si="0"/>
        <v>0.994042848864648</v>
      </c>
    </row>
    <row r="64" spans="13:14" ht="12.75">
      <c r="M64">
        <f t="shared" si="1"/>
        <v>590</v>
      </c>
      <c r="N64">
        <f t="shared" si="0"/>
        <v>0.9944378512464114</v>
      </c>
    </row>
    <row r="65" spans="13:14" ht="12.75">
      <c r="M65">
        <f t="shared" si="1"/>
        <v>600</v>
      </c>
      <c r="N65">
        <f t="shared" si="0"/>
        <v>0.994806662101713</v>
      </c>
    </row>
  </sheetData>
  <mergeCells count="1">
    <mergeCell ref="M3:N3"/>
  </mergeCells>
  <printOptions/>
  <pageMargins left="0.75" right="0.75" top="1" bottom="1" header="0.5" footer="0.5"/>
  <pageSetup fitToHeight="1" fitToWidth="1" horizontalDpi="600" verticalDpi="600" orientation="landscape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C1">
      <selection activeCell="J10" sqref="J10"/>
    </sheetView>
  </sheetViews>
  <sheetFormatPr defaultColWidth="9.140625" defaultRowHeight="12.75"/>
  <cols>
    <col min="1" max="1" width="39.7109375" style="33" customWidth="1"/>
    <col min="2" max="2" width="8.8515625" style="33" customWidth="1"/>
    <col min="3" max="3" width="14.00390625" style="33" customWidth="1"/>
    <col min="4" max="4" width="13.421875" style="33" customWidth="1"/>
    <col min="5" max="5" width="11.7109375" style="33" customWidth="1"/>
    <col min="6" max="6" width="12.140625" style="33" customWidth="1"/>
    <col min="7" max="7" width="12.7109375" style="33" customWidth="1"/>
    <col min="8" max="8" width="13.140625" style="33" customWidth="1"/>
    <col min="9" max="9" width="13.57421875" style="33" customWidth="1"/>
    <col min="10" max="10" width="12.57421875" style="33" customWidth="1"/>
    <col min="11" max="16384" width="8.8515625" style="33" customWidth="1"/>
  </cols>
  <sheetData>
    <row r="1" spans="1:10" ht="12.7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9">
      <c r="A2" s="4" t="s">
        <v>0</v>
      </c>
      <c r="B2" s="4" t="s">
        <v>1</v>
      </c>
      <c r="C2" s="4" t="s">
        <v>11</v>
      </c>
      <c r="D2" s="4" t="s">
        <v>49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51</v>
      </c>
      <c r="J2" s="4" t="s">
        <v>53</v>
      </c>
    </row>
    <row r="3" spans="1:10" ht="12.75">
      <c r="A3" s="33" t="s">
        <v>4</v>
      </c>
      <c r="B3" s="7" t="s">
        <v>5</v>
      </c>
      <c r="C3" s="7" t="s">
        <v>16</v>
      </c>
      <c r="D3" s="7" t="s">
        <v>18</v>
      </c>
      <c r="E3" s="7">
        <v>0.9881</v>
      </c>
      <c r="F3" s="7" t="s">
        <v>22</v>
      </c>
      <c r="G3" s="34">
        <v>0.002164007</v>
      </c>
      <c r="H3" s="34">
        <v>0.818815299</v>
      </c>
      <c r="I3" s="35">
        <v>0.1062</v>
      </c>
      <c r="J3" s="36">
        <v>1.805064682903348</v>
      </c>
    </row>
    <row r="4" spans="1:10" ht="12.75">
      <c r="A4" s="33" t="s">
        <v>6</v>
      </c>
      <c r="B4" s="7" t="s">
        <v>7</v>
      </c>
      <c r="C4" s="7" t="s">
        <v>16</v>
      </c>
      <c r="D4" s="7" t="s">
        <v>18</v>
      </c>
      <c r="E4" s="7">
        <v>0.9366</v>
      </c>
      <c r="F4" s="7" t="s">
        <v>22</v>
      </c>
      <c r="G4" s="34">
        <v>0.002164007</v>
      </c>
      <c r="H4" s="34">
        <v>0.818815299</v>
      </c>
      <c r="I4" s="35">
        <v>0.1074</v>
      </c>
      <c r="J4" s="36">
        <v>1.2375543539524683</v>
      </c>
    </row>
    <row r="5" spans="1:10" ht="12.75">
      <c r="A5" s="33" t="s">
        <v>8</v>
      </c>
      <c r="B5" s="7">
        <v>5</v>
      </c>
      <c r="C5" s="7" t="s">
        <v>16</v>
      </c>
      <c r="D5" s="7" t="s">
        <v>19</v>
      </c>
      <c r="E5" s="7">
        <v>0.8652</v>
      </c>
      <c r="F5" s="7" t="s">
        <v>21</v>
      </c>
      <c r="G5" s="34">
        <v>0</v>
      </c>
      <c r="H5" s="34">
        <f>1-E5</f>
        <v>0.13480000000000003</v>
      </c>
      <c r="I5" s="35">
        <v>0.1268</v>
      </c>
      <c r="J5" s="36">
        <v>0.6943853377967221</v>
      </c>
    </row>
    <row r="6" spans="1:10" ht="12.75">
      <c r="A6" s="33" t="s">
        <v>47</v>
      </c>
      <c r="B6" s="7">
        <v>1</v>
      </c>
      <c r="C6" s="7" t="s">
        <v>16</v>
      </c>
      <c r="D6" s="7" t="s">
        <v>48</v>
      </c>
      <c r="E6" s="7">
        <v>0.9182</v>
      </c>
      <c r="F6" s="7" t="s">
        <v>22</v>
      </c>
      <c r="G6" s="34">
        <v>0.006860787</v>
      </c>
      <c r="H6" s="34">
        <v>0.318572089</v>
      </c>
      <c r="I6" s="35">
        <v>0.1316</v>
      </c>
      <c r="J6" s="36">
        <v>0.609453005011771</v>
      </c>
    </row>
    <row r="7" spans="2:10" ht="12.75"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1" t="s">
        <v>9</v>
      </c>
      <c r="B8" s="7"/>
      <c r="C8" s="7"/>
      <c r="D8" s="7"/>
      <c r="E8" s="7"/>
      <c r="F8" s="7"/>
      <c r="G8" s="7"/>
      <c r="H8" s="7"/>
      <c r="I8" s="36">
        <f>AVERAGE(I3:I6)</f>
        <v>0.11800000000000001</v>
      </c>
      <c r="J8" s="36">
        <f>AVERAGE(J3:J6)</f>
        <v>1.0866143449160774</v>
      </c>
    </row>
    <row r="9" spans="1:10" ht="12.75">
      <c r="A9" s="1" t="s">
        <v>10</v>
      </c>
      <c r="B9" s="7"/>
      <c r="C9" s="7"/>
      <c r="D9" s="7"/>
      <c r="E9" s="7"/>
      <c r="F9" s="7"/>
      <c r="G9" s="7"/>
      <c r="H9" s="7"/>
      <c r="I9" s="36">
        <f>STDEV(I3:I6)</f>
        <v>0.013089435944047738</v>
      </c>
      <c r="J9" s="36">
        <f>STDEV(J3:J6)</f>
        <v>0.5539194624994493</v>
      </c>
    </row>
    <row r="10" spans="1:10" ht="12.75">
      <c r="A10" s="1" t="s">
        <v>52</v>
      </c>
      <c r="B10" s="7"/>
      <c r="C10" s="7"/>
      <c r="D10" s="7"/>
      <c r="E10" s="7"/>
      <c r="F10" s="7"/>
      <c r="G10" s="7"/>
      <c r="H10" s="7"/>
      <c r="I10" s="36">
        <f>I8+3.182*I9/SQRT(4)</f>
        <v>0.13882529258697995</v>
      </c>
      <c r="J10" s="37">
        <f>J8+3.182*J9/SQRT(4)</f>
        <v>1.9679002097527012</v>
      </c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2:10" ht="12.75">
      <c r="B15" s="7"/>
      <c r="C15" s="7"/>
      <c r="D15" s="7"/>
      <c r="E15" s="7"/>
      <c r="F15" s="7"/>
      <c r="G15" s="34"/>
      <c r="H15" s="34"/>
      <c r="I15" s="35"/>
      <c r="J15" s="36"/>
    </row>
    <row r="16" spans="2:10" ht="12.75">
      <c r="B16" s="7"/>
      <c r="C16" s="7"/>
      <c r="D16" s="7"/>
      <c r="E16" s="7"/>
      <c r="F16" s="7"/>
      <c r="G16" s="34"/>
      <c r="H16" s="34"/>
      <c r="I16" s="35"/>
      <c r="J16" s="36"/>
    </row>
    <row r="17" spans="2:10" ht="12.75">
      <c r="B17" s="7"/>
      <c r="C17" s="7"/>
      <c r="D17" s="7"/>
      <c r="E17" s="7"/>
      <c r="F17" s="7"/>
      <c r="G17" s="34"/>
      <c r="H17" s="34"/>
      <c r="I17" s="35"/>
      <c r="J17" s="36"/>
    </row>
    <row r="18" spans="2:10" ht="12.75">
      <c r="B18" s="7"/>
      <c r="C18" s="7"/>
      <c r="D18" s="7"/>
      <c r="E18" s="7"/>
      <c r="F18" s="7"/>
      <c r="G18" s="34"/>
      <c r="H18" s="34"/>
      <c r="I18" s="35"/>
      <c r="J18" s="36"/>
    </row>
    <row r="19" spans="2:10" ht="12.75"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1"/>
      <c r="B20" s="7"/>
      <c r="C20" s="7"/>
      <c r="D20" s="7"/>
      <c r="E20" s="7"/>
      <c r="F20" s="7"/>
      <c r="G20" s="7"/>
      <c r="H20" s="7"/>
      <c r="I20" s="36"/>
      <c r="J20" s="36"/>
    </row>
    <row r="21" spans="1:10" ht="12.75">
      <c r="A21" s="1"/>
      <c r="B21" s="7"/>
      <c r="C21" s="7"/>
      <c r="D21" s="7"/>
      <c r="E21" s="7"/>
      <c r="F21" s="7"/>
      <c r="G21" s="7"/>
      <c r="H21" s="7"/>
      <c r="I21" s="36"/>
      <c r="J21" s="36"/>
    </row>
    <row r="22" spans="1:10" ht="12.75">
      <c r="A22" s="1"/>
      <c r="B22" s="7"/>
      <c r="C22" s="7"/>
      <c r="D22" s="7"/>
      <c r="E22" s="7"/>
      <c r="F22" s="7"/>
      <c r="G22" s="7"/>
      <c r="H22" s="7"/>
      <c r="I22" s="36"/>
      <c r="J22" s="37"/>
    </row>
  </sheetData>
  <mergeCells count="2">
    <mergeCell ref="A13:J13"/>
    <mergeCell ref="A1:J1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C1">
      <selection activeCell="G9" sqref="G9"/>
    </sheetView>
  </sheetViews>
  <sheetFormatPr defaultColWidth="9.140625" defaultRowHeight="12.75"/>
  <cols>
    <col min="1" max="1" width="33.140625" style="33" bestFit="1" customWidth="1"/>
    <col min="2" max="2" width="5.7109375" style="33" bestFit="1" customWidth="1"/>
    <col min="3" max="3" width="12.140625" style="33" bestFit="1" customWidth="1"/>
    <col min="4" max="4" width="7.57421875" style="33" bestFit="1" customWidth="1"/>
    <col min="5" max="5" width="9.421875" style="33" bestFit="1" customWidth="1"/>
    <col min="6" max="6" width="10.7109375" style="33" bestFit="1" customWidth="1"/>
    <col min="7" max="9" width="12.00390625" style="33" bestFit="1" customWidth="1"/>
    <col min="10" max="10" width="14.57421875" style="33" bestFit="1" customWidth="1"/>
    <col min="11" max="16384" width="8.8515625" style="33" customWidth="1"/>
  </cols>
  <sheetData>
    <row r="1" spans="1:10" ht="12.75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52.5">
      <c r="A2" s="4" t="s">
        <v>0</v>
      </c>
      <c r="B2" s="4" t="s">
        <v>1</v>
      </c>
      <c r="C2" s="4" t="s">
        <v>11</v>
      </c>
      <c r="D2" s="4" t="s">
        <v>49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56</v>
      </c>
      <c r="J2" s="4" t="s">
        <v>59</v>
      </c>
    </row>
    <row r="3" spans="1:10" ht="12.75">
      <c r="A3" s="33" t="s">
        <v>2</v>
      </c>
      <c r="B3" s="7" t="s">
        <v>3</v>
      </c>
      <c r="C3" s="7" t="s">
        <v>16</v>
      </c>
      <c r="D3" s="7" t="s">
        <v>17</v>
      </c>
      <c r="E3" s="7">
        <v>0.9975</v>
      </c>
      <c r="F3" s="7" t="s">
        <v>21</v>
      </c>
      <c r="G3" s="34">
        <v>0</v>
      </c>
      <c r="H3" s="34">
        <v>0.0025</v>
      </c>
      <c r="I3" s="35">
        <v>0.0816</v>
      </c>
      <c r="J3" s="36">
        <v>0.118228700131489</v>
      </c>
    </row>
    <row r="4" spans="1:10" ht="12.75">
      <c r="A4" s="33" t="s">
        <v>57</v>
      </c>
      <c r="B4" s="7" t="s">
        <v>3</v>
      </c>
      <c r="C4" s="7" t="s">
        <v>16</v>
      </c>
      <c r="D4" s="7" t="s">
        <v>17</v>
      </c>
      <c r="E4" s="7">
        <v>0.9989</v>
      </c>
      <c r="F4" s="7" t="s">
        <v>21</v>
      </c>
      <c r="G4" s="34">
        <v>0</v>
      </c>
      <c r="H4" s="34">
        <v>0.011</v>
      </c>
      <c r="I4" s="35">
        <v>0.0936</v>
      </c>
      <c r="J4" s="36">
        <v>0.15715333950898946</v>
      </c>
    </row>
    <row r="5" spans="2:10" ht="12.75">
      <c r="B5" s="7"/>
      <c r="C5" s="7"/>
      <c r="D5" s="7"/>
      <c r="E5" s="7"/>
      <c r="F5" s="7"/>
      <c r="G5" s="7"/>
      <c r="H5" s="7"/>
      <c r="I5" s="7"/>
      <c r="J5" s="34"/>
    </row>
    <row r="6" spans="2:10" ht="12.75">
      <c r="B6" s="7"/>
      <c r="C6" s="7"/>
      <c r="D6" s="7"/>
      <c r="E6" s="7"/>
      <c r="F6" s="7"/>
      <c r="G6" s="7"/>
      <c r="H6" s="7"/>
      <c r="I6" s="7"/>
      <c r="J6" s="34"/>
    </row>
    <row r="7" spans="2:10" ht="12.75"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1" t="s">
        <v>9</v>
      </c>
      <c r="B8" s="7"/>
      <c r="C8" s="7"/>
      <c r="D8" s="7"/>
      <c r="E8" s="7"/>
      <c r="F8" s="7"/>
      <c r="G8" s="7"/>
      <c r="H8" s="7"/>
      <c r="I8" s="36">
        <f>AVERAGE(I3:I4)</f>
        <v>0.08760000000000001</v>
      </c>
      <c r="J8" s="36">
        <f>AVERAGE(J3:J4)</f>
        <v>0.13769101982023924</v>
      </c>
    </row>
    <row r="9" spans="1:10" ht="12.75">
      <c r="A9" s="1" t="s">
        <v>10</v>
      </c>
      <c r="B9" s="7"/>
      <c r="C9" s="7"/>
      <c r="D9" s="7"/>
      <c r="E9" s="7"/>
      <c r="F9" s="7"/>
      <c r="G9" s="7"/>
      <c r="H9" s="7"/>
      <c r="I9" s="36">
        <f>STDEV(I3:I4)</f>
        <v>0.008485281374238417</v>
      </c>
      <c r="J9" s="36">
        <f>STDEV(J3:J4)</f>
        <v>0.0275238764590715</v>
      </c>
    </row>
    <row r="10" spans="1:10" ht="12.75">
      <c r="A10" s="1" t="s">
        <v>52</v>
      </c>
      <c r="B10" s="7"/>
      <c r="C10" s="7"/>
      <c r="D10" s="7"/>
      <c r="E10" s="7"/>
      <c r="F10" s="7"/>
      <c r="G10" s="7"/>
      <c r="H10" s="7"/>
      <c r="I10" s="36">
        <f>I8+12.706*I9/SQRT(2)</f>
        <v>0.16383599999999862</v>
      </c>
      <c r="J10" s="37">
        <f>J8+12.706*J9/SQRT(2)</f>
        <v>0.3849792537854997</v>
      </c>
    </row>
  </sheetData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0" sqref="J10"/>
    </sheetView>
  </sheetViews>
  <sheetFormatPr defaultColWidth="9.140625" defaultRowHeight="12.75"/>
  <cols>
    <col min="1" max="1" width="28.421875" style="0" bestFit="1" customWidth="1"/>
    <col min="2" max="2" width="6.421875" style="0" bestFit="1" customWidth="1"/>
    <col min="3" max="5" width="11.28125" style="0" bestFit="1" customWidth="1"/>
    <col min="6" max="6" width="11.421875" style="0" bestFit="1" customWidth="1"/>
    <col min="7" max="7" width="7.7109375" style="0" bestFit="1" customWidth="1"/>
    <col min="8" max="8" width="7.00390625" style="0" bestFit="1" customWidth="1"/>
    <col min="9" max="9" width="9.421875" style="0" bestFit="1" customWidth="1"/>
    <col min="10" max="10" width="10.28125" style="0" bestFit="1" customWidth="1"/>
  </cols>
  <sheetData>
    <row r="1" spans="1:10" s="33" customFormat="1" ht="12.75">
      <c r="A1" s="68" t="s">
        <v>144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9">
      <c r="A2" s="4" t="s">
        <v>0</v>
      </c>
      <c r="B2" s="4" t="s">
        <v>1</v>
      </c>
      <c r="C2" s="4" t="s">
        <v>11</v>
      </c>
      <c r="D2" s="4" t="s">
        <v>145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51</v>
      </c>
      <c r="J2" s="4" t="s">
        <v>60</v>
      </c>
    </row>
    <row r="3" spans="1:10" ht="12.75">
      <c r="A3" t="s">
        <v>146</v>
      </c>
      <c r="B3" s="2" t="s">
        <v>147</v>
      </c>
      <c r="C3" s="2" t="s">
        <v>148</v>
      </c>
      <c r="D3" s="2" t="s">
        <v>148</v>
      </c>
      <c r="E3" s="2">
        <v>0.32530000000000003</v>
      </c>
      <c r="F3" s="2" t="s">
        <v>21</v>
      </c>
      <c r="G3" s="2">
        <v>0</v>
      </c>
      <c r="H3" s="2">
        <f>1-E3</f>
        <v>0.6747</v>
      </c>
      <c r="I3" s="2">
        <v>5.3343</v>
      </c>
      <c r="J3" s="57">
        <v>7.335044660788993</v>
      </c>
    </row>
    <row r="4" spans="1:10" ht="12.75">
      <c r="A4" t="s">
        <v>149</v>
      </c>
      <c r="B4" s="2">
        <v>1</v>
      </c>
      <c r="C4" s="2" t="s">
        <v>148</v>
      </c>
      <c r="D4" s="2" t="s">
        <v>148</v>
      </c>
      <c r="E4" s="2">
        <v>0.3399</v>
      </c>
      <c r="F4" s="2" t="s">
        <v>21</v>
      </c>
      <c r="G4" s="2">
        <v>0</v>
      </c>
      <c r="H4" s="2">
        <f>1-E4</f>
        <v>0.6601</v>
      </c>
      <c r="I4" s="2">
        <v>5.4713</v>
      </c>
      <c r="J4" s="57">
        <v>5.391954713796769</v>
      </c>
    </row>
    <row r="8" spans="1:10" s="33" customFormat="1" ht="12.75">
      <c r="A8" s="1" t="s">
        <v>9</v>
      </c>
      <c r="B8" s="7"/>
      <c r="C8" s="7"/>
      <c r="D8" s="7"/>
      <c r="E8" s="7"/>
      <c r="F8" s="7"/>
      <c r="G8" s="7"/>
      <c r="H8" s="7"/>
      <c r="I8" s="36">
        <f>AVERAGE(I3:I4)</f>
        <v>5.4028</v>
      </c>
      <c r="J8" s="36">
        <f>AVERAGE(J3:J4)</f>
        <v>6.363499687292881</v>
      </c>
    </row>
    <row r="9" spans="1:10" s="33" customFormat="1" ht="12.75">
      <c r="A9" s="1" t="s">
        <v>10</v>
      </c>
      <c r="B9" s="7"/>
      <c r="C9" s="7"/>
      <c r="D9" s="7"/>
      <c r="E9" s="7"/>
      <c r="F9" s="7"/>
      <c r="G9" s="7"/>
      <c r="H9" s="7"/>
      <c r="I9" s="36">
        <f>STDEV(I3:I4)</f>
        <v>0.09687362902257257</v>
      </c>
      <c r="J9" s="36">
        <f>STDEV(J3:J4)</f>
        <v>1.3739720779736109</v>
      </c>
    </row>
    <row r="10" spans="1:10" s="33" customFormat="1" ht="12.75">
      <c r="A10" s="1" t="s">
        <v>52</v>
      </c>
      <c r="B10" s="7"/>
      <c r="C10" s="7"/>
      <c r="D10" s="7"/>
      <c r="E10" s="7"/>
      <c r="F10" s="7"/>
      <c r="G10" s="7"/>
      <c r="H10" s="7"/>
      <c r="I10" s="36">
        <f>I8+12.706*I9/SQRT(2)</f>
        <v>6.273161000000139</v>
      </c>
      <c r="J10" s="37">
        <f>J8+12.706*J9/SQRT(2)</f>
        <v>18.70795012053448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41">
      <selection activeCell="G31" sqref="G31"/>
    </sheetView>
  </sheetViews>
  <sheetFormatPr defaultColWidth="9.140625" defaultRowHeight="12.75"/>
  <cols>
    <col min="1" max="1" width="36.7109375" style="33" bestFit="1" customWidth="1"/>
    <col min="2" max="2" width="6.28125" style="33" bestFit="1" customWidth="1"/>
    <col min="3" max="3" width="12.140625" style="33" bestFit="1" customWidth="1"/>
    <col min="4" max="4" width="12.28125" style="33" bestFit="1" customWidth="1"/>
    <col min="5" max="5" width="9.421875" style="33" bestFit="1" customWidth="1"/>
    <col min="6" max="6" width="10.7109375" style="33" bestFit="1" customWidth="1"/>
    <col min="7" max="7" width="7.7109375" style="33" bestFit="1" customWidth="1"/>
    <col min="8" max="8" width="6.7109375" style="33" bestFit="1" customWidth="1"/>
    <col min="9" max="9" width="9.421875" style="33" bestFit="1" customWidth="1"/>
    <col min="10" max="10" width="10.28125" style="33" bestFit="1" customWidth="1"/>
    <col min="11" max="16384" width="8.8515625" style="33" customWidth="1"/>
  </cols>
  <sheetData>
    <row r="1" spans="1:10" ht="12.7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38" customFormat="1" ht="52.5">
      <c r="A2" s="4" t="s">
        <v>0</v>
      </c>
      <c r="B2" s="4" t="s">
        <v>1</v>
      </c>
      <c r="C2" s="4" t="s">
        <v>152</v>
      </c>
      <c r="D2" s="4" t="s">
        <v>145</v>
      </c>
      <c r="E2" s="4" t="s">
        <v>153</v>
      </c>
      <c r="F2" s="4" t="s">
        <v>154</v>
      </c>
      <c r="G2" s="4" t="s">
        <v>14</v>
      </c>
      <c r="H2" s="4" t="s">
        <v>15</v>
      </c>
      <c r="I2" s="4" t="s">
        <v>50</v>
      </c>
      <c r="J2" s="4" t="s">
        <v>53</v>
      </c>
    </row>
    <row r="3" spans="1:10" ht="12.75">
      <c r="A3" s="33" t="s">
        <v>4</v>
      </c>
      <c r="B3" s="7" t="s">
        <v>5</v>
      </c>
      <c r="C3" s="7" t="s">
        <v>16</v>
      </c>
      <c r="D3" s="7" t="s">
        <v>18</v>
      </c>
      <c r="E3" s="7">
        <v>0.9881</v>
      </c>
      <c r="F3" s="7" t="s">
        <v>22</v>
      </c>
      <c r="G3" s="34">
        <v>0.002164007</v>
      </c>
      <c r="H3" s="34">
        <v>0.818815299</v>
      </c>
      <c r="I3" s="35">
        <v>0.1062</v>
      </c>
      <c r="J3" s="36">
        <v>1.805064682903348</v>
      </c>
    </row>
    <row r="4" spans="1:10" ht="12.75">
      <c r="A4" s="33" t="s">
        <v>6</v>
      </c>
      <c r="B4" s="7" t="s">
        <v>7</v>
      </c>
      <c r="C4" s="7" t="s">
        <v>16</v>
      </c>
      <c r="D4" s="7" t="s">
        <v>18</v>
      </c>
      <c r="E4" s="7">
        <v>0.9366</v>
      </c>
      <c r="F4" s="7" t="s">
        <v>22</v>
      </c>
      <c r="G4" s="34">
        <v>0.002164007</v>
      </c>
      <c r="H4" s="34">
        <v>0.818815299</v>
      </c>
      <c r="I4" s="35">
        <v>0.1074</v>
      </c>
      <c r="J4" s="36">
        <v>1.2375543539524683</v>
      </c>
    </row>
    <row r="5" spans="1:10" ht="12.75">
      <c r="A5" s="33" t="s">
        <v>8</v>
      </c>
      <c r="B5" s="7">
        <v>5</v>
      </c>
      <c r="C5" s="7" t="s">
        <v>16</v>
      </c>
      <c r="D5" s="7" t="s">
        <v>19</v>
      </c>
      <c r="E5" s="7">
        <v>0.8652</v>
      </c>
      <c r="F5" s="7" t="s">
        <v>21</v>
      </c>
      <c r="G5" s="34">
        <v>0</v>
      </c>
      <c r="H5" s="34">
        <f>1-E5</f>
        <v>0.13480000000000003</v>
      </c>
      <c r="I5" s="35">
        <v>0.1268</v>
      </c>
      <c r="J5" s="36">
        <v>0.6943853377967221</v>
      </c>
    </row>
    <row r="6" spans="1:10" ht="12.75">
      <c r="A6" s="33" t="s">
        <v>47</v>
      </c>
      <c r="B6" s="7">
        <v>1</v>
      </c>
      <c r="C6" s="7" t="s">
        <v>16</v>
      </c>
      <c r="D6" s="7" t="s">
        <v>48</v>
      </c>
      <c r="E6" s="7">
        <v>0.9182</v>
      </c>
      <c r="F6" s="7" t="s">
        <v>22</v>
      </c>
      <c r="G6" s="34">
        <v>0.006860787</v>
      </c>
      <c r="H6" s="34">
        <v>0.318572089</v>
      </c>
      <c r="I6" s="35">
        <v>0.1316</v>
      </c>
      <c r="J6" s="36">
        <v>0.609453005011771</v>
      </c>
    </row>
    <row r="7" spans="2:10" ht="12.75"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1" t="s">
        <v>9</v>
      </c>
      <c r="B8" s="7"/>
      <c r="C8" s="7"/>
      <c r="D8" s="7"/>
      <c r="E8" s="7"/>
      <c r="F8" s="7"/>
      <c r="G8" s="7"/>
      <c r="H8" s="7"/>
      <c r="I8" s="36">
        <f>AVERAGE(I3:I6)</f>
        <v>0.11800000000000001</v>
      </c>
      <c r="J8" s="36">
        <f>AVERAGE(J3:J6)</f>
        <v>1.0866143449160774</v>
      </c>
    </row>
    <row r="9" spans="1:10" ht="12.75">
      <c r="A9" s="1" t="s">
        <v>10</v>
      </c>
      <c r="B9" s="7"/>
      <c r="C9" s="7"/>
      <c r="D9" s="7"/>
      <c r="E9" s="7"/>
      <c r="F9" s="7"/>
      <c r="G9" s="7"/>
      <c r="H9" s="7"/>
      <c r="I9" s="36">
        <f>STDEV(I3:I6)</f>
        <v>0.013089435944047738</v>
      </c>
      <c r="J9" s="36">
        <f>STDEV(J3:J6)</f>
        <v>0.5539194624994493</v>
      </c>
    </row>
    <row r="10" spans="1:10" ht="12.75">
      <c r="A10" s="1" t="s">
        <v>52</v>
      </c>
      <c r="B10" s="7"/>
      <c r="C10" s="7"/>
      <c r="D10" s="7"/>
      <c r="E10" s="7"/>
      <c r="F10" s="7"/>
      <c r="G10" s="7"/>
      <c r="H10" s="7"/>
      <c r="I10" s="36">
        <f>I8+3.182*I9/SQRT(4)</f>
        <v>0.13882529258697995</v>
      </c>
      <c r="J10" s="37">
        <f>J8+3.182*J9/SQRT(4)</f>
        <v>1.9679002097527012</v>
      </c>
    </row>
    <row r="13" spans="1:10" ht="12.75">
      <c r="A13" s="68" t="s">
        <v>54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s="38" customFormat="1" ht="52.5">
      <c r="A14" s="4" t="s">
        <v>0</v>
      </c>
      <c r="B14" s="4" t="s">
        <v>1</v>
      </c>
      <c r="C14" s="4" t="s">
        <v>152</v>
      </c>
      <c r="D14" s="4" t="s">
        <v>145</v>
      </c>
      <c r="E14" s="4" t="s">
        <v>153</v>
      </c>
      <c r="F14" s="4" t="s">
        <v>154</v>
      </c>
      <c r="G14" s="4" t="s">
        <v>14</v>
      </c>
      <c r="H14" s="4" t="s">
        <v>15</v>
      </c>
      <c r="I14" s="4" t="s">
        <v>50</v>
      </c>
      <c r="J14" s="4" t="s">
        <v>53</v>
      </c>
    </row>
    <row r="15" spans="1:10" ht="12.75">
      <c r="A15" s="33" t="s">
        <v>42</v>
      </c>
      <c r="B15" s="7" t="s">
        <v>43</v>
      </c>
      <c r="C15" s="7" t="s">
        <v>16</v>
      </c>
      <c r="D15" s="7" t="s">
        <v>17</v>
      </c>
      <c r="E15" s="7">
        <v>0.5252</v>
      </c>
      <c r="F15" s="7" t="s">
        <v>21</v>
      </c>
      <c r="G15" s="64">
        <v>0</v>
      </c>
      <c r="H15" s="34">
        <f>1-E15</f>
        <v>0.4748</v>
      </c>
      <c r="I15" s="35">
        <v>0.4606</v>
      </c>
      <c r="J15" s="36">
        <v>2.134924367768342</v>
      </c>
    </row>
    <row r="16" spans="1:10" ht="12.75">
      <c r="A16" s="33" t="s">
        <v>23</v>
      </c>
      <c r="B16" s="7">
        <v>2</v>
      </c>
      <c r="C16" s="7" t="s">
        <v>16</v>
      </c>
      <c r="D16" s="7" t="s">
        <v>19</v>
      </c>
      <c r="E16" s="7">
        <v>0.8257</v>
      </c>
      <c r="F16" s="7" t="s">
        <v>21</v>
      </c>
      <c r="G16" s="64">
        <v>0</v>
      </c>
      <c r="H16" s="34">
        <f>1-E16</f>
        <v>0.1743</v>
      </c>
      <c r="I16" s="35">
        <v>0.6633</v>
      </c>
      <c r="J16" s="36">
        <v>1.9912136894012242</v>
      </c>
    </row>
    <row r="17" spans="1:10" ht="12.75">
      <c r="A17" s="33" t="s">
        <v>24</v>
      </c>
      <c r="B17" s="7" t="s">
        <v>25</v>
      </c>
      <c r="C17" s="7" t="s">
        <v>16</v>
      </c>
      <c r="D17" s="7" t="s">
        <v>18</v>
      </c>
      <c r="E17" s="7">
        <v>0.336</v>
      </c>
      <c r="F17" s="7" t="s">
        <v>21</v>
      </c>
      <c r="G17" s="64">
        <v>0</v>
      </c>
      <c r="H17" s="34">
        <f>1-E17</f>
        <v>0.6639999999999999</v>
      </c>
      <c r="I17" s="35">
        <v>0.7248</v>
      </c>
      <c r="J17" s="36">
        <v>2.635139521797001</v>
      </c>
    </row>
    <row r="18" spans="1:10" ht="12.75">
      <c r="A18" s="33" t="s">
        <v>26</v>
      </c>
      <c r="B18" s="7">
        <v>3</v>
      </c>
      <c r="C18" s="7" t="s">
        <v>27</v>
      </c>
      <c r="D18" s="7" t="s">
        <v>28</v>
      </c>
      <c r="E18" s="7">
        <v>0.642</v>
      </c>
      <c r="F18" s="7" t="s">
        <v>21</v>
      </c>
      <c r="G18" s="64">
        <v>0</v>
      </c>
      <c r="H18" s="34">
        <f>1-E18</f>
        <v>0.358</v>
      </c>
      <c r="I18" s="35">
        <v>1.2066</v>
      </c>
      <c r="J18" s="36">
        <v>5.583025248625857</v>
      </c>
    </row>
    <row r="19" spans="2:10" ht="12.75"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1" t="s">
        <v>9</v>
      </c>
      <c r="B20" s="7"/>
      <c r="C20" s="7"/>
      <c r="D20" s="7"/>
      <c r="E20" s="7"/>
      <c r="F20" s="7"/>
      <c r="G20" s="7"/>
      <c r="H20" s="7"/>
      <c r="I20" s="36">
        <f>AVERAGE(I15:I18)</f>
        <v>0.763825</v>
      </c>
      <c r="J20" s="36">
        <f>AVERAGE(J15:J18)</f>
        <v>3.086075706898106</v>
      </c>
    </row>
    <row r="21" spans="1:10" ht="12.75">
      <c r="A21" s="1" t="s">
        <v>10</v>
      </c>
      <c r="B21" s="7"/>
      <c r="C21" s="7"/>
      <c r="D21" s="7"/>
      <c r="E21" s="7"/>
      <c r="F21" s="7"/>
      <c r="G21" s="7"/>
      <c r="H21" s="7"/>
      <c r="I21" s="36">
        <f>STDEV(I15:I18)</f>
        <v>0.3160291798236359</v>
      </c>
      <c r="J21" s="36">
        <f>STDEV(J15:J18)</f>
        <v>1.6873561335467633</v>
      </c>
    </row>
    <row r="22" spans="1:10" ht="12.75">
      <c r="A22" s="1" t="s">
        <v>52</v>
      </c>
      <c r="B22" s="7"/>
      <c r="C22" s="7"/>
      <c r="D22" s="7"/>
      <c r="E22" s="7"/>
      <c r="F22" s="7"/>
      <c r="G22" s="7"/>
      <c r="H22" s="7"/>
      <c r="I22" s="36">
        <f>I20+3.182*I21/SQRT(4)</f>
        <v>1.2666274250994047</v>
      </c>
      <c r="J22" s="37">
        <f>J20+3.182*J21/SQRT(4)</f>
        <v>5.770659315371006</v>
      </c>
    </row>
    <row r="25" spans="1:10" ht="12.75">
      <c r="A25" s="68" t="s">
        <v>55</v>
      </c>
      <c r="B25" s="68"/>
      <c r="C25" s="68"/>
      <c r="D25" s="68"/>
      <c r="E25" s="68"/>
      <c r="F25" s="68"/>
      <c r="G25" s="68"/>
      <c r="H25" s="68"/>
      <c r="I25" s="68"/>
      <c r="J25" s="68"/>
    </row>
    <row r="26" spans="1:10" s="38" customFormat="1" ht="52.5">
      <c r="A26" s="4" t="s">
        <v>0</v>
      </c>
      <c r="B26" s="4" t="s">
        <v>1</v>
      </c>
      <c r="C26" s="4" t="s">
        <v>152</v>
      </c>
      <c r="D26" s="4" t="s">
        <v>145</v>
      </c>
      <c r="E26" s="4" t="s">
        <v>153</v>
      </c>
      <c r="F26" s="4" t="s">
        <v>154</v>
      </c>
      <c r="G26" s="4" t="s">
        <v>14</v>
      </c>
      <c r="H26" s="4" t="s">
        <v>15</v>
      </c>
      <c r="I26" s="4" t="s">
        <v>50</v>
      </c>
      <c r="J26" s="4" t="s">
        <v>53</v>
      </c>
    </row>
    <row r="27" spans="1:10" ht="12.75">
      <c r="A27" s="33" t="s">
        <v>45</v>
      </c>
      <c r="B27" s="7" t="s">
        <v>46</v>
      </c>
      <c r="C27" s="7" t="s">
        <v>20</v>
      </c>
      <c r="D27" s="7" t="s">
        <v>17</v>
      </c>
      <c r="E27" s="7">
        <v>0.4036</v>
      </c>
      <c r="F27" s="7" t="s">
        <v>21</v>
      </c>
      <c r="G27" s="64">
        <v>0</v>
      </c>
      <c r="H27" s="34">
        <f>1-E27</f>
        <v>0.5964</v>
      </c>
      <c r="I27" s="35">
        <v>3.9768</v>
      </c>
      <c r="J27" s="36">
        <v>7.798466767871615</v>
      </c>
    </row>
    <row r="28" spans="1:10" ht="12.75">
      <c r="A28" s="33" t="s">
        <v>29</v>
      </c>
      <c r="B28" s="7" t="s">
        <v>30</v>
      </c>
      <c r="C28" s="7" t="s">
        <v>16</v>
      </c>
      <c r="D28" s="7" t="s">
        <v>18</v>
      </c>
      <c r="E28" s="7">
        <v>0.3333</v>
      </c>
      <c r="F28" s="7" t="s">
        <v>22</v>
      </c>
      <c r="G28" s="34">
        <v>0.002164007</v>
      </c>
      <c r="H28" s="34">
        <v>0.818815299</v>
      </c>
      <c r="I28" s="35">
        <v>4.0042</v>
      </c>
      <c r="J28" s="36">
        <v>7.087007116214972</v>
      </c>
    </row>
    <row r="29" spans="1:10" ht="12.75">
      <c r="A29" s="33" t="s">
        <v>31</v>
      </c>
      <c r="B29" s="7">
        <v>2</v>
      </c>
      <c r="C29" s="7" t="s">
        <v>20</v>
      </c>
      <c r="D29" s="7" t="s">
        <v>28</v>
      </c>
      <c r="E29" s="7">
        <v>0.0487</v>
      </c>
      <c r="F29" s="7" t="s">
        <v>21</v>
      </c>
      <c r="G29" s="64">
        <v>0</v>
      </c>
      <c r="H29" s="34">
        <f>1-E29</f>
        <v>0.9513</v>
      </c>
      <c r="I29" s="35">
        <v>4.0233</v>
      </c>
      <c r="J29" s="36">
        <v>9.532342585227271</v>
      </c>
    </row>
    <row r="30" spans="1:10" ht="12.75">
      <c r="A30" s="33" t="s">
        <v>32</v>
      </c>
      <c r="B30" s="7">
        <v>10</v>
      </c>
      <c r="C30" s="7" t="s">
        <v>16</v>
      </c>
      <c r="D30" s="7" t="s">
        <v>18</v>
      </c>
      <c r="E30" s="7">
        <v>0.0147</v>
      </c>
      <c r="F30" s="7" t="s">
        <v>22</v>
      </c>
      <c r="G30" s="34">
        <v>0.002164007</v>
      </c>
      <c r="H30" s="34">
        <v>0.818815299</v>
      </c>
      <c r="I30" s="35">
        <v>6.2517</v>
      </c>
      <c r="J30" s="36">
        <v>8.028944760342023</v>
      </c>
    </row>
    <row r="31" spans="1:10" ht="12.75">
      <c r="A31" s="33" t="s">
        <v>32</v>
      </c>
      <c r="B31" s="7">
        <v>1</v>
      </c>
      <c r="C31" s="7" t="s">
        <v>20</v>
      </c>
      <c r="D31" s="7" t="s">
        <v>28</v>
      </c>
      <c r="E31" s="7">
        <v>0.4409</v>
      </c>
      <c r="F31" s="7" t="s">
        <v>21</v>
      </c>
      <c r="G31" s="64">
        <v>0</v>
      </c>
      <c r="H31" s="34">
        <f>1-E31</f>
        <v>0.5590999999999999</v>
      </c>
      <c r="I31" s="35">
        <v>6.9024</v>
      </c>
      <c r="J31" s="36">
        <v>6.3056390977443595</v>
      </c>
    </row>
    <row r="33" spans="1:10" ht="12.75">
      <c r="A33" s="1" t="s">
        <v>9</v>
      </c>
      <c r="B33" s="7"/>
      <c r="C33" s="7"/>
      <c r="D33" s="7"/>
      <c r="E33" s="7"/>
      <c r="F33" s="7"/>
      <c r="G33" s="7"/>
      <c r="H33" s="7"/>
      <c r="I33" s="36">
        <f>AVERAGE(I27:I31)</f>
        <v>5.03168</v>
      </c>
      <c r="J33" s="36">
        <f>AVERAGE(J27:J31)</f>
        <v>7.750480065480048</v>
      </c>
    </row>
    <row r="34" spans="1:10" ht="12.75">
      <c r="A34" s="1" t="s">
        <v>10</v>
      </c>
      <c r="B34" s="7"/>
      <c r="C34" s="7"/>
      <c r="D34" s="7"/>
      <c r="E34" s="7"/>
      <c r="F34" s="7"/>
      <c r="G34" s="7"/>
      <c r="H34" s="7"/>
      <c r="I34" s="36">
        <f>STDEV(I27:I31)</f>
        <v>1.4294543808740454</v>
      </c>
      <c r="J34" s="36">
        <f>STDEV(J27:J31)</f>
        <v>1.2023561375092677</v>
      </c>
    </row>
    <row r="35" spans="1:10" ht="12.75">
      <c r="A35" s="1" t="s">
        <v>52</v>
      </c>
      <c r="B35" s="7"/>
      <c r="C35" s="7"/>
      <c r="D35" s="7"/>
      <c r="E35" s="7"/>
      <c r="F35" s="7"/>
      <c r="G35" s="7"/>
      <c r="H35" s="7"/>
      <c r="I35" s="36">
        <f>I33+2.776*I34/SQRT(5)</f>
        <v>6.806297498768202</v>
      </c>
      <c r="J35" s="37">
        <f>J33+2.776*J34/SQRT(5)</f>
        <v>9.243163056923692</v>
      </c>
    </row>
    <row r="38" spans="1:10" ht="12.75">
      <c r="A38" s="68" t="s">
        <v>58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52.5">
      <c r="A39" s="4" t="s">
        <v>0</v>
      </c>
      <c r="B39" s="4" t="s">
        <v>1</v>
      </c>
      <c r="C39" s="4" t="s">
        <v>152</v>
      </c>
      <c r="D39" s="4" t="s">
        <v>145</v>
      </c>
      <c r="E39" s="4" t="s">
        <v>153</v>
      </c>
      <c r="F39" s="4" t="s">
        <v>154</v>
      </c>
      <c r="G39" s="4" t="s">
        <v>14</v>
      </c>
      <c r="H39" s="4" t="s">
        <v>15</v>
      </c>
      <c r="I39" s="4" t="s">
        <v>50</v>
      </c>
      <c r="J39" s="4" t="s">
        <v>53</v>
      </c>
    </row>
    <row r="40" spans="1:10" ht="12.75">
      <c r="A40" s="33" t="s">
        <v>2</v>
      </c>
      <c r="B40" s="7" t="s">
        <v>3</v>
      </c>
      <c r="C40" s="7" t="s">
        <v>16</v>
      </c>
      <c r="D40" s="7" t="s">
        <v>17</v>
      </c>
      <c r="E40" s="7">
        <v>0.9975</v>
      </c>
      <c r="F40" s="7" t="s">
        <v>21</v>
      </c>
      <c r="G40" s="64">
        <v>0</v>
      </c>
      <c r="H40" s="34">
        <v>0.0025</v>
      </c>
      <c r="I40" s="35">
        <v>0.0816</v>
      </c>
      <c r="J40" s="36">
        <v>0.118228700131489</v>
      </c>
    </row>
    <row r="41" spans="1:10" ht="12.75">
      <c r="A41" s="33" t="s">
        <v>57</v>
      </c>
      <c r="B41" s="7" t="s">
        <v>3</v>
      </c>
      <c r="C41" s="7" t="s">
        <v>16</v>
      </c>
      <c r="D41" s="7" t="s">
        <v>17</v>
      </c>
      <c r="E41" s="7">
        <v>0.9989</v>
      </c>
      <c r="F41" s="7" t="s">
        <v>21</v>
      </c>
      <c r="G41" s="64">
        <v>0</v>
      </c>
      <c r="H41" s="34">
        <v>0.011</v>
      </c>
      <c r="I41" s="35">
        <v>0.0936</v>
      </c>
      <c r="J41" s="36">
        <v>0.15715333950898946</v>
      </c>
    </row>
    <row r="42" spans="2:10" ht="12.75">
      <c r="B42" s="7"/>
      <c r="C42" s="7"/>
      <c r="D42" s="7"/>
      <c r="E42" s="7"/>
      <c r="F42" s="7"/>
      <c r="G42" s="7"/>
      <c r="H42" s="7"/>
      <c r="I42" s="7"/>
      <c r="J42" s="34"/>
    </row>
    <row r="43" spans="1:10" ht="12.75">
      <c r="A43" s="1" t="s">
        <v>9</v>
      </c>
      <c r="B43" s="7"/>
      <c r="C43" s="7"/>
      <c r="D43" s="7"/>
      <c r="E43" s="7"/>
      <c r="F43" s="7"/>
      <c r="G43" s="7"/>
      <c r="H43" s="7"/>
      <c r="I43" s="36">
        <f>AVERAGE(I40:I41)</f>
        <v>0.08760000000000001</v>
      </c>
      <c r="J43" s="36">
        <f>AVERAGE(J40:J41)</f>
        <v>0.13769101982023924</v>
      </c>
    </row>
    <row r="44" spans="1:10" ht="12.75">
      <c r="A44" s="1" t="s">
        <v>10</v>
      </c>
      <c r="B44" s="7"/>
      <c r="C44" s="7"/>
      <c r="D44" s="7"/>
      <c r="E44" s="7"/>
      <c r="F44" s="7"/>
      <c r="G44" s="7"/>
      <c r="H44" s="7"/>
      <c r="I44" s="36">
        <f>STDEV(I40:I41)</f>
        <v>0.008485281374238417</v>
      </c>
      <c r="J44" s="36">
        <f>STDEV(J40:J41)</f>
        <v>0.0275238764590715</v>
      </c>
    </row>
    <row r="45" spans="1:10" ht="12.75">
      <c r="A45" s="1" t="s">
        <v>52</v>
      </c>
      <c r="B45" s="7"/>
      <c r="C45" s="7"/>
      <c r="D45" s="7"/>
      <c r="E45" s="7"/>
      <c r="F45" s="7"/>
      <c r="G45" s="7"/>
      <c r="H45" s="7"/>
      <c r="I45" s="36">
        <f>I43+12.706*I44/SQRT(2)</f>
        <v>0.16383599999999862</v>
      </c>
      <c r="J45" s="37">
        <f>J43+12.706*J44/SQRT(2)</f>
        <v>0.3849792537854997</v>
      </c>
    </row>
    <row r="46" spans="1:10" ht="12.75">
      <c r="A46" s="68" t="s">
        <v>144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52.5">
      <c r="A47" s="4" t="s">
        <v>0</v>
      </c>
      <c r="B47" s="4" t="s">
        <v>1</v>
      </c>
      <c r="C47" s="4" t="s">
        <v>152</v>
      </c>
      <c r="D47" s="4" t="s">
        <v>145</v>
      </c>
      <c r="E47" s="4" t="s">
        <v>153</v>
      </c>
      <c r="F47" s="4" t="s">
        <v>154</v>
      </c>
      <c r="G47" s="4" t="s">
        <v>14</v>
      </c>
      <c r="H47" s="4" t="s">
        <v>15</v>
      </c>
      <c r="I47" s="4" t="s">
        <v>50</v>
      </c>
      <c r="J47" s="4" t="s">
        <v>53</v>
      </c>
    </row>
    <row r="48" spans="1:10" ht="12.75">
      <c r="A48" t="s">
        <v>146</v>
      </c>
      <c r="B48" s="2" t="s">
        <v>147</v>
      </c>
      <c r="C48" s="2" t="s">
        <v>148</v>
      </c>
      <c r="D48" s="2" t="s">
        <v>148</v>
      </c>
      <c r="E48" s="2">
        <v>0.32530000000000003</v>
      </c>
      <c r="F48" s="2" t="s">
        <v>21</v>
      </c>
      <c r="G48" s="2">
        <v>0</v>
      </c>
      <c r="H48" s="2">
        <f>1-E48</f>
        <v>0.6747</v>
      </c>
      <c r="I48" s="2">
        <v>5.3343</v>
      </c>
      <c r="J48" s="57">
        <v>7.335044660788993</v>
      </c>
    </row>
    <row r="49" spans="1:10" ht="12.75">
      <c r="A49" t="s">
        <v>149</v>
      </c>
      <c r="B49" s="2">
        <v>1</v>
      </c>
      <c r="C49" s="2" t="s">
        <v>148</v>
      </c>
      <c r="D49" s="2" t="s">
        <v>148</v>
      </c>
      <c r="E49" s="2">
        <v>0.3399</v>
      </c>
      <c r="F49" s="2" t="s">
        <v>21</v>
      </c>
      <c r="G49" s="2">
        <v>0</v>
      </c>
      <c r="H49" s="2">
        <f>1-E49</f>
        <v>0.6601</v>
      </c>
      <c r="I49" s="2">
        <v>5.4713</v>
      </c>
      <c r="J49" s="57">
        <v>5.391954713796769</v>
      </c>
    </row>
    <row r="50" ht="12.75"/>
    <row r="51" spans="1:10" ht="12.75">
      <c r="A51" s="1" t="s">
        <v>9</v>
      </c>
      <c r="B51" s="7"/>
      <c r="C51" s="7"/>
      <c r="D51" s="7"/>
      <c r="E51" s="7"/>
      <c r="F51" s="7"/>
      <c r="G51" s="7"/>
      <c r="H51" s="7"/>
      <c r="I51" s="36">
        <f>AVERAGE(I48:I49)</f>
        <v>5.4028</v>
      </c>
      <c r="J51" s="36">
        <f>AVERAGE(J48:J49)</f>
        <v>6.363499687292881</v>
      </c>
    </row>
    <row r="52" spans="1:10" ht="12.75">
      <c r="A52" s="1" t="s">
        <v>10</v>
      </c>
      <c r="B52" s="7"/>
      <c r="C52" s="7"/>
      <c r="D52" s="7"/>
      <c r="E52" s="7"/>
      <c r="F52" s="7"/>
      <c r="G52" s="7"/>
      <c r="H52" s="7"/>
      <c r="I52" s="36">
        <f>STDEV(I48:I49)</f>
        <v>0.09687362902257257</v>
      </c>
      <c r="J52" s="36">
        <f>STDEV(J48:J49)</f>
        <v>1.3739720779736109</v>
      </c>
    </row>
    <row r="53" spans="1:10" ht="12.75">
      <c r="A53" s="1" t="s">
        <v>52</v>
      </c>
      <c r="B53" s="7"/>
      <c r="C53" s="7"/>
      <c r="D53" s="7"/>
      <c r="E53" s="7"/>
      <c r="F53" s="7"/>
      <c r="G53" s="7"/>
      <c r="H53" s="7"/>
      <c r="I53" s="36">
        <f>I51+12.706*I52/SQRT(2)</f>
        <v>6.273161000000139</v>
      </c>
      <c r="J53" s="37">
        <f>J51+12.706*J52/SQRT(2)</f>
        <v>18.70795012053448</v>
      </c>
    </row>
  </sheetData>
  <mergeCells count="5">
    <mergeCell ref="A46:J46"/>
    <mergeCell ref="A1:J1"/>
    <mergeCell ref="A13:J13"/>
    <mergeCell ref="A25:J25"/>
    <mergeCell ref="A38:J38"/>
  </mergeCells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18" sqref="A18"/>
    </sheetView>
  </sheetViews>
  <sheetFormatPr defaultColWidth="9.140625" defaultRowHeight="12.75"/>
  <cols>
    <col min="1" max="1" width="18.140625" style="0" customWidth="1"/>
    <col min="2" max="2" width="11.7109375" style="0" customWidth="1"/>
    <col min="3" max="3" width="11.57421875" style="0" customWidth="1"/>
    <col min="4" max="6" width="14.421875" style="0" customWidth="1"/>
    <col min="7" max="7" width="17.421875" style="0" customWidth="1"/>
    <col min="8" max="8" width="9.57421875" style="0" customWidth="1"/>
    <col min="9" max="9" width="18.28125" style="0" customWidth="1"/>
    <col min="10" max="10" width="12.421875" style="0" customWidth="1"/>
  </cols>
  <sheetData>
    <row r="1" spans="1:3" ht="15">
      <c r="A1" s="45" t="s">
        <v>63</v>
      </c>
      <c r="B1" s="45"/>
      <c r="C1" s="1"/>
    </row>
    <row r="2" spans="1:2" ht="12.75">
      <c r="A2" s="1" t="s">
        <v>64</v>
      </c>
      <c r="B2" s="1" t="s">
        <v>65</v>
      </c>
    </row>
    <row r="3" spans="1:2" ht="12.75">
      <c r="A3">
        <v>0.002164007</v>
      </c>
      <c r="B3">
        <v>0.818815299</v>
      </c>
    </row>
    <row r="4" spans="1:7" ht="26.25">
      <c r="A4" s="5" t="s">
        <v>66</v>
      </c>
      <c r="B4" s="5" t="s">
        <v>67</v>
      </c>
      <c r="C4" s="5" t="s">
        <v>68</v>
      </c>
      <c r="D4" s="5" t="s">
        <v>69</v>
      </c>
      <c r="E4" s="4" t="s">
        <v>70</v>
      </c>
      <c r="F4" s="5" t="s">
        <v>71</v>
      </c>
      <c r="G4" s="4" t="s">
        <v>72</v>
      </c>
    </row>
    <row r="5" spans="1:11" ht="12.75">
      <c r="A5">
        <v>13075</v>
      </c>
      <c r="B5">
        <v>0.2</v>
      </c>
      <c r="C5">
        <v>1000</v>
      </c>
      <c r="D5">
        <f aca="true" t="shared" si="0" ref="D5:D43">1000000*B5*$B$3*EXP(-$A$3*C5)/A5</f>
        <v>1.4386592678534884</v>
      </c>
      <c r="E5">
        <f aca="true" t="shared" si="1" ref="E5:E36">F5/MAX(Index)</f>
        <v>0.02564102564102564</v>
      </c>
      <c r="F5">
        <v>1</v>
      </c>
      <c r="G5">
        <v>0.0067937184933716315</v>
      </c>
      <c r="I5">
        <f>VLOOKUP(0.975,freqtab,3)</f>
        <v>1.7563145657232904</v>
      </c>
      <c r="J5">
        <f>VLOOKUP(0.975,freqtab,2)</f>
        <v>38</v>
      </c>
      <c r="K5">
        <f>J5/MAX(Index)</f>
        <v>0.9743589743589743</v>
      </c>
    </row>
    <row r="6" spans="1:11" ht="13.5" thickBot="1">
      <c r="A6">
        <v>13081</v>
      </c>
      <c r="B6">
        <v>0.18</v>
      </c>
      <c r="C6">
        <v>1000</v>
      </c>
      <c r="D6">
        <f t="shared" si="0"/>
        <v>1.294199444573498</v>
      </c>
      <c r="E6">
        <f t="shared" si="1"/>
        <v>0.05128205128205128</v>
      </c>
      <c r="F6">
        <f>F5+1</f>
        <v>2</v>
      </c>
      <c r="G6">
        <v>0.021009003367298357</v>
      </c>
      <c r="I6">
        <f>VLOOKUP(J6,freqindex,2)</f>
        <v>3.706319252925609</v>
      </c>
      <c r="J6">
        <f>J5+1</f>
        <v>39</v>
      </c>
      <c r="K6">
        <f>J6/MAX(Index)</f>
        <v>1</v>
      </c>
    </row>
    <row r="7" spans="1:10" ht="15.75" thickBot="1">
      <c r="A7">
        <v>13480</v>
      </c>
      <c r="B7">
        <v>0.07</v>
      </c>
      <c r="C7">
        <v>1300</v>
      </c>
      <c r="D7">
        <f t="shared" si="0"/>
        <v>0.2551719355066642</v>
      </c>
      <c r="E7">
        <f t="shared" si="1"/>
        <v>0.07692307692307693</v>
      </c>
      <c r="F7">
        <f aca="true" t="shared" si="2" ref="F7:F43">F6+1</f>
        <v>3</v>
      </c>
      <c r="G7">
        <v>0.03645355423447438</v>
      </c>
      <c r="I7" s="46" t="s">
        <v>74</v>
      </c>
      <c r="J7" s="47">
        <f>$I$5+((0.975-$K$5)/($K$6-$K$5))*($I$6-$I$5)</f>
        <v>1.805064682903348</v>
      </c>
    </row>
    <row r="8" spans="1:7" ht="12.75">
      <c r="A8">
        <v>13480</v>
      </c>
      <c r="B8">
        <v>0.05</v>
      </c>
      <c r="C8">
        <v>1400</v>
      </c>
      <c r="D8">
        <f t="shared" si="0"/>
        <v>0.14679904903805704</v>
      </c>
      <c r="E8">
        <f t="shared" si="1"/>
        <v>0.10256410256410256</v>
      </c>
      <c r="F8">
        <f t="shared" si="2"/>
        <v>4</v>
      </c>
      <c r="G8">
        <v>0.03733262997128345</v>
      </c>
    </row>
    <row r="9" spans="1:10" ht="12.75">
      <c r="A9">
        <v>13489</v>
      </c>
      <c r="B9">
        <v>0.1</v>
      </c>
      <c r="C9">
        <v>1400</v>
      </c>
      <c r="D9">
        <f t="shared" si="0"/>
        <v>0.29340220639528636</v>
      </c>
      <c r="E9">
        <f t="shared" si="1"/>
        <v>0.1282051282051282</v>
      </c>
      <c r="F9">
        <f t="shared" si="2"/>
        <v>5</v>
      </c>
      <c r="G9">
        <v>0.044094228576383836</v>
      </c>
      <c r="I9" s="1" t="s">
        <v>73</v>
      </c>
      <c r="J9" s="48" t="str">
        <f>A1&amp;": 97.5th Percentile = "&amp;TEXT($J$7,"0.0000")&amp;" lb Hg/TBtu"</f>
        <v>Mecklenburg 1: 97.5th Percentile = 1.8051 lb Hg/TBtu</v>
      </c>
    </row>
    <row r="10" spans="1:7" ht="12.75">
      <c r="A10">
        <v>13489</v>
      </c>
      <c r="B10">
        <v>0.07</v>
      </c>
      <c r="C10">
        <v>1700</v>
      </c>
      <c r="D10">
        <f t="shared" si="0"/>
        <v>0.10730415175318882</v>
      </c>
      <c r="E10">
        <f t="shared" si="1"/>
        <v>0.15384615384615385</v>
      </c>
      <c r="F10">
        <f t="shared" si="2"/>
        <v>6</v>
      </c>
      <c r="G10">
        <v>0.04979685066649958</v>
      </c>
    </row>
    <row r="11" spans="1:7" ht="12.75">
      <c r="A11">
        <v>13433</v>
      </c>
      <c r="B11">
        <v>0.1</v>
      </c>
      <c r="C11">
        <v>2000</v>
      </c>
      <c r="D11">
        <f t="shared" si="0"/>
        <v>0.08042301232512582</v>
      </c>
      <c r="E11">
        <f t="shared" si="1"/>
        <v>0.1794871794871795</v>
      </c>
      <c r="F11">
        <f t="shared" si="2"/>
        <v>7</v>
      </c>
      <c r="G11">
        <v>0.05975622079979949</v>
      </c>
    </row>
    <row r="12" spans="1:7" ht="12.75">
      <c r="A12">
        <v>13433</v>
      </c>
      <c r="B12">
        <v>0.05</v>
      </c>
      <c r="C12">
        <v>2300</v>
      </c>
      <c r="D12">
        <f t="shared" si="0"/>
        <v>0.021009003367298357</v>
      </c>
      <c r="E12">
        <f t="shared" si="1"/>
        <v>0.20512820512820512</v>
      </c>
      <c r="F12">
        <f t="shared" si="2"/>
        <v>8</v>
      </c>
      <c r="G12">
        <v>0.06248510688131213</v>
      </c>
    </row>
    <row r="13" spans="1:7" ht="12.75">
      <c r="A13">
        <v>13432</v>
      </c>
      <c r="B13">
        <v>0.09</v>
      </c>
      <c r="C13">
        <v>1700</v>
      </c>
      <c r="D13">
        <f t="shared" si="0"/>
        <v>0.13854793804761417</v>
      </c>
      <c r="E13">
        <f t="shared" si="1"/>
        <v>0.23076923076923078</v>
      </c>
      <c r="F13">
        <f t="shared" si="2"/>
        <v>9</v>
      </c>
      <c r="G13">
        <v>0.06299175510911978</v>
      </c>
    </row>
    <row r="14" spans="1:10" ht="15">
      <c r="A14">
        <v>13607</v>
      </c>
      <c r="B14">
        <v>0.09</v>
      </c>
      <c r="C14">
        <v>2300</v>
      </c>
      <c r="D14">
        <f t="shared" si="0"/>
        <v>0.03733262997128345</v>
      </c>
      <c r="E14">
        <f t="shared" si="1"/>
        <v>0.2564102564102564</v>
      </c>
      <c r="F14">
        <f t="shared" si="2"/>
        <v>10</v>
      </c>
      <c r="G14">
        <v>0.06955859866268947</v>
      </c>
      <c r="I14" s="49"/>
      <c r="J14" s="50"/>
    </row>
    <row r="15" spans="1:10" ht="12.75">
      <c r="A15">
        <v>13607</v>
      </c>
      <c r="B15">
        <v>0.06</v>
      </c>
      <c r="C15">
        <v>2900</v>
      </c>
      <c r="D15">
        <f t="shared" si="0"/>
        <v>0.0067937184933716315</v>
      </c>
      <c r="E15">
        <f t="shared" si="1"/>
        <v>0.28205128205128205</v>
      </c>
      <c r="F15">
        <f t="shared" si="2"/>
        <v>11</v>
      </c>
      <c r="G15">
        <v>0.07676533279937439</v>
      </c>
      <c r="I15" s="14"/>
      <c r="J15" s="14"/>
    </row>
    <row r="16" spans="1:10" ht="12.75">
      <c r="A16">
        <v>13457</v>
      </c>
      <c r="B16">
        <v>0.07</v>
      </c>
      <c r="C16">
        <v>1700</v>
      </c>
      <c r="D16">
        <f t="shared" si="0"/>
        <v>0.10755931507756289</v>
      </c>
      <c r="E16">
        <f t="shared" si="1"/>
        <v>0.3076923076923077</v>
      </c>
      <c r="F16">
        <f t="shared" si="2"/>
        <v>12</v>
      </c>
      <c r="G16">
        <v>0.07687243897430088</v>
      </c>
      <c r="I16" s="51"/>
      <c r="J16" s="52"/>
    </row>
    <row r="17" spans="1:10" ht="12.75">
      <c r="A17">
        <v>13457</v>
      </c>
      <c r="B17">
        <v>0.07</v>
      </c>
      <c r="C17">
        <v>2200</v>
      </c>
      <c r="D17">
        <f t="shared" si="0"/>
        <v>0.03645355423447438</v>
      </c>
      <c r="E17">
        <f t="shared" si="1"/>
        <v>0.3333333333333333</v>
      </c>
      <c r="F17">
        <f t="shared" si="2"/>
        <v>13</v>
      </c>
      <c r="G17">
        <v>0.08042301232512582</v>
      </c>
      <c r="I17" s="14"/>
      <c r="J17" s="14"/>
    </row>
    <row r="18" spans="1:10" ht="12.75">
      <c r="A18">
        <v>12896</v>
      </c>
      <c r="B18">
        <v>0.09</v>
      </c>
      <c r="C18">
        <v>600</v>
      </c>
      <c r="D18">
        <f t="shared" si="0"/>
        <v>1.5598529341815295</v>
      </c>
      <c r="E18">
        <f t="shared" si="1"/>
        <v>0.358974358974359</v>
      </c>
      <c r="F18">
        <f t="shared" si="2"/>
        <v>14</v>
      </c>
      <c r="G18">
        <v>0.09567784693060931</v>
      </c>
      <c r="I18" s="14"/>
      <c r="J18" s="14"/>
    </row>
    <row r="19" spans="1:10" ht="12.75">
      <c r="A19">
        <v>12898</v>
      </c>
      <c r="B19">
        <v>0.09</v>
      </c>
      <c r="C19">
        <v>200</v>
      </c>
      <c r="D19">
        <f t="shared" si="0"/>
        <v>3.706319252925609</v>
      </c>
      <c r="E19">
        <f t="shared" si="1"/>
        <v>0.38461538461538464</v>
      </c>
      <c r="F19">
        <f t="shared" si="2"/>
        <v>15</v>
      </c>
      <c r="G19">
        <v>0.10730415175318882</v>
      </c>
      <c r="I19" s="14"/>
      <c r="J19" s="14"/>
    </row>
    <row r="20" spans="1:10" ht="12.75">
      <c r="A20">
        <v>13098</v>
      </c>
      <c r="B20">
        <v>0.08</v>
      </c>
      <c r="C20">
        <v>700</v>
      </c>
      <c r="D20">
        <f t="shared" si="0"/>
        <v>1.0995109028678662</v>
      </c>
      <c r="E20">
        <f t="shared" si="1"/>
        <v>0.41025641025641024</v>
      </c>
      <c r="F20">
        <f t="shared" si="2"/>
        <v>16</v>
      </c>
      <c r="G20">
        <v>0.10755931507756289</v>
      </c>
      <c r="I20" s="14"/>
      <c r="J20" s="14"/>
    </row>
    <row r="21" spans="1:10" ht="15">
      <c r="A21">
        <v>13098</v>
      </c>
      <c r="B21">
        <v>0.09</v>
      </c>
      <c r="C21">
        <v>538</v>
      </c>
      <c r="D21">
        <f t="shared" si="0"/>
        <v>1.7563145657232904</v>
      </c>
      <c r="E21">
        <f t="shared" si="1"/>
        <v>0.4358974358974359</v>
      </c>
      <c r="F21">
        <f t="shared" si="2"/>
        <v>17</v>
      </c>
      <c r="G21">
        <v>0.10789326740730826</v>
      </c>
      <c r="I21" s="49"/>
      <c r="J21" s="50"/>
    </row>
    <row r="22" spans="1:7" ht="12.75">
      <c r="A22">
        <v>13570</v>
      </c>
      <c r="B22">
        <v>0.14</v>
      </c>
      <c r="C22">
        <v>1100</v>
      </c>
      <c r="D22">
        <f t="shared" si="0"/>
        <v>0.7815130020596807</v>
      </c>
      <c r="E22">
        <f t="shared" si="1"/>
        <v>0.46153846153846156</v>
      </c>
      <c r="F22">
        <f t="shared" si="2"/>
        <v>18</v>
      </c>
      <c r="G22">
        <v>0.11088335197210732</v>
      </c>
    </row>
    <row r="23" spans="1:10" ht="12.75">
      <c r="A23">
        <v>13892</v>
      </c>
      <c r="B23">
        <v>0.06</v>
      </c>
      <c r="C23">
        <v>1600</v>
      </c>
      <c r="D23">
        <f t="shared" si="0"/>
        <v>0.11088335197210732</v>
      </c>
      <c r="E23">
        <f t="shared" si="1"/>
        <v>0.48717948717948717</v>
      </c>
      <c r="F23">
        <f t="shared" si="2"/>
        <v>19</v>
      </c>
      <c r="G23">
        <v>0.13257033391334222</v>
      </c>
      <c r="I23" s="1"/>
      <c r="J23" s="48"/>
    </row>
    <row r="24" spans="1:7" ht="12.75">
      <c r="A24">
        <v>13892</v>
      </c>
      <c r="B24">
        <v>0.09</v>
      </c>
      <c r="C24">
        <v>1800</v>
      </c>
      <c r="D24">
        <f t="shared" si="0"/>
        <v>0.10789326740730826</v>
      </c>
      <c r="E24">
        <f t="shared" si="1"/>
        <v>0.5128205128205128</v>
      </c>
      <c r="F24">
        <f t="shared" si="2"/>
        <v>20</v>
      </c>
      <c r="G24">
        <v>0.13854793804761417</v>
      </c>
    </row>
    <row r="25" spans="1:7" ht="12.75">
      <c r="A25">
        <v>13866</v>
      </c>
      <c r="B25">
        <v>0.09</v>
      </c>
      <c r="C25">
        <v>1200</v>
      </c>
      <c r="D25">
        <f t="shared" si="0"/>
        <v>0.3960022955507565</v>
      </c>
      <c r="E25">
        <f t="shared" si="1"/>
        <v>0.5384615384615384</v>
      </c>
      <c r="F25">
        <f t="shared" si="2"/>
        <v>21</v>
      </c>
      <c r="G25">
        <v>0.14679904903805704</v>
      </c>
    </row>
    <row r="26" spans="1:7" ht="12.75">
      <c r="A26">
        <v>13925</v>
      </c>
      <c r="B26">
        <v>0.1</v>
      </c>
      <c r="C26">
        <v>2100</v>
      </c>
      <c r="D26">
        <f t="shared" si="0"/>
        <v>0.06248510688131213</v>
      </c>
      <c r="E26">
        <f t="shared" si="1"/>
        <v>0.5641025641025641</v>
      </c>
      <c r="F26">
        <f t="shared" si="2"/>
        <v>22</v>
      </c>
      <c r="G26">
        <v>0.2168686612071561</v>
      </c>
    </row>
    <row r="27" spans="1:7" ht="12.75">
      <c r="A27">
        <v>13925</v>
      </c>
      <c r="B27">
        <v>0.08</v>
      </c>
      <c r="C27">
        <v>1800</v>
      </c>
      <c r="D27">
        <f t="shared" si="0"/>
        <v>0.09567784693060931</v>
      </c>
      <c r="E27">
        <f t="shared" si="1"/>
        <v>0.5897435897435898</v>
      </c>
      <c r="F27">
        <f t="shared" si="2"/>
        <v>23</v>
      </c>
      <c r="G27">
        <v>0.2551719355066642</v>
      </c>
    </row>
    <row r="28" spans="1:7" ht="12.75">
      <c r="A28">
        <v>13813</v>
      </c>
      <c r="B28">
        <v>0.1</v>
      </c>
      <c r="C28">
        <v>2100</v>
      </c>
      <c r="D28">
        <f t="shared" si="0"/>
        <v>0.06299175510911978</v>
      </c>
      <c r="E28">
        <f t="shared" si="1"/>
        <v>0.6153846153846154</v>
      </c>
      <c r="F28">
        <f t="shared" si="2"/>
        <v>24</v>
      </c>
      <c r="G28">
        <v>0.26169510879872276</v>
      </c>
    </row>
    <row r="29" spans="1:7" ht="12.75">
      <c r="A29">
        <v>13813</v>
      </c>
      <c r="B29">
        <v>0.07</v>
      </c>
      <c r="C29">
        <v>2100</v>
      </c>
      <c r="D29">
        <f t="shared" si="0"/>
        <v>0.044094228576383836</v>
      </c>
      <c r="E29">
        <f t="shared" si="1"/>
        <v>0.6410256410256411</v>
      </c>
      <c r="F29">
        <f t="shared" si="2"/>
        <v>25</v>
      </c>
      <c r="G29">
        <v>0.29340220639528636</v>
      </c>
    </row>
    <row r="30" spans="1:7" ht="12.75">
      <c r="A30">
        <v>13978</v>
      </c>
      <c r="B30">
        <v>0.09</v>
      </c>
      <c r="C30">
        <v>2000</v>
      </c>
      <c r="D30">
        <f t="shared" si="0"/>
        <v>0.06955859866268947</v>
      </c>
      <c r="E30">
        <f t="shared" si="1"/>
        <v>0.6666666666666666</v>
      </c>
      <c r="F30">
        <f t="shared" si="2"/>
        <v>26</v>
      </c>
      <c r="G30">
        <v>0.2958366244630003</v>
      </c>
    </row>
    <row r="31" spans="1:7" ht="12.75">
      <c r="A31">
        <v>13959</v>
      </c>
      <c r="B31">
        <v>0.08</v>
      </c>
      <c r="C31">
        <v>1900</v>
      </c>
      <c r="D31">
        <f t="shared" si="0"/>
        <v>0.07687243897430088</v>
      </c>
      <c r="E31">
        <f t="shared" si="1"/>
        <v>0.6923076923076923</v>
      </c>
      <c r="F31">
        <f t="shared" si="2"/>
        <v>27</v>
      </c>
      <c r="G31">
        <v>0.3960022955507565</v>
      </c>
    </row>
    <row r="32" spans="1:7" ht="12.75">
      <c r="A32">
        <v>13373</v>
      </c>
      <c r="B32">
        <v>0.09</v>
      </c>
      <c r="C32">
        <v>600</v>
      </c>
      <c r="D32">
        <f t="shared" si="0"/>
        <v>1.5042147191509014</v>
      </c>
      <c r="E32">
        <f t="shared" si="1"/>
        <v>0.717948717948718</v>
      </c>
      <c r="F32">
        <f t="shared" si="2"/>
        <v>28</v>
      </c>
      <c r="G32">
        <v>0.4549243352570048</v>
      </c>
    </row>
    <row r="33" spans="1:7" ht="12.75">
      <c r="A33">
        <v>13611</v>
      </c>
      <c r="B33">
        <v>0.09</v>
      </c>
      <c r="C33">
        <v>1400</v>
      </c>
      <c r="D33">
        <f t="shared" si="0"/>
        <v>0.26169510879872276</v>
      </c>
      <c r="E33">
        <f t="shared" si="1"/>
        <v>0.7435897435897436</v>
      </c>
      <c r="F33">
        <f t="shared" si="2"/>
        <v>29</v>
      </c>
      <c r="G33">
        <v>0.5920279149675985</v>
      </c>
    </row>
    <row r="34" spans="1:7" ht="12.75">
      <c r="A34">
        <v>13711</v>
      </c>
      <c r="B34">
        <v>0.08</v>
      </c>
      <c r="C34">
        <v>900</v>
      </c>
      <c r="D34">
        <f t="shared" si="0"/>
        <v>0.6813529423322434</v>
      </c>
      <c r="E34">
        <f t="shared" si="1"/>
        <v>0.7692307692307693</v>
      </c>
      <c r="F34">
        <f t="shared" si="2"/>
        <v>30</v>
      </c>
      <c r="G34">
        <v>0.592160149931326</v>
      </c>
    </row>
    <row r="35" spans="1:7" ht="12.75">
      <c r="A35">
        <v>13556</v>
      </c>
      <c r="B35">
        <v>0.07</v>
      </c>
      <c r="C35">
        <v>1600</v>
      </c>
      <c r="D35">
        <f t="shared" si="0"/>
        <v>0.13257033391334222</v>
      </c>
      <c r="E35">
        <f t="shared" si="1"/>
        <v>0.7948717948717948</v>
      </c>
      <c r="F35">
        <f t="shared" si="2"/>
        <v>31</v>
      </c>
      <c r="G35">
        <v>0.6813529423322434</v>
      </c>
    </row>
    <row r="36" spans="1:7" ht="12.75">
      <c r="A36">
        <v>13595</v>
      </c>
      <c r="B36">
        <v>0.06</v>
      </c>
      <c r="C36">
        <v>1300</v>
      </c>
      <c r="D36">
        <f t="shared" si="0"/>
        <v>0.2168686612071561</v>
      </c>
      <c r="E36">
        <f t="shared" si="1"/>
        <v>0.8205128205128205</v>
      </c>
      <c r="F36">
        <f t="shared" si="2"/>
        <v>32</v>
      </c>
      <c r="G36">
        <v>0.7815130020596807</v>
      </c>
    </row>
    <row r="37" spans="1:7" ht="12.75">
      <c r="A37">
        <v>13313</v>
      </c>
      <c r="B37">
        <v>0.19</v>
      </c>
      <c r="C37">
        <v>1500</v>
      </c>
      <c r="D37">
        <f t="shared" si="0"/>
        <v>0.4549243352570048</v>
      </c>
      <c r="E37">
        <f aca="true" t="shared" si="3" ref="E37:E43">F37/MAX(Index)</f>
        <v>0.8461538461538461</v>
      </c>
      <c r="F37">
        <f t="shared" si="2"/>
        <v>33</v>
      </c>
      <c r="G37">
        <v>1.0995109028678662</v>
      </c>
    </row>
    <row r="38" spans="1:7" ht="12.75">
      <c r="A38">
        <v>13397</v>
      </c>
      <c r="B38">
        <v>0.13</v>
      </c>
      <c r="C38">
        <v>1200</v>
      </c>
      <c r="D38">
        <f t="shared" si="0"/>
        <v>0.5920279149675985</v>
      </c>
      <c r="E38">
        <f t="shared" si="3"/>
        <v>0.8717948717948718</v>
      </c>
      <c r="F38">
        <f t="shared" si="2"/>
        <v>34</v>
      </c>
      <c r="G38">
        <v>1.294199444573498</v>
      </c>
    </row>
    <row r="39" spans="1:7" ht="12.75">
      <c r="A39">
        <v>13468</v>
      </c>
      <c r="B39">
        <v>0.06</v>
      </c>
      <c r="C39">
        <v>1900</v>
      </c>
      <c r="D39">
        <f t="shared" si="0"/>
        <v>0.05975622079979949</v>
      </c>
      <c r="E39">
        <f t="shared" si="3"/>
        <v>0.8974358974358975</v>
      </c>
      <c r="F39">
        <f t="shared" si="2"/>
        <v>35</v>
      </c>
      <c r="G39">
        <v>1.4386592678534884</v>
      </c>
    </row>
    <row r="40" spans="1:7" ht="12.75">
      <c r="A40">
        <v>13468</v>
      </c>
      <c r="B40">
        <v>0.05</v>
      </c>
      <c r="C40">
        <v>1700</v>
      </c>
      <c r="D40">
        <f t="shared" si="0"/>
        <v>0.07676533279937439</v>
      </c>
      <c r="E40">
        <f t="shared" si="3"/>
        <v>0.9230769230769231</v>
      </c>
      <c r="F40">
        <f t="shared" si="2"/>
        <v>36</v>
      </c>
      <c r="G40">
        <v>1.5042147191509014</v>
      </c>
    </row>
    <row r="41" spans="1:7" ht="12.75">
      <c r="A41">
        <v>13468</v>
      </c>
      <c r="B41">
        <v>0.05</v>
      </c>
      <c r="C41">
        <v>1900</v>
      </c>
      <c r="D41">
        <f t="shared" si="0"/>
        <v>0.04979685066649958</v>
      </c>
      <c r="E41">
        <f t="shared" si="3"/>
        <v>0.9487179487179487</v>
      </c>
      <c r="F41">
        <f t="shared" si="2"/>
        <v>37</v>
      </c>
      <c r="G41">
        <v>1.5598529341815295</v>
      </c>
    </row>
    <row r="42" spans="1:7" ht="12.75">
      <c r="A42">
        <v>13367</v>
      </c>
      <c r="B42">
        <v>0.2</v>
      </c>
      <c r="C42">
        <v>1400</v>
      </c>
      <c r="D42">
        <f t="shared" si="0"/>
        <v>0.592160149931326</v>
      </c>
      <c r="E42">
        <f t="shared" si="3"/>
        <v>0.9743589743589743</v>
      </c>
      <c r="F42">
        <f t="shared" si="2"/>
        <v>38</v>
      </c>
      <c r="G42">
        <v>1.7563145657232904</v>
      </c>
    </row>
    <row r="43" spans="1:7" ht="12.75">
      <c r="A43">
        <v>13378</v>
      </c>
      <c r="B43">
        <v>0.1</v>
      </c>
      <c r="C43">
        <v>1400</v>
      </c>
      <c r="D43">
        <f t="shared" si="0"/>
        <v>0.2958366244630003</v>
      </c>
      <c r="E43">
        <f t="shared" si="3"/>
        <v>1</v>
      </c>
      <c r="F43">
        <f t="shared" si="2"/>
        <v>39</v>
      </c>
      <c r="G43">
        <v>3.706319252925609</v>
      </c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mmills</dc:creator>
  <cp:keywords/>
  <dc:description/>
  <cp:lastModifiedBy>OAQPS</cp:lastModifiedBy>
  <cp:lastPrinted>2003-12-12T16:50:32Z</cp:lastPrinted>
  <dcterms:created xsi:type="dcterms:W3CDTF">2003-03-09T12:13:06Z</dcterms:created>
  <dcterms:modified xsi:type="dcterms:W3CDTF">2004-01-20T15:05:19Z</dcterms:modified>
  <cp:category/>
  <cp:version/>
  <cp:contentType/>
  <cp:contentStatus/>
</cp:coreProperties>
</file>