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521" windowWidth="19080" windowHeight="7065" tabRatio="601" activeTab="0"/>
  </bookViews>
  <sheets>
    <sheet name="sum 1958-2000" sheetId="1" r:id="rId1"/>
    <sheet name="land volumes" sheetId="2" r:id="rId2"/>
    <sheet name="ocean volumes" sheetId="3" r:id="rId3"/>
    <sheet name="sum 58(+0.15 m) - 00" sheetId="4" r:id="rId4"/>
    <sheet name="+0.5" sheetId="5" r:id="rId5"/>
    <sheet name="-0.5" sheetId="6" r:id="rId6"/>
  </sheets>
  <externalReferences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<sst xmlns="http://schemas.openxmlformats.org/spreadsheetml/2006/main" count="906" uniqueCount="232">
  <si>
    <t>AveVol</t>
  </si>
  <si>
    <t>Area</t>
  </si>
  <si>
    <t>PosVol</t>
  </si>
  <si>
    <t>negVol</t>
  </si>
  <si>
    <t>Trap</t>
  </si>
  <si>
    <t>Simp</t>
  </si>
  <si>
    <t>Simp3/8</t>
  </si>
  <si>
    <t>inlet.bln</t>
  </si>
  <si>
    <t>LBds.bln</t>
  </si>
  <si>
    <t>LBc1.bln</t>
  </si>
  <si>
    <t>LBc2.bln</t>
  </si>
  <si>
    <t>vol Mm3</t>
  </si>
  <si>
    <t>h</t>
  </si>
  <si>
    <t>&gt; NAVD88 1927-1858</t>
  </si>
  <si>
    <t>&gt;MHW 1927-1858</t>
  </si>
  <si>
    <t>total volume 1927-1858 inbetween shorelines</t>
  </si>
  <si>
    <t>area DEM</t>
  </si>
  <si>
    <t>vol DEM</t>
  </si>
  <si>
    <t>area bathy</t>
  </si>
  <si>
    <t>vol &lt; 3m</t>
  </si>
  <si>
    <t>error</t>
  </si>
  <si>
    <t>vol corr</t>
  </si>
  <si>
    <t>h mean</t>
  </si>
  <si>
    <t>vol&gt;3 M</t>
  </si>
  <si>
    <t>tot vol</t>
  </si>
  <si>
    <t>totvol Mm3</t>
  </si>
  <si>
    <t>LBn</t>
  </si>
  <si>
    <t>LBC7</t>
  </si>
  <si>
    <t xml:space="preserve">LBC6 </t>
  </si>
  <si>
    <t>LBC5</t>
  </si>
  <si>
    <t>LBC4</t>
  </si>
  <si>
    <t>LBC3</t>
  </si>
  <si>
    <t>LBC2</t>
  </si>
  <si>
    <t>LBC1</t>
  </si>
  <si>
    <t>LBDs</t>
  </si>
  <si>
    <t>area</t>
  </si>
  <si>
    <t>vol &gt;navd88</t>
  </si>
  <si>
    <t>LBc2</t>
  </si>
  <si>
    <t>LBc1</t>
  </si>
  <si>
    <t>LBds</t>
  </si>
  <si>
    <t>CP</t>
  </si>
  <si>
    <t>Topo&gt; 3  m</t>
  </si>
  <si>
    <t>bathy&lt; 3 m</t>
  </si>
  <si>
    <t>Tot vol bathy</t>
  </si>
  <si>
    <t>vol error DEM</t>
  </si>
  <si>
    <t>vol error Near</t>
  </si>
  <si>
    <t>CPC5</t>
  </si>
  <si>
    <t>CPC4</t>
  </si>
  <si>
    <t>CPC3</t>
  </si>
  <si>
    <t>CPC2</t>
  </si>
  <si>
    <t>CPC1</t>
  </si>
  <si>
    <t>sum</t>
  </si>
  <si>
    <t>tot</t>
  </si>
  <si>
    <t>LB</t>
  </si>
  <si>
    <t>Topo</t>
  </si>
  <si>
    <t>Bathy</t>
  </si>
  <si>
    <t>Spits</t>
  </si>
  <si>
    <t>CPDn</t>
  </si>
  <si>
    <t>spit_inlet</t>
  </si>
  <si>
    <t>Max error</t>
  </si>
  <si>
    <t>% error - total volume</t>
  </si>
  <si>
    <t>RMS error</t>
  </si>
  <si>
    <t>1958-1998</t>
  </si>
  <si>
    <t>vol</t>
  </si>
  <si>
    <t>?</t>
  </si>
  <si>
    <t>Error</t>
  </si>
  <si>
    <t>Vol error</t>
  </si>
  <si>
    <t>vol error</t>
  </si>
  <si>
    <t>RMS</t>
  </si>
  <si>
    <t>LBc</t>
  </si>
  <si>
    <t>CPc</t>
  </si>
  <si>
    <t>LBc1_off</t>
  </si>
  <si>
    <t>LBc2_off</t>
  </si>
  <si>
    <t>LB_off_w</t>
  </si>
  <si>
    <t>CP_off</t>
  </si>
  <si>
    <t>inlet</t>
  </si>
  <si>
    <t>innerdelta</t>
  </si>
  <si>
    <t>outerdelta</t>
  </si>
  <si>
    <t>disposal site A</t>
  </si>
  <si>
    <t>disposal site B</t>
  </si>
  <si>
    <t>disposal site F</t>
  </si>
  <si>
    <t>Littoral transport LB north</t>
  </si>
  <si>
    <t>littoral transport</t>
  </si>
  <si>
    <t>rate</t>
  </si>
  <si>
    <t>dur</t>
  </si>
  <si>
    <t>CPdn</t>
  </si>
  <si>
    <t>IN</t>
  </si>
  <si>
    <t>STORAGE</t>
  </si>
  <si>
    <t>OUT</t>
  </si>
  <si>
    <t>&gt;MHW</t>
  </si>
  <si>
    <t xml:space="preserve">&lt;MHW </t>
  </si>
  <si>
    <t>rms</t>
  </si>
  <si>
    <t>vol error (3-bathy)</t>
  </si>
  <si>
    <t>cell length</t>
  </si>
  <si>
    <t>sl change</t>
  </si>
  <si>
    <t>vert error</t>
  </si>
  <si>
    <t>hor error</t>
  </si>
  <si>
    <t>product rms</t>
  </si>
  <si>
    <t>rms error</t>
  </si>
  <si>
    <t>width</t>
  </si>
  <si>
    <t>product RMS</t>
  </si>
  <si>
    <t>old values</t>
  </si>
  <si>
    <t>CPc5_off+CPDn_near</t>
  </si>
  <si>
    <t>subtotal</t>
  </si>
  <si>
    <t>area (km2)</t>
  </si>
  <si>
    <t>vol rate</t>
  </si>
  <si>
    <t>vert rate</t>
  </si>
  <si>
    <t>length</t>
  </si>
  <si>
    <t>outer delta</t>
  </si>
  <si>
    <t>inner delta</t>
  </si>
  <si>
    <t>volume</t>
  </si>
  <si>
    <t>dredge disposal</t>
  </si>
  <si>
    <t>Long Beach shelf</t>
  </si>
  <si>
    <t>Clatsop coast</t>
  </si>
  <si>
    <t>Clatsop shelf</t>
  </si>
  <si>
    <t>Long Beach coast</t>
  </si>
  <si>
    <t>1870s-1926</t>
  </si>
  <si>
    <t>1926-1950</t>
  </si>
  <si>
    <t>1950-1995</t>
  </si>
  <si>
    <t>rates</t>
  </si>
  <si>
    <t>including 2000 MCR and CP bathy</t>
  </si>
  <si>
    <t>CPc5_off</t>
  </si>
  <si>
    <t>dispA</t>
  </si>
  <si>
    <t>dispB</t>
  </si>
  <si>
    <t>dispF</t>
  </si>
  <si>
    <t>off_north</t>
  </si>
  <si>
    <t>LBc2_near</t>
  </si>
  <si>
    <t>LBc1_near</t>
  </si>
  <si>
    <t>CPDn_near</t>
  </si>
  <si>
    <t>CPdn_off</t>
  </si>
  <si>
    <t>CP_near</t>
  </si>
  <si>
    <t>CPc3_near</t>
  </si>
  <si>
    <t>delta_north</t>
  </si>
  <si>
    <t>comparison</t>
  </si>
  <si>
    <t>CPc3</t>
  </si>
  <si>
    <t>CPc4</t>
  </si>
  <si>
    <t>off_north_2</t>
  </si>
  <si>
    <t>vol east Lidar</t>
  </si>
  <si>
    <r>
      <t xml:space="preserve">topo </t>
    </r>
    <r>
      <rPr>
        <sz val="10"/>
        <rFont val="Arial"/>
        <family val="2"/>
      </rPr>
      <t>(landward of shoreline)</t>
    </r>
  </si>
  <si>
    <t>vol&gt;3m</t>
  </si>
  <si>
    <t>bathy</t>
  </si>
  <si>
    <t>vol (check)</t>
  </si>
  <si>
    <t>depth</t>
  </si>
  <si>
    <t>hc</t>
  </si>
  <si>
    <t>h active</t>
  </si>
  <si>
    <t>Topo-landward</t>
  </si>
  <si>
    <t>Bathy-seaward</t>
  </si>
  <si>
    <t>part of delta</t>
  </si>
  <si>
    <t>with</t>
  </si>
  <si>
    <t>without LBDs</t>
  </si>
  <si>
    <t>without LBn, LBds</t>
  </si>
  <si>
    <t>%</t>
  </si>
  <si>
    <t>default values</t>
  </si>
  <si>
    <t xml:space="preserve">max </t>
  </si>
  <si>
    <t>+0.5</t>
  </si>
  <si>
    <t>-0.5</t>
  </si>
  <si>
    <t>0</t>
  </si>
  <si>
    <t>active depth</t>
  </si>
  <si>
    <t>Long Beach Volume</t>
  </si>
  <si>
    <t>Relative difference</t>
  </si>
  <si>
    <t>Long Beach 1958-1999</t>
  </si>
  <si>
    <t>max</t>
  </si>
  <si>
    <t>vert. error Mm3</t>
  </si>
  <si>
    <t>vert error area m</t>
  </si>
  <si>
    <t>ave</t>
  </si>
  <si>
    <t>Peacock Spit</t>
  </si>
  <si>
    <t>Disposal sites</t>
  </si>
  <si>
    <t>Long Beach offshore</t>
  </si>
  <si>
    <t>Long Beach mid shelf</t>
  </si>
  <si>
    <t>Clatsop Plains</t>
  </si>
  <si>
    <t>South flank</t>
  </si>
  <si>
    <t>Clatsop offshore</t>
  </si>
  <si>
    <t>COE 2000</t>
  </si>
  <si>
    <t>COE1998</t>
  </si>
  <si>
    <t>COE2000 + 18 cm (shallower)</t>
  </si>
  <si>
    <t>comparison COE2000 + 18 cm (shallower)</t>
  </si>
  <si>
    <t>differnce</t>
  </si>
  <si>
    <t>comparison COE2000 + 13 cm (shallower)</t>
  </si>
  <si>
    <t>COE2000 + 13 cm (shallower)</t>
  </si>
  <si>
    <t>COE2000 + 15 cm (shallower)</t>
  </si>
  <si>
    <t>comparison COE2000 + 15 cm (shallower)</t>
  </si>
  <si>
    <t>including 2000 MCR and CP bathy + 0.15 m</t>
  </si>
  <si>
    <t>vol&gt;ahw</t>
  </si>
  <si>
    <t>vol&lt;ahw</t>
  </si>
  <si>
    <t>CPc5_near</t>
  </si>
  <si>
    <t>CPc4_near</t>
  </si>
  <si>
    <t>CPdn_near</t>
  </si>
  <si>
    <t xml:space="preserve"> -0.15 m</t>
  </si>
  <si>
    <t>Peacock Spit (1)</t>
  </si>
  <si>
    <t>Subtotal</t>
  </si>
  <si>
    <t>Long Beach (LBc1-LBc7, LBdn)</t>
  </si>
  <si>
    <t>Sum</t>
  </si>
  <si>
    <t>Clatsop Plains (CPc1-CPc5)</t>
  </si>
  <si>
    <t>V  -0.15 m</t>
  </si>
  <si>
    <t>Sum total</t>
  </si>
  <si>
    <t>web page</t>
  </si>
  <si>
    <t xml:space="preserve">outer delta </t>
  </si>
  <si>
    <t>CPoff</t>
  </si>
  <si>
    <t>southflank</t>
  </si>
  <si>
    <t>Lboff</t>
  </si>
  <si>
    <t>disposal sites</t>
  </si>
  <si>
    <t>Lbnear</t>
  </si>
  <si>
    <t>Inner delta</t>
  </si>
  <si>
    <t>h_old</t>
  </si>
  <si>
    <t>diff (m)</t>
  </si>
  <si>
    <t>old; including 2000 MCR and CP bathy</t>
  </si>
  <si>
    <t>links</t>
  </si>
  <si>
    <t>Inner delta (2)</t>
  </si>
  <si>
    <t>Outer delta (3)</t>
  </si>
  <si>
    <t>North Delta (4)</t>
  </si>
  <si>
    <t>Disposal site A (5)</t>
  </si>
  <si>
    <t>Disposal site B  (6)</t>
  </si>
  <si>
    <t>Disposal site F  (7)</t>
  </si>
  <si>
    <t>LBc2_off (8)</t>
  </si>
  <si>
    <t>LBc1_off (9)</t>
  </si>
  <si>
    <t>LB_off (10)</t>
  </si>
  <si>
    <t>Clatsop Spit (11)</t>
  </si>
  <si>
    <t>CPdn_near (12)</t>
  </si>
  <si>
    <t>South flank (13)</t>
  </si>
  <si>
    <t>Clatsop Plains offshore (14)</t>
  </si>
  <si>
    <t>LBc2_near (15)</t>
  </si>
  <si>
    <t>LBc1_near (16)</t>
  </si>
  <si>
    <t>CPc5_near (17)</t>
  </si>
  <si>
    <t>CPc4_near (18)</t>
  </si>
  <si>
    <t>CPc3_near (19)</t>
  </si>
  <si>
    <t>n/a</t>
  </si>
  <si>
    <t>dh</t>
  </si>
  <si>
    <t>rate dh</t>
  </si>
  <si>
    <t>h old</t>
  </si>
  <si>
    <t>diff</t>
  </si>
  <si>
    <t>IV</t>
  </si>
  <si>
    <t>III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</si>
</sst>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0000"/>
    <numFmt numFmtId="166" formatCode="0.000000000000"/>
    <numFmt numFmtId="167" formatCode="#,##0.0"/>
    <numFmt numFmtId="168" formatCode="0.0000000000000"/>
  </numFmts>
  <fonts count="17">
    <font>
      <sz val="10"/>
      <name val="Arial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53"/>
      <name val="Arial"/>
      <family val="2"/>
    </font>
    <font>
      <sz val="10"/>
      <color indexed="22"/>
      <name val="Arial"/>
      <family val="2"/>
    </font>
    <font>
      <sz val="10"/>
      <color indexed="52"/>
      <name val="Arial"/>
      <family val="2"/>
    </font>
    <font>
      <sz val="10"/>
      <color indexed="23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1.5"/>
      <name val="Arial"/>
      <family val="0"/>
    </font>
    <font>
      <i/>
      <sz val="10"/>
      <name val="Arial"/>
      <family val="2"/>
    </font>
    <font>
      <sz val="10"/>
      <color indexed="54"/>
      <name val="Arial"/>
      <family val="2"/>
    </font>
    <font>
      <sz val="10"/>
      <color indexed="55"/>
      <name val="Arial"/>
      <family val="2"/>
    </font>
    <font>
      <sz val="10"/>
      <color indexed="21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9" fontId="0" fillId="0" borderId="0" xfId="0" applyNumberFormat="1" applyAlignment="1">
      <alignment/>
    </xf>
    <xf numFmtId="1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13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0" fontId="16" fillId="0" borderId="3" xfId="0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7" fontId="7" fillId="0" borderId="0" xfId="0" applyNumberFormat="1" applyFont="1" applyAlignment="1">
      <alignment/>
    </xf>
    <xf numFmtId="0" fontId="0" fillId="0" borderId="0" xfId="0" applyAlignment="1" quotePrefix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3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0" fontId="0" fillId="2" borderId="0" xfId="0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2" borderId="1" xfId="0" applyNumberFormat="1" applyFill="1" applyBorder="1" applyAlignment="1">
      <alignment horizontal="right"/>
    </xf>
    <xf numFmtId="1" fontId="0" fillId="2" borderId="0" xfId="0" applyNumberFormat="1" applyFill="1" applyBorder="1" applyAlignment="1">
      <alignment horizontal="right"/>
    </xf>
    <xf numFmtId="1" fontId="0" fillId="2" borderId="0" xfId="0" applyNumberFormat="1" applyFill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 quotePrefix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3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7" fillId="0" borderId="2" xfId="0" applyFont="1" applyBorder="1" applyAlignment="1">
      <alignment/>
    </xf>
    <xf numFmtId="1" fontId="0" fillId="0" borderId="2" xfId="0" applyNumberFormat="1" applyBorder="1" applyAlignment="1">
      <alignment horizontal="right"/>
    </xf>
    <xf numFmtId="3" fontId="7" fillId="0" borderId="2" xfId="0" applyNumberFormat="1" applyFont="1" applyBorder="1" applyAlignment="1">
      <alignment/>
    </xf>
    <xf numFmtId="2" fontId="0" fillId="0" borderId="0" xfId="0" applyNumberFormat="1" applyBorder="1" applyAlignment="1">
      <alignment horizontal="center"/>
    </xf>
    <xf numFmtId="14" fontId="4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1" fontId="0" fillId="0" borderId="0" xfId="0" applyNumberFormat="1" applyBorder="1" applyAlignment="1">
      <alignment horizontal="right"/>
    </xf>
    <xf numFmtId="3" fontId="7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2525"/>
          <c:w val="0.80375"/>
          <c:h val="0.94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'sum 1958-2000'!$BA$27</c:f>
              <c:strCache>
                <c:ptCount val="1"/>
                <c:pt idx="0">
                  <c:v>inner delta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'sum 1958-2000'!$AZ$28:$AZ$30</c:f>
              <c:numCache/>
            </c:numRef>
          </c:xVal>
          <c:yVal>
            <c:numRef>
              <c:f>'sum 1958-2000'!$BA$28:$BA$30</c:f>
              <c:numCache/>
            </c:numRef>
          </c:yVal>
          <c:smooth val="0"/>
        </c:ser>
        <c:ser>
          <c:idx val="1"/>
          <c:order val="1"/>
          <c:tx>
            <c:strRef>
              <c:f>'sum 1958-2000'!$BB$27</c:f>
              <c:strCache>
                <c:ptCount val="1"/>
                <c:pt idx="0">
                  <c:v>outer delta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'sum 1958-2000'!$AZ$28:$AZ$30</c:f>
              <c:numCache/>
            </c:numRef>
          </c:xVal>
          <c:yVal>
            <c:numRef>
              <c:f>'sum 1958-2000'!$BB$28:$BB$30</c:f>
              <c:numCache/>
            </c:numRef>
          </c:yVal>
          <c:smooth val="0"/>
        </c:ser>
        <c:axId val="46779055"/>
        <c:axId val="18358312"/>
      </c:scatterChart>
      <c:valAx>
        <c:axId val="46779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58312"/>
        <c:crosses val="autoZero"/>
        <c:crossBetween val="midCat"/>
        <c:dispUnits/>
      </c:valAx>
      <c:valAx>
        <c:axId val="183583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790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4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195"/>
          <c:w val="0.923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 1958-2000'!$BD$27</c:f>
              <c:strCache>
                <c:ptCount val="1"/>
                <c:pt idx="0">
                  <c:v>inner delta</c:v>
                </c:pt>
              </c:strCache>
            </c:strRef>
          </c:tx>
          <c:spPr>
            <a:solidFill>
              <a:srgbClr val="80808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 1958-2000'!$AX$28:$AX$30</c:f>
              <c:strCache/>
            </c:strRef>
          </c:cat>
          <c:val>
            <c:numRef>
              <c:f>'sum 1958-2000'!$BD$28:$BD$30</c:f>
              <c:numCache/>
            </c:numRef>
          </c:val>
        </c:ser>
        <c:ser>
          <c:idx val="1"/>
          <c:order val="1"/>
          <c:tx>
            <c:strRef>
              <c:f>'sum 1958-2000'!$BE$27</c:f>
              <c:strCache>
                <c:ptCount val="1"/>
                <c:pt idx="0">
                  <c:v>outer delta</c:v>
                </c:pt>
              </c:strCache>
            </c:strRef>
          </c:tx>
          <c:spPr>
            <a:pattFill prst="ltDnDiag">
              <a:fgClr>
                <a:srgbClr val="80808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 1958-2000'!$AX$28:$AX$30</c:f>
              <c:strCache/>
            </c:strRef>
          </c:cat>
          <c:val>
            <c:numRef>
              <c:f>'sum 1958-2000'!$BE$28:$BE$30</c:f>
              <c:numCache/>
            </c:numRef>
          </c:val>
        </c:ser>
        <c:axId val="31007081"/>
        <c:axId val="10628274"/>
      </c:barChart>
      <c:catAx>
        <c:axId val="3100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628274"/>
        <c:crosses val="autoZero"/>
        <c:auto val="1"/>
        <c:lblOffset val="100"/>
        <c:noMultiLvlLbl val="0"/>
      </c:catAx>
      <c:valAx>
        <c:axId val="10628274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Accumulation rate (Mm3/yr)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0708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725"/>
          <c:y val="0.8885"/>
          <c:w val="0.53725"/>
          <c:h val="0.0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2525"/>
          <c:w val="0.80375"/>
          <c:h val="0.94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'sum 1958-2000'!$BA$27</c:f>
              <c:strCache>
                <c:ptCount val="1"/>
                <c:pt idx="0">
                  <c:v>inner delta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'sum 1958-2000'!$AZ$28:$AZ$30</c:f>
              <c:numCache>
                <c:ptCount val="3"/>
                <c:pt idx="0">
                  <c:v>1905.5</c:v>
                </c:pt>
                <c:pt idx="1">
                  <c:v>1940.5</c:v>
                </c:pt>
                <c:pt idx="2">
                  <c:v>1970</c:v>
                </c:pt>
              </c:numCache>
            </c:numRef>
          </c:xVal>
          <c:yVal>
            <c:numRef>
              <c:f>'sum 1958-2000'!$BA$28:$BA$30</c:f>
              <c:numCache>
                <c:ptCount val="3"/>
                <c:pt idx="0">
                  <c:v>-47.4949627098539</c:v>
                </c:pt>
                <c:pt idx="1">
                  <c:v>0</c:v>
                </c:pt>
                <c:pt idx="2">
                  <c:v>-47.0713887968463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'sum 1958-2000'!$BB$27</c:f>
              <c:strCache>
                <c:ptCount val="1"/>
                <c:pt idx="0">
                  <c:v>outer delta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'sum 1958-2000'!$AZ$28:$AZ$30</c:f>
              <c:numCache>
                <c:ptCount val="3"/>
                <c:pt idx="0">
                  <c:v>1905.5</c:v>
                </c:pt>
                <c:pt idx="1">
                  <c:v>1940.5</c:v>
                </c:pt>
                <c:pt idx="2">
                  <c:v>1970</c:v>
                </c:pt>
              </c:numCache>
            </c:numRef>
          </c:xVal>
          <c:yVal>
            <c:numRef>
              <c:f>'sum 1958-2000'!$BB$28:$BB$30</c:f>
              <c:numCache>
                <c:ptCount val="3"/>
                <c:pt idx="0">
                  <c:v>171.531513323295</c:v>
                </c:pt>
                <c:pt idx="1">
                  <c:v>0</c:v>
                </c:pt>
                <c:pt idx="2">
                  <c:v>45.1302333704763</c:v>
                </c:pt>
              </c:numCache>
            </c:numRef>
          </c:yVal>
          <c:smooth val="0"/>
        </c:ser>
        <c:axId val="28545603"/>
        <c:axId val="55583836"/>
      </c:scatterChart>
      <c:valAx>
        <c:axId val="28545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83836"/>
        <c:crosses val="autoZero"/>
        <c:crossBetween val="midCat"/>
        <c:dispUnits/>
      </c:valAx>
      <c:valAx>
        <c:axId val="55583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456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195"/>
          <c:w val="0.921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 1958-2000'!$BD$27</c:f>
              <c:strCache>
                <c:ptCount val="1"/>
                <c:pt idx="0">
                  <c:v>inner delta</c:v>
                </c:pt>
              </c:strCache>
            </c:strRef>
          </c:tx>
          <c:spPr>
            <a:solidFill>
              <a:srgbClr val="80808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 1958-2000'!$AX$28:$AX$30</c:f>
              <c:strCache>
                <c:ptCount val="3"/>
                <c:pt idx="0">
                  <c:v>1870s-1926</c:v>
                </c:pt>
                <c:pt idx="1">
                  <c:v>1926-1950</c:v>
                </c:pt>
                <c:pt idx="2">
                  <c:v>1950-1995</c:v>
                </c:pt>
              </c:strCache>
            </c:strRef>
          </c:cat>
          <c:val>
            <c:numRef>
              <c:f>'sum 1958-2000'!$BD$28:$BD$30</c:f>
              <c:numCache>
                <c:ptCount val="3"/>
                <c:pt idx="0">
                  <c:v>-1.158413724630583</c:v>
                </c:pt>
                <c:pt idx="1">
                  <c:v>0</c:v>
                </c:pt>
                <c:pt idx="2">
                  <c:v>-1.1767847199211574</c:v>
                </c:pt>
              </c:numCache>
            </c:numRef>
          </c:val>
        </c:ser>
        <c:ser>
          <c:idx val="1"/>
          <c:order val="1"/>
          <c:tx>
            <c:strRef>
              <c:f>'sum 1958-2000'!$BE$27</c:f>
              <c:strCache>
                <c:ptCount val="1"/>
                <c:pt idx="0">
                  <c:v>outer delta</c:v>
                </c:pt>
              </c:strCache>
            </c:strRef>
          </c:tx>
          <c:spPr>
            <a:pattFill prst="ltDnDiag">
              <a:fgClr>
                <a:srgbClr val="80808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 1958-2000'!$AX$28:$AX$30</c:f>
              <c:strCache>
                <c:ptCount val="3"/>
                <c:pt idx="0">
                  <c:v>1870s-1926</c:v>
                </c:pt>
                <c:pt idx="1">
                  <c:v>1926-1950</c:v>
                </c:pt>
                <c:pt idx="2">
                  <c:v>1950-1995</c:v>
                </c:pt>
              </c:strCache>
            </c:strRef>
          </c:cat>
          <c:val>
            <c:numRef>
              <c:f>'sum 1958-2000'!$BE$28:$BE$30</c:f>
              <c:numCache>
                <c:ptCount val="3"/>
                <c:pt idx="0">
                  <c:v>4.183695446909634</c:v>
                </c:pt>
                <c:pt idx="1">
                  <c:v>0</c:v>
                </c:pt>
                <c:pt idx="2">
                  <c:v>1.1282558342619073</c:v>
                </c:pt>
              </c:numCache>
            </c:numRef>
          </c:val>
        </c:ser>
        <c:axId val="30492477"/>
        <c:axId val="5996838"/>
      </c:barChart>
      <c:catAx>
        <c:axId val="30492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96838"/>
        <c:crosses val="autoZero"/>
        <c:auto val="1"/>
        <c:lblOffset val="100"/>
        <c:noMultiLvlLbl val="0"/>
      </c:catAx>
      <c:valAx>
        <c:axId val="5996838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Accumulation rate (Mm3/yr)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924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65"/>
          <c:y val="0.8885"/>
          <c:w val="0.53725"/>
          <c:h val="0.0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6</xdr:row>
      <xdr:rowOff>47625</xdr:rowOff>
    </xdr:from>
    <xdr:to>
      <xdr:col>8</xdr:col>
      <xdr:colOff>104775</xdr:colOff>
      <xdr:row>9</xdr:row>
      <xdr:rowOff>76200</xdr:rowOff>
    </xdr:to>
    <xdr:sp>
      <xdr:nvSpPr>
        <xdr:cNvPr id="1" name="Polygon 1"/>
        <xdr:cNvSpPr>
          <a:spLocks/>
        </xdr:cNvSpPr>
      </xdr:nvSpPr>
      <xdr:spPr>
        <a:xfrm>
          <a:off x="3933825" y="1019175"/>
          <a:ext cx="1676400" cy="514350"/>
        </a:xfrm>
        <a:custGeom>
          <a:pathLst>
            <a:path h="81" w="124">
              <a:moveTo>
                <a:pt x="8" y="0"/>
              </a:moveTo>
              <a:cubicBezTo>
                <a:pt x="8" y="7"/>
                <a:pt x="10" y="19"/>
                <a:pt x="4" y="25"/>
              </a:cubicBezTo>
              <a:cubicBezTo>
                <a:pt x="4" y="26"/>
                <a:pt x="3" y="31"/>
                <a:pt x="0" y="27"/>
              </a:cubicBezTo>
              <a:cubicBezTo>
                <a:pt x="0" y="26"/>
                <a:pt x="4" y="22"/>
                <a:pt x="5" y="21"/>
              </a:cubicBezTo>
              <a:cubicBezTo>
                <a:pt x="12" y="23"/>
                <a:pt x="11" y="23"/>
                <a:pt x="15" y="25"/>
              </a:cubicBezTo>
              <a:cubicBezTo>
                <a:pt x="17" y="30"/>
                <a:pt x="20" y="34"/>
                <a:pt x="24" y="38"/>
              </a:cubicBezTo>
              <a:cubicBezTo>
                <a:pt x="25" y="42"/>
                <a:pt x="27" y="44"/>
                <a:pt x="31" y="47"/>
              </a:cubicBezTo>
              <a:cubicBezTo>
                <a:pt x="34" y="52"/>
                <a:pt x="51" y="62"/>
                <a:pt x="57" y="63"/>
              </a:cubicBezTo>
              <a:cubicBezTo>
                <a:pt x="70" y="69"/>
                <a:pt x="85" y="74"/>
                <a:pt x="99" y="76"/>
              </a:cubicBezTo>
              <a:cubicBezTo>
                <a:pt x="106" y="79"/>
                <a:pt x="116" y="81"/>
                <a:pt x="124" y="8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44</xdr:row>
      <xdr:rowOff>38100</xdr:rowOff>
    </xdr:from>
    <xdr:to>
      <xdr:col>69</xdr:col>
      <xdr:colOff>142875</xdr:colOff>
      <xdr:row>66</xdr:row>
      <xdr:rowOff>85725</xdr:rowOff>
    </xdr:to>
    <xdr:graphicFrame>
      <xdr:nvGraphicFramePr>
        <xdr:cNvPr id="2" name="Chart 2"/>
        <xdr:cNvGraphicFramePr/>
      </xdr:nvGraphicFramePr>
      <xdr:xfrm>
        <a:off x="46110525" y="7181850"/>
        <a:ext cx="62388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57</xdr:col>
      <xdr:colOff>0</xdr:colOff>
      <xdr:row>10</xdr:row>
      <xdr:rowOff>123825</xdr:rowOff>
    </xdr:from>
    <xdr:to>
      <xdr:col>67</xdr:col>
      <xdr:colOff>142875</xdr:colOff>
      <xdr:row>42</xdr:row>
      <xdr:rowOff>152400</xdr:rowOff>
    </xdr:to>
    <xdr:graphicFrame>
      <xdr:nvGraphicFramePr>
        <xdr:cNvPr id="3" name="Chart 3"/>
        <xdr:cNvGraphicFramePr/>
      </xdr:nvGraphicFramePr>
      <xdr:xfrm>
        <a:off x="44891325" y="1743075"/>
        <a:ext cx="6238875" cy="522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5</xdr:row>
      <xdr:rowOff>123825</xdr:rowOff>
    </xdr:from>
    <xdr:to>
      <xdr:col>17</xdr:col>
      <xdr:colOff>295275</xdr:colOff>
      <xdr:row>7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72600" y="933450"/>
          <a:ext cx="16668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1998 does not have an error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6</xdr:row>
      <xdr:rowOff>104775</xdr:rowOff>
    </xdr:from>
    <xdr:to>
      <xdr:col>8</xdr:col>
      <xdr:colOff>133350</xdr:colOff>
      <xdr:row>9</xdr:row>
      <xdr:rowOff>0</xdr:rowOff>
    </xdr:to>
    <xdr:sp>
      <xdr:nvSpPr>
        <xdr:cNvPr id="1" name="Polygon 1"/>
        <xdr:cNvSpPr>
          <a:spLocks/>
        </xdr:cNvSpPr>
      </xdr:nvSpPr>
      <xdr:spPr>
        <a:xfrm>
          <a:off x="3943350" y="1076325"/>
          <a:ext cx="1695450" cy="381000"/>
        </a:xfrm>
        <a:custGeom>
          <a:pathLst>
            <a:path h="81" w="124">
              <a:moveTo>
                <a:pt x="8" y="0"/>
              </a:moveTo>
              <a:cubicBezTo>
                <a:pt x="8" y="7"/>
                <a:pt x="10" y="19"/>
                <a:pt x="4" y="25"/>
              </a:cubicBezTo>
              <a:cubicBezTo>
                <a:pt x="4" y="26"/>
                <a:pt x="3" y="31"/>
                <a:pt x="0" y="27"/>
              </a:cubicBezTo>
              <a:cubicBezTo>
                <a:pt x="0" y="26"/>
                <a:pt x="4" y="22"/>
                <a:pt x="5" y="21"/>
              </a:cubicBezTo>
              <a:cubicBezTo>
                <a:pt x="12" y="23"/>
                <a:pt x="11" y="23"/>
                <a:pt x="15" y="25"/>
              </a:cubicBezTo>
              <a:cubicBezTo>
                <a:pt x="17" y="30"/>
                <a:pt x="20" y="34"/>
                <a:pt x="24" y="38"/>
              </a:cubicBezTo>
              <a:cubicBezTo>
                <a:pt x="25" y="42"/>
                <a:pt x="27" y="44"/>
                <a:pt x="31" y="47"/>
              </a:cubicBezTo>
              <a:cubicBezTo>
                <a:pt x="34" y="52"/>
                <a:pt x="51" y="62"/>
                <a:pt x="57" y="63"/>
              </a:cubicBezTo>
              <a:cubicBezTo>
                <a:pt x="70" y="69"/>
                <a:pt x="85" y="74"/>
                <a:pt x="99" y="76"/>
              </a:cubicBezTo>
              <a:cubicBezTo>
                <a:pt x="106" y="79"/>
                <a:pt x="116" y="81"/>
                <a:pt x="124" y="8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44</xdr:row>
      <xdr:rowOff>38100</xdr:rowOff>
    </xdr:from>
    <xdr:to>
      <xdr:col>67</xdr:col>
      <xdr:colOff>142875</xdr:colOff>
      <xdr:row>66</xdr:row>
      <xdr:rowOff>85725</xdr:rowOff>
    </xdr:to>
    <xdr:graphicFrame>
      <xdr:nvGraphicFramePr>
        <xdr:cNvPr id="2" name="Chart 2"/>
        <xdr:cNvGraphicFramePr/>
      </xdr:nvGraphicFramePr>
      <xdr:xfrm>
        <a:off x="42205275" y="7181850"/>
        <a:ext cx="62388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57</xdr:col>
      <xdr:colOff>0</xdr:colOff>
      <xdr:row>10</xdr:row>
      <xdr:rowOff>123825</xdr:rowOff>
    </xdr:from>
    <xdr:to>
      <xdr:col>67</xdr:col>
      <xdr:colOff>142875</xdr:colOff>
      <xdr:row>42</xdr:row>
      <xdr:rowOff>152400</xdr:rowOff>
    </xdr:to>
    <xdr:graphicFrame>
      <xdr:nvGraphicFramePr>
        <xdr:cNvPr id="3" name="Chart 3"/>
        <xdr:cNvGraphicFramePr/>
      </xdr:nvGraphicFramePr>
      <xdr:xfrm>
        <a:off x="42205275" y="1743075"/>
        <a:ext cx="6238875" cy="522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76200</xdr:colOff>
      <xdr:row>40</xdr:row>
      <xdr:rowOff>66675</xdr:rowOff>
    </xdr:from>
    <xdr:to>
      <xdr:col>12</xdr:col>
      <xdr:colOff>371475</xdr:colOff>
      <xdr:row>42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248525" y="6562725"/>
          <a:ext cx="16478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throw out nearshore stuff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-maarten\DATA\gis%20data\volume\Dem_11-3-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-maarten\DATA\bathy\analysis_Columbia\diff1926-1958\volumes_1926-1958_of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-maarten\DATA\bathy\analysis_Columbia\diff1868-1926\volumes_1868-1926_of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-maarten\DATA\gis%20data\volume\Clatsop%201-25-2000\clatsop%201-25-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5x5"/>
      <sheetName val="error"/>
      <sheetName val="TOD-eastLIDAR"/>
      <sheetName val="woxell"/>
      <sheetName val="ovview"/>
      <sheetName val="LB 1870-1927"/>
      <sheetName val="LB 1927-1955"/>
      <sheetName val="LB 1955-1995"/>
      <sheetName val="LB 1955(+0.15)-1995"/>
      <sheetName val="1955-1974"/>
      <sheetName val="1974-1995"/>
      <sheetName val="1870-1955"/>
      <sheetName val="1870-1995"/>
      <sheetName val="COMPARE"/>
    </sheetNames>
    <sheetDataSet>
      <sheetData sheetId="7">
        <row r="30">
          <cell r="M30">
            <v>1918922</v>
          </cell>
          <cell r="U30">
            <v>1488677.7161435233</v>
          </cell>
          <cell r="V30">
            <v>9844069.86</v>
          </cell>
          <cell r="W30">
            <v>11332747.576143522</v>
          </cell>
          <cell r="BI30">
            <v>961077.0889644085</v>
          </cell>
          <cell r="BJ30">
            <v>1953965.0067320047</v>
          </cell>
        </row>
        <row r="31">
          <cell r="M31">
            <v>678031.375</v>
          </cell>
          <cell r="U31">
            <v>1285459.4542934205</v>
          </cell>
          <cell r="V31">
            <v>11326770.000245312</v>
          </cell>
          <cell r="W31">
            <v>12612229.454538733</v>
          </cell>
          <cell r="BI31">
            <v>418298.2976163923</v>
          </cell>
          <cell r="BJ31">
            <v>4091960.353112586</v>
          </cell>
        </row>
        <row r="32">
          <cell r="M32">
            <v>538034.938</v>
          </cell>
          <cell r="U32">
            <v>1507977.1743473816</v>
          </cell>
          <cell r="V32">
            <v>8988076.687192015</v>
          </cell>
          <cell r="W32">
            <v>10496053.861539397</v>
          </cell>
          <cell r="BI32">
            <v>385647.6511173936</v>
          </cell>
          <cell r="BJ32">
            <v>3212567.5368350097</v>
          </cell>
        </row>
        <row r="33">
          <cell r="M33">
            <v>601317.812</v>
          </cell>
          <cell r="U33">
            <v>2364967.6543446276</v>
          </cell>
          <cell r="V33">
            <v>10045240.979556074</v>
          </cell>
          <cell r="W33">
            <v>12410208.633900702</v>
          </cell>
          <cell r="BI33">
            <v>544539.1001740886</v>
          </cell>
          <cell r="BJ33">
            <v>3636183.831817799</v>
          </cell>
        </row>
        <row r="34">
          <cell r="M34">
            <v>853907.125</v>
          </cell>
          <cell r="U34">
            <v>3204165.8686751183</v>
          </cell>
          <cell r="V34">
            <v>14264840.777383974</v>
          </cell>
          <cell r="W34">
            <v>17469006.646059092</v>
          </cell>
          <cell r="BI34">
            <v>608969.9127030583</v>
          </cell>
          <cell r="BJ34">
            <v>4785461.6392040765</v>
          </cell>
        </row>
        <row r="35">
          <cell r="M35">
            <v>1093324.375</v>
          </cell>
          <cell r="U35">
            <v>4381114.529380767</v>
          </cell>
          <cell r="V35">
            <v>18264396.29181903</v>
          </cell>
          <cell r="W35">
            <v>22645510.821199797</v>
          </cell>
          <cell r="BI35">
            <v>717383.324213384</v>
          </cell>
          <cell r="BJ35">
            <v>5930138.355571839</v>
          </cell>
        </row>
        <row r="36">
          <cell r="M36">
            <v>1104107.875</v>
          </cell>
          <cell r="U36">
            <v>3693375.8438361646</v>
          </cell>
          <cell r="V36">
            <v>18991000.097430617</v>
          </cell>
          <cell r="W36">
            <v>22684375.941266783</v>
          </cell>
          <cell r="BI36">
            <v>674088.1957764261</v>
          </cell>
        </row>
        <row r="37">
          <cell r="M37">
            <v>909163.562</v>
          </cell>
          <cell r="U37">
            <v>2652163.050886147</v>
          </cell>
          <cell r="V37">
            <v>14737943.759229342</v>
          </cell>
          <cell r="W37">
            <v>17390106.81011549</v>
          </cell>
          <cell r="BI37">
            <v>622480.6285467966</v>
          </cell>
        </row>
        <row r="38">
          <cell r="M38">
            <v>-1045625.765</v>
          </cell>
          <cell r="U38">
            <v>-3187037.9824311053</v>
          </cell>
          <cell r="V38">
            <v>-4291599.66680847</v>
          </cell>
          <cell r="BI38">
            <v>-574564.9206704524</v>
          </cell>
        </row>
      </sheetData>
      <sheetData sheetId="8">
        <row r="30">
          <cell r="U30">
            <v>1488677.7161435233</v>
          </cell>
          <cell r="V30">
            <v>9844069.86</v>
          </cell>
          <cell r="BE30">
            <v>961077.0889644085</v>
          </cell>
        </row>
        <row r="31">
          <cell r="U31">
            <v>1285459.4542934205</v>
          </cell>
          <cell r="V31">
            <v>10802001.549378784</v>
          </cell>
          <cell r="BE31">
            <v>418298.2976163923</v>
          </cell>
        </row>
        <row r="32">
          <cell r="U32">
            <v>1507977.1743473816</v>
          </cell>
          <cell r="V32">
            <v>8571659.731669376</v>
          </cell>
          <cell r="BE32">
            <v>385647.6511173936</v>
          </cell>
        </row>
        <row r="33">
          <cell r="U33">
            <v>2364967.6543446276</v>
          </cell>
          <cell r="V33">
            <v>9579845.677337661</v>
          </cell>
          <cell r="BE33">
            <v>544539.1001740886</v>
          </cell>
        </row>
        <row r="34">
          <cell r="U34">
            <v>3204165.8686751183</v>
          </cell>
          <cell r="V34">
            <v>13603951.715767702</v>
          </cell>
          <cell r="BE34">
            <v>608969.9127030583</v>
          </cell>
        </row>
        <row r="35">
          <cell r="U35">
            <v>4381114.529380767</v>
          </cell>
          <cell r="V35">
            <v>17418208.106849913</v>
          </cell>
          <cell r="BE35">
            <v>717383.324213384</v>
          </cell>
        </row>
        <row r="36">
          <cell r="U36">
            <v>3693375.8438361646</v>
          </cell>
          <cell r="V36">
            <v>17712026.0301625</v>
          </cell>
          <cell r="BE36">
            <v>674088.1957764261</v>
          </cell>
        </row>
        <row r="37">
          <cell r="U37">
            <v>2652163.050886147</v>
          </cell>
          <cell r="V37">
            <v>14383788.108122695</v>
          </cell>
          <cell r="BE37">
            <v>622480.6285467966</v>
          </cell>
        </row>
        <row r="38">
          <cell r="U38">
            <v>-3187037.9824311053</v>
          </cell>
          <cell r="V38">
            <v>-4291599.66680847</v>
          </cell>
          <cell r="BE38">
            <v>-574564.9206704524</v>
          </cell>
        </row>
      </sheetData>
      <sheetData sheetId="10">
        <row r="22">
          <cell r="Q22">
            <v>2.13</v>
          </cell>
        </row>
        <row r="23">
          <cell r="Q23">
            <v>12</v>
          </cell>
        </row>
        <row r="24">
          <cell r="Q24">
            <v>12</v>
          </cell>
        </row>
        <row r="25">
          <cell r="Q25">
            <v>12</v>
          </cell>
        </row>
        <row r="26">
          <cell r="Q26">
            <v>12</v>
          </cell>
        </row>
        <row r="27">
          <cell r="Q27">
            <v>12</v>
          </cell>
        </row>
        <row r="28">
          <cell r="Q28">
            <v>12</v>
          </cell>
        </row>
        <row r="29">
          <cell r="Q29">
            <v>12</v>
          </cell>
        </row>
        <row r="30">
          <cell r="Q30">
            <v>-1.4512124638858621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 1926-1958"/>
      <sheetName val="land volumes"/>
      <sheetName val="oc volumes"/>
      <sheetName val="dump.."/>
      <sheetName val="backup 9.00"/>
    </sheetNames>
    <sheetDataSet>
      <sheetData sheetId="0">
        <row r="30">
          <cell r="AG30" t="str">
            <v>Inner Delta (6)</v>
          </cell>
        </row>
        <row r="31">
          <cell r="AG31" t="str">
            <v>Outer Delta (7)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 1868-1926_35"/>
      <sheetName val="land"/>
      <sheetName val="1868-1926  ocean"/>
      <sheetName val="backup 9.00"/>
    </sheetNames>
    <sheetDataSet>
      <sheetData sheetId="0">
        <row r="23">
          <cell r="AH23">
            <v>171.531513323295</v>
          </cell>
        </row>
        <row r="24">
          <cell r="AH24">
            <v>-47.4949627098539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are"/>
      <sheetName val="data 5x5"/>
      <sheetName val="volumes - data"/>
      <sheetName val="woxel"/>
      <sheetName val="overview"/>
      <sheetName val="spit_inlet"/>
      <sheetName val="CP 1870-1926"/>
      <sheetName val="CP 1926-1950"/>
      <sheetName val="CP 1950-1995"/>
      <sheetName val="CP 1950 (+0.15)-1995"/>
      <sheetName val="cp1870 (+0.15)-1995 "/>
      <sheetName val="1870-1995"/>
      <sheetName val="1926-1995"/>
      <sheetName val="1926-TOD"/>
      <sheetName val="1870 - TOD"/>
    </sheetNames>
    <sheetDataSet>
      <sheetData sheetId="8">
        <row r="27">
          <cell r="L27">
            <v>17176.145999999993</v>
          </cell>
          <cell r="T27">
            <v>28395.271000000008</v>
          </cell>
        </row>
        <row r="28">
          <cell r="L28">
            <v>73056.24</v>
          </cell>
          <cell r="T28">
            <v>378126.8670087881</v>
          </cell>
          <cell r="U28">
            <v>2516646.54835955</v>
          </cell>
          <cell r="V28">
            <v>2894773.415368338</v>
          </cell>
          <cell r="BK28">
            <v>518148.3785583339</v>
          </cell>
        </row>
        <row r="29">
          <cell r="L29">
            <v>460693.312</v>
          </cell>
          <cell r="T29">
            <v>2989938.9694249304</v>
          </cell>
          <cell r="U29">
            <v>5468171.5334974555</v>
          </cell>
          <cell r="V29">
            <v>8458110.502922386</v>
          </cell>
          <cell r="BK29">
            <v>697732.7760470312</v>
          </cell>
        </row>
        <row r="30">
          <cell r="L30">
            <v>576387.25</v>
          </cell>
          <cell r="T30">
            <v>4276283.134316449</v>
          </cell>
          <cell r="U30">
            <v>13842010.812170494</v>
          </cell>
          <cell r="Z30">
            <v>18118293.946486942</v>
          </cell>
          <cell r="BK30">
            <v>929560.2106202684</v>
          </cell>
        </row>
        <row r="31">
          <cell r="L31">
            <v>451968.75201950734</v>
          </cell>
          <cell r="Z31">
            <v>14914664.616510611</v>
          </cell>
          <cell r="BK31">
            <v>765197.806327811</v>
          </cell>
        </row>
        <row r="32">
          <cell r="L32">
            <v>341577.1431962292</v>
          </cell>
          <cell r="Z32">
            <v>6090753.470639434</v>
          </cell>
          <cell r="BK32">
            <v>312486.4899380609</v>
          </cell>
        </row>
      </sheetData>
      <sheetData sheetId="9">
        <row r="27">
          <cell r="T27">
            <v>28395.271000000008</v>
          </cell>
          <cell r="BG27">
            <v>161671.95081119076</v>
          </cell>
        </row>
        <row r="28">
          <cell r="T28">
            <v>378126.8670087881</v>
          </cell>
          <cell r="U28">
            <v>2516646.54835955</v>
          </cell>
          <cell r="BG28">
            <v>518148.3785583339</v>
          </cell>
        </row>
        <row r="29">
          <cell r="T29">
            <v>2989938.9694249304</v>
          </cell>
          <cell r="U29">
            <v>5183836.82397866</v>
          </cell>
          <cell r="BG29">
            <v>697732.7760470312</v>
          </cell>
        </row>
        <row r="30">
          <cell r="T30">
            <v>4276283.134316449</v>
          </cell>
          <cell r="U30">
            <v>0</v>
          </cell>
          <cell r="BG30">
            <v>929560.2106202684</v>
          </cell>
        </row>
        <row r="31">
          <cell r="V31">
            <v>3520161.939195007</v>
          </cell>
        </row>
        <row r="32">
          <cell r="V32">
            <v>1437540.7761184352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70"/>
  <sheetViews>
    <sheetView tabSelected="1" zoomScale="75" zoomScaleNormal="75" workbookViewId="0" topLeftCell="X13">
      <selection activeCell="AI35" sqref="AH35:AI35"/>
    </sheetView>
  </sheetViews>
  <sheetFormatPr defaultColWidth="9.140625" defaultRowHeight="12.75"/>
  <cols>
    <col min="4" max="4" width="9.7109375" style="0" bestFit="1" customWidth="1"/>
    <col min="5" max="5" width="10.140625" style="0" bestFit="1" customWidth="1"/>
    <col min="6" max="6" width="10.7109375" style="0" customWidth="1"/>
    <col min="7" max="7" width="12.57421875" style="0" customWidth="1"/>
    <col min="8" max="8" width="12.00390625" style="0" customWidth="1"/>
    <col min="9" max="9" width="14.8515625" style="0" customWidth="1"/>
    <col min="10" max="11" width="10.140625" style="0" bestFit="1" customWidth="1"/>
    <col min="17" max="17" width="14.140625" style="0" customWidth="1"/>
    <col min="18" max="18" width="11.00390625" style="0" customWidth="1"/>
    <col min="19" max="20" width="11.421875" style="0" customWidth="1"/>
    <col min="21" max="21" width="11.28125" style="0" customWidth="1"/>
    <col min="22" max="23" width="12.28125" style="0" customWidth="1"/>
    <col min="24" max="24" width="12.421875" style="0" customWidth="1"/>
    <col min="25" max="25" width="25.421875" style="0" customWidth="1"/>
    <col min="26" max="26" width="13.57421875" style="0" customWidth="1"/>
    <col min="27" max="27" width="17.140625" style="0" customWidth="1"/>
    <col min="28" max="28" width="12.8515625" style="0" customWidth="1"/>
    <col min="29" max="29" width="10.140625" style="0" bestFit="1" customWidth="1"/>
    <col min="30" max="30" width="10.7109375" style="0" bestFit="1" customWidth="1"/>
    <col min="31" max="31" width="10.57421875" style="0" bestFit="1" customWidth="1"/>
    <col min="32" max="32" width="11.8515625" style="0" customWidth="1"/>
    <col min="33" max="35" width="17.7109375" style="0" customWidth="1"/>
    <col min="36" max="36" width="18.7109375" style="0" customWidth="1"/>
    <col min="37" max="37" width="18.421875" style="0" customWidth="1"/>
    <col min="41" max="41" width="11.28125" style="0" customWidth="1"/>
    <col min="42" max="42" width="19.140625" style="0" customWidth="1"/>
    <col min="47" max="47" width="18.140625" style="0" customWidth="1"/>
    <col min="50" max="50" width="12.00390625" style="0" customWidth="1"/>
    <col min="51" max="51" width="12.140625" style="0" customWidth="1"/>
    <col min="52" max="52" width="10.28125" style="0" customWidth="1"/>
  </cols>
  <sheetData>
    <row r="1" spans="7:40" ht="12.75">
      <c r="G1" t="s">
        <v>89</v>
      </c>
      <c r="H1" t="s">
        <v>90</v>
      </c>
      <c r="I1" t="s">
        <v>90</v>
      </c>
      <c r="J1" t="s">
        <v>91</v>
      </c>
      <c r="K1" t="s">
        <v>161</v>
      </c>
      <c r="S1" t="s">
        <v>89</v>
      </c>
      <c r="T1" t="s">
        <v>90</v>
      </c>
      <c r="U1" t="s">
        <v>90</v>
      </c>
      <c r="V1" t="s">
        <v>91</v>
      </c>
      <c r="W1" t="s">
        <v>153</v>
      </c>
      <c r="AA1" t="s">
        <v>0</v>
      </c>
      <c r="AB1" t="s">
        <v>35</v>
      </c>
      <c r="AC1" t="s">
        <v>67</v>
      </c>
      <c r="AD1" t="s">
        <v>68</v>
      </c>
      <c r="AF1" t="s">
        <v>68</v>
      </c>
      <c r="AM1" s="57"/>
      <c r="AN1" s="57"/>
    </row>
    <row r="2" spans="1:40" ht="12.75">
      <c r="A2" s="11" t="s">
        <v>40</v>
      </c>
      <c r="B2" s="41" t="s">
        <v>107</v>
      </c>
      <c r="C2" s="42" t="s">
        <v>35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92</v>
      </c>
      <c r="K2" s="3"/>
      <c r="M2" s="11" t="s">
        <v>53</v>
      </c>
      <c r="N2" s="41" t="s">
        <v>107</v>
      </c>
      <c r="O2" s="42" t="s">
        <v>35</v>
      </c>
      <c r="P2" t="s">
        <v>54</v>
      </c>
      <c r="Q2" t="s">
        <v>55</v>
      </c>
      <c r="R2" t="s">
        <v>52</v>
      </c>
      <c r="S2" t="s">
        <v>44</v>
      </c>
      <c r="T2" t="s">
        <v>45</v>
      </c>
      <c r="U2" t="s">
        <v>92</v>
      </c>
      <c r="Y2">
        <v>1</v>
      </c>
      <c r="Z2" s="6" t="str">
        <f>+'ocean volumes'!B26</f>
        <v>CPdn_off</v>
      </c>
      <c r="AA2" s="3">
        <f>+'ocean volumes'!C26</f>
        <v>-30268186.8055551</v>
      </c>
      <c r="AB2" s="3">
        <f>+'ocean volumes'!D26</f>
        <v>41350000</v>
      </c>
      <c r="AD2" s="7">
        <f>+AF2</f>
        <v>29238865.40206374</v>
      </c>
      <c r="AF2" s="3">
        <f>'ocean volumes'!S26</f>
        <v>29238865.40206374</v>
      </c>
      <c r="AG2" s="3" t="str">
        <f>'ocean volumes'!T26</f>
        <v>CPdn_off</v>
      </c>
      <c r="AH2" s="3"/>
      <c r="AI2" s="3"/>
      <c r="AM2" s="58">
        <f>'ocean volumes'!S26</f>
        <v>29238865.40206374</v>
      </c>
      <c r="AN2" s="58" t="str">
        <f>'ocean volumes'!T26</f>
        <v>CPdn_off</v>
      </c>
    </row>
    <row r="3" spans="1:40" ht="12.75">
      <c r="A3" s="12" t="s">
        <v>46</v>
      </c>
      <c r="B3" s="19">
        <v>4329.3</v>
      </c>
      <c r="C3" s="42">
        <f>'[4]CP 1950-1995'!L28</f>
        <v>73056.24</v>
      </c>
      <c r="D3" s="7">
        <f>'[4]CP 1950-1995'!T28</f>
        <v>378126.8670087881</v>
      </c>
      <c r="E3" s="7">
        <f>'[4]CP 1950-1995'!U28</f>
        <v>2516646.54835955</v>
      </c>
      <c r="F3" s="7">
        <f>'[4]CP 1950-1995'!V28</f>
        <v>2894773.415368338</v>
      </c>
      <c r="G3" s="7">
        <f>'[4]CP 1950-1995'!BK28</f>
        <v>518148.3785583339</v>
      </c>
      <c r="H3" s="3"/>
      <c r="I3" s="3"/>
      <c r="J3" s="3">
        <f>+(G3^2+H3^2+I3^2)</f>
        <v>268477742202.6305</v>
      </c>
      <c r="K3" s="3">
        <f>'[4]CP 1950-1995'!BK28</f>
        <v>518148.3785583339</v>
      </c>
      <c r="M3" s="6" t="s">
        <v>26</v>
      </c>
      <c r="N3">
        <v>3104.73</v>
      </c>
      <c r="O3" s="43">
        <f>'[1]LB 1955-1995'!M30</f>
        <v>1918922</v>
      </c>
      <c r="P3" s="7">
        <f>'[1]LB 1955-1995'!U30</f>
        <v>1488677.7161435233</v>
      </c>
      <c r="Q3" s="7">
        <f>'[1]LB 1955-1995'!V30</f>
        <v>9844069.86</v>
      </c>
      <c r="R3" s="7">
        <f>'[1]LB 1955-1995'!W30</f>
        <v>11332747.576143522</v>
      </c>
      <c r="S3" s="7">
        <f>'[1]LB 1955-1995'!BI30</f>
        <v>961077.0889644085</v>
      </c>
      <c r="T3" s="30">
        <f>'[1]LB 1955-1995'!BJ30</f>
        <v>1953965.0067320047</v>
      </c>
      <c r="V3" s="3">
        <f aca="true" t="shared" si="0" ref="V3:V10">+(S3^2+T3^2+U3^2)</f>
        <v>4741648418465.505</v>
      </c>
      <c r="W3" s="3">
        <f aca="true" t="shared" si="1" ref="W3:W10">SUM(S3:U3)</f>
        <v>2915042.095696413</v>
      </c>
      <c r="X3" s="73"/>
      <c r="Y3">
        <v>2</v>
      </c>
      <c r="Z3" s="6" t="str">
        <f>+'ocean volumes'!B27</f>
        <v>CP_off</v>
      </c>
      <c r="AA3" s="3">
        <f>+'ocean volumes'!C27</f>
        <v>-25838772.9561818</v>
      </c>
      <c r="AB3" s="3">
        <f>+'ocean volumes'!D27</f>
        <v>130432187.5</v>
      </c>
      <c r="AD3" s="7">
        <f>+AF3</f>
        <v>92229484.26624525</v>
      </c>
      <c r="AF3" s="3">
        <f>'ocean volumes'!S27</f>
        <v>92229484.26624525</v>
      </c>
      <c r="AG3" s="3" t="str">
        <f>'ocean volumes'!T27</f>
        <v>CP_off</v>
      </c>
      <c r="AH3" s="3"/>
      <c r="AI3" s="3"/>
      <c r="AM3" s="58">
        <f>'ocean volumes'!Q41</f>
        <v>2559.5271773980685</v>
      </c>
      <c r="AN3" s="58">
        <f>'ocean volumes'!R41</f>
        <v>23.130067012440755</v>
      </c>
    </row>
    <row r="4" spans="1:40" ht="12.75">
      <c r="A4" s="12" t="s">
        <v>47</v>
      </c>
      <c r="B4" s="19">
        <v>4410.2</v>
      </c>
      <c r="C4" s="42">
        <f>'[4]CP 1950-1995'!L29</f>
        <v>460693.312</v>
      </c>
      <c r="D4" s="7">
        <f>'[4]CP 1950-1995'!T29</f>
        <v>2989938.9694249304</v>
      </c>
      <c r="E4" s="7">
        <f>'[4]CP 1950-1995'!U29</f>
        <v>5468171.5334974555</v>
      </c>
      <c r="F4" s="7">
        <f>'[4]CP 1950-1995'!V29</f>
        <v>8458110.502922386</v>
      </c>
      <c r="G4" s="7">
        <f>'[4]CP 1950-1995'!BK29</f>
        <v>697732.7760470312</v>
      </c>
      <c r="H4" s="7"/>
      <c r="I4" s="7">
        <f>+'land volumes'!Q35</f>
        <v>190622.68468657476</v>
      </c>
      <c r="J4" s="3">
        <f>+(G4^2+H4^2+I4^2)</f>
        <v>523168034687.4139</v>
      </c>
      <c r="K4" s="3">
        <f>'[4]CP 1950-1995'!BK29</f>
        <v>697732.7760470312</v>
      </c>
      <c r="M4" s="6" t="s">
        <v>27</v>
      </c>
      <c r="N4">
        <v>5587.808</v>
      </c>
      <c r="O4" s="43">
        <f>'[1]LB 1955-1995'!M31</f>
        <v>678031.375</v>
      </c>
      <c r="P4" s="7">
        <f>'[1]LB 1955-1995'!U31</f>
        <v>1285459.4542934205</v>
      </c>
      <c r="Q4" s="7">
        <f>'[1]LB 1955-1995'!V31</f>
        <v>11326770.000245312</v>
      </c>
      <c r="R4" s="7">
        <f>'[1]LB 1955-1995'!W31</f>
        <v>12612229.454538733</v>
      </c>
      <c r="S4" s="7">
        <f>'[1]LB 1955-1995'!BI31</f>
        <v>418298.2976163923</v>
      </c>
      <c r="T4" s="30">
        <f>'[1]LB 1955-1995'!BJ31</f>
        <v>4091960.353112586</v>
      </c>
      <c r="V4" s="3">
        <f t="shared" si="0"/>
        <v>16919112997234.049</v>
      </c>
      <c r="W4" s="3">
        <f t="shared" si="1"/>
        <v>4510258.650728978</v>
      </c>
      <c r="X4" s="73"/>
      <c r="Z4" s="6" t="str">
        <f>+'ocean volumes'!B41</f>
        <v>CP_near</v>
      </c>
      <c r="AA4" s="3">
        <f>+'ocean volumes'!C41</f>
        <v>8037580.7105102</v>
      </c>
      <c r="AB4" s="3">
        <f>+'ocean volumes'!D41</f>
        <v>33927812.5000001</v>
      </c>
      <c r="AD4" s="29">
        <f>+AF15</f>
        <v>23990696.244107418</v>
      </c>
      <c r="AF4" s="3">
        <f>'ocean volumes'!S28</f>
        <v>30735059.15688072</v>
      </c>
      <c r="AG4" s="3" t="str">
        <f>'ocean volumes'!T28</f>
        <v>innerdelta</v>
      </c>
      <c r="AH4" s="3"/>
      <c r="AI4" s="3"/>
      <c r="AM4" s="58">
        <f>'ocean volumes'!Q47</f>
        <v>2594.240812190654</v>
      </c>
      <c r="AN4" s="58">
        <f>'ocean volumes'!R47</f>
        <v>23.130067012440755</v>
      </c>
    </row>
    <row r="5" spans="1:40" ht="12.75">
      <c r="A5" s="12" t="s">
        <v>48</v>
      </c>
      <c r="B5" s="19">
        <v>5131.8</v>
      </c>
      <c r="C5" s="42">
        <f>'[4]CP 1950-1995'!L30</f>
        <v>576387.25</v>
      </c>
      <c r="D5" s="7">
        <f>'[4]CP 1950-1995'!T30</f>
        <v>4276283.134316449</v>
      </c>
      <c r="E5" s="7">
        <f>'[4]CP 1950-1995'!U30</f>
        <v>13842010.812170494</v>
      </c>
      <c r="F5" s="7">
        <f>'[4]CP 1950-1995'!Z30</f>
        <v>18118293.946486942</v>
      </c>
      <c r="G5" s="7">
        <f>'[4]CP 1950-1995'!BK30</f>
        <v>929560.2106202684</v>
      </c>
      <c r="H5" s="7">
        <f>+AD5</f>
        <v>9414576.613774763</v>
      </c>
      <c r="I5" s="7">
        <f>+'land volumes'!Q36</f>
        <v>213551.37820919894</v>
      </c>
      <c r="J5" s="3">
        <f>+(G5^2+H5^2+I5^2)</f>
        <v>89543939192938.12</v>
      </c>
      <c r="K5" s="3">
        <f>'[4]CP 1950-1995'!BK30</f>
        <v>929560.2106202684</v>
      </c>
      <c r="M5" s="6" t="s">
        <v>28</v>
      </c>
      <c r="N5">
        <v>4262.397</v>
      </c>
      <c r="O5" s="43">
        <f>'[1]LB 1955-1995'!M32</f>
        <v>538034.938</v>
      </c>
      <c r="P5" s="7">
        <f>'[1]LB 1955-1995'!U32</f>
        <v>1507977.1743473816</v>
      </c>
      <c r="Q5" s="7">
        <f>'[1]LB 1955-1995'!V32</f>
        <v>8988076.687192015</v>
      </c>
      <c r="R5" s="7">
        <f>'[1]LB 1955-1995'!W32</f>
        <v>10496053.861539397</v>
      </c>
      <c r="S5" s="7">
        <f>'[1]LB 1955-1995'!BI32</f>
        <v>385647.6511173936</v>
      </c>
      <c r="T5" s="30">
        <f>'[1]LB 1955-1995'!BJ32</f>
        <v>3212567.5368350097</v>
      </c>
      <c r="V5" s="3">
        <f t="shared" si="0"/>
        <v>10469314289538.525</v>
      </c>
      <c r="W5" s="3">
        <f t="shared" si="1"/>
        <v>3598215.1879524034</v>
      </c>
      <c r="X5" s="73"/>
      <c r="Z5" s="6" t="str">
        <f>+'ocean volumes'!B47</f>
        <v>CPc3_near</v>
      </c>
      <c r="AA5" s="3">
        <f>+'ocean volumes'!C47</f>
        <v>13554142.326328</v>
      </c>
      <c r="AB5" s="3">
        <f>+'ocean volumes'!D47</f>
        <v>13313125</v>
      </c>
      <c r="AD5" s="29">
        <f>+AF16</f>
        <v>9414576.613774763</v>
      </c>
      <c r="AF5" s="3">
        <f>'ocean volumes'!S29</f>
        <v>13018056.812513461</v>
      </c>
      <c r="AG5" s="3" t="str">
        <f>'ocean volumes'!T29</f>
        <v>outerdelta</v>
      </c>
      <c r="AH5" s="3"/>
      <c r="AI5" s="3"/>
      <c r="AM5" s="58">
        <f>'ocean volumes'!S27</f>
        <v>92229484.26624525</v>
      </c>
      <c r="AN5" s="58" t="str">
        <f>'ocean volumes'!T27</f>
        <v>CP_off</v>
      </c>
    </row>
    <row r="6" spans="1:40" ht="12.75">
      <c r="A6" s="12" t="s">
        <v>49</v>
      </c>
      <c r="B6" s="19">
        <v>4771</v>
      </c>
      <c r="C6" s="30">
        <f>'[4]CP 1950-1995'!L31</f>
        <v>451968.75201950734</v>
      </c>
      <c r="D6" s="13"/>
      <c r="E6" s="13"/>
      <c r="F6" s="7">
        <f>'[4]CP 1950-1995'!Z31</f>
        <v>14914664.616510611</v>
      </c>
      <c r="G6" s="7">
        <f>'[4]CP 1950-1995'!BK31</f>
        <v>765197.806327811</v>
      </c>
      <c r="H6" s="30"/>
      <c r="I6" s="30"/>
      <c r="J6" s="3"/>
      <c r="K6" s="3"/>
      <c r="M6" s="6" t="s">
        <v>29</v>
      </c>
      <c r="N6">
        <v>4990.792</v>
      </c>
      <c r="O6" s="43">
        <f>'[1]LB 1955-1995'!M33</f>
        <v>601317.812</v>
      </c>
      <c r="P6" s="7">
        <f>'[1]LB 1955-1995'!U33</f>
        <v>2364967.6543446276</v>
      </c>
      <c r="Q6" s="7">
        <f>'[1]LB 1955-1995'!V33</f>
        <v>10045240.979556074</v>
      </c>
      <c r="R6" s="7">
        <f>'[1]LB 1955-1995'!W33</f>
        <v>12410208.633900702</v>
      </c>
      <c r="S6" s="7">
        <f>'[1]LB 1955-1995'!BI33</f>
        <v>544539.1001740886</v>
      </c>
      <c r="T6" s="30">
        <f>'[1]LB 1955-1995'!BJ33</f>
        <v>3636183.831817799</v>
      </c>
      <c r="V6" s="3">
        <f t="shared" si="0"/>
        <v>13518355690391.576</v>
      </c>
      <c r="W6" s="3">
        <f t="shared" si="1"/>
        <v>4180722.9319918873</v>
      </c>
      <c r="X6" s="73"/>
      <c r="Y6">
        <v>3</v>
      </c>
      <c r="Z6" t="s">
        <v>7</v>
      </c>
      <c r="AA6" s="3">
        <f>+'ocean volumes'!C5</f>
        <v>-37083333.3333333</v>
      </c>
      <c r="AB6" s="3">
        <f>+'ocean volumes'!D5</f>
        <v>23218400</v>
      </c>
      <c r="AD6" s="3">
        <f>+'ocean volumes'!S5</f>
        <v>11609200</v>
      </c>
      <c r="AF6" s="3">
        <f>'ocean volumes'!S30</f>
        <v>17135627.987710375</v>
      </c>
      <c r="AG6" s="3" t="str">
        <f>'ocean volumes'!T30</f>
        <v>delta_north</v>
      </c>
      <c r="AH6" s="3"/>
      <c r="AI6" s="3"/>
      <c r="AM6" s="58">
        <f>'ocean volumes'!S28</f>
        <v>30735059.15688072</v>
      </c>
      <c r="AN6" s="58" t="str">
        <f>'ocean volumes'!T28</f>
        <v>innerdelta</v>
      </c>
    </row>
    <row r="7" spans="1:40" ht="12.75">
      <c r="A7" s="12" t="s">
        <v>50</v>
      </c>
      <c r="B7" s="19">
        <v>4811</v>
      </c>
      <c r="C7" s="30">
        <f>'[4]CP 1950-1995'!L32</f>
        <v>341577.1431962292</v>
      </c>
      <c r="D7" s="13"/>
      <c r="E7" s="13"/>
      <c r="F7" s="7">
        <f>'[4]CP 1950-1995'!Z32</f>
        <v>6090753.470639434</v>
      </c>
      <c r="G7" s="7">
        <f>'[4]CP 1950-1995'!BK32</f>
        <v>312486.4899380609</v>
      </c>
      <c r="H7" s="30"/>
      <c r="I7" s="30"/>
      <c r="J7" s="3"/>
      <c r="K7" s="3"/>
      <c r="M7" s="6" t="s">
        <v>30</v>
      </c>
      <c r="N7">
        <v>5003.084</v>
      </c>
      <c r="O7" s="43">
        <f>'[1]LB 1955-1995'!M34</f>
        <v>853907.125</v>
      </c>
      <c r="P7" s="7">
        <f>'[1]LB 1955-1995'!U34</f>
        <v>3204165.8686751183</v>
      </c>
      <c r="Q7" s="7">
        <f>'[1]LB 1955-1995'!V34</f>
        <v>14264840.777383974</v>
      </c>
      <c r="R7" s="7">
        <f>'[1]LB 1955-1995'!W34</f>
        <v>17469006.646059092</v>
      </c>
      <c r="S7" s="7">
        <f>'[1]LB 1955-1995'!BI34</f>
        <v>608969.9127030583</v>
      </c>
      <c r="T7" s="30">
        <f>'[1]LB 1955-1995'!BJ34</f>
        <v>4785461.6392040765</v>
      </c>
      <c r="V7" s="3">
        <f>+(S7^2+T7^2+U7^2)</f>
        <v>23271487454871.336</v>
      </c>
      <c r="W7" s="3">
        <f t="shared" si="1"/>
        <v>5394431.551907135</v>
      </c>
      <c r="X7" s="73"/>
      <c r="Y7">
        <v>4</v>
      </c>
      <c r="Z7" s="6" t="str">
        <f>+'ocean volumes'!B28</f>
        <v>innerdelta</v>
      </c>
      <c r="AA7" s="3">
        <f>+'ocean volumes'!C28</f>
        <v>-47071388.7968463</v>
      </c>
      <c r="AB7" s="3">
        <f>+'ocean volumes'!D28</f>
        <v>43465937.5000001</v>
      </c>
      <c r="AD7" s="7">
        <f aca="true" t="shared" si="2" ref="AD7:AD13">+AF4</f>
        <v>30735059.15688072</v>
      </c>
      <c r="AF7" s="3">
        <f>'ocean volumes'!S31</f>
        <v>2126402.6735494207</v>
      </c>
      <c r="AG7" s="3" t="str">
        <f>'ocean volumes'!T31</f>
        <v>dispA</v>
      </c>
      <c r="AH7" s="3"/>
      <c r="AI7" s="3"/>
      <c r="AM7" s="58">
        <f>'ocean volumes'!S29</f>
        <v>13018056.812513461</v>
      </c>
      <c r="AN7" s="58" t="str">
        <f>'ocean volumes'!T29</f>
        <v>outerdelta</v>
      </c>
    </row>
    <row r="8" spans="1:40" ht="12.75">
      <c r="A8" s="5" t="s">
        <v>51</v>
      </c>
      <c r="B8" s="14">
        <f>SUM(B3:B7)</f>
        <v>23453.3</v>
      </c>
      <c r="C8" s="14">
        <f>SUM(C3:C7)</f>
        <v>1903682.6972157366</v>
      </c>
      <c r="D8" s="13"/>
      <c r="E8" s="13"/>
      <c r="F8" s="14">
        <f>SUM(F3:F7)</f>
        <v>50476595.95192771</v>
      </c>
      <c r="G8" s="14"/>
      <c r="H8" s="14"/>
      <c r="I8" s="14"/>
      <c r="J8" s="25">
        <f>SQRT(SUM(J3:J7))</f>
        <v>9504503.404693386</v>
      </c>
      <c r="K8" s="25">
        <f>SUM(K3:K7)</f>
        <v>2145441.3652256336</v>
      </c>
      <c r="M8" s="6" t="s">
        <v>31</v>
      </c>
      <c r="N8">
        <v>5012.017</v>
      </c>
      <c r="O8" s="43">
        <f>'[1]LB 1955-1995'!M35</f>
        <v>1093324.375</v>
      </c>
      <c r="P8" s="7">
        <f>'[1]LB 1955-1995'!U35</f>
        <v>4381114.529380767</v>
      </c>
      <c r="Q8" s="7">
        <f>'[1]LB 1955-1995'!V35</f>
        <v>18264396.29181903</v>
      </c>
      <c r="R8" s="7">
        <f>'[1]LB 1955-1995'!W35</f>
        <v>22645510.821199797</v>
      </c>
      <c r="S8" s="7">
        <f>'[1]LB 1955-1995'!BI35</f>
        <v>717383.324213384</v>
      </c>
      <c r="T8" s="30">
        <f>'[1]LB 1955-1995'!BJ35</f>
        <v>5930138.355571839</v>
      </c>
      <c r="V8" s="3">
        <f t="shared" si="0"/>
        <v>35681179750083.72</v>
      </c>
      <c r="W8" s="3">
        <f t="shared" si="1"/>
        <v>6647521.679785223</v>
      </c>
      <c r="X8" s="73"/>
      <c r="Y8">
        <v>5</v>
      </c>
      <c r="Z8" s="6" t="str">
        <f>+'ocean volumes'!B29</f>
        <v>outerdelta</v>
      </c>
      <c r="AA8" s="3">
        <f>+'ocean volumes'!C29</f>
        <v>45130233.3704763</v>
      </c>
      <c r="AB8" s="3">
        <f>+'ocean volumes'!D29</f>
        <v>18410312.5</v>
      </c>
      <c r="AD8" s="7">
        <f t="shared" si="2"/>
        <v>13018056.812513461</v>
      </c>
      <c r="AF8" s="3">
        <f>'ocean volumes'!S32</f>
        <v>6739832.479053402</v>
      </c>
      <c r="AG8" s="3" t="str">
        <f>'ocean volumes'!T32</f>
        <v>dispB</v>
      </c>
      <c r="AH8" s="3"/>
      <c r="AI8" s="3"/>
      <c r="AM8" s="58">
        <f>'ocean volumes'!S30</f>
        <v>17135627.987710375</v>
      </c>
      <c r="AN8" s="58" t="str">
        <f>'ocean volumes'!T30</f>
        <v>delta_north</v>
      </c>
    </row>
    <row r="9" spans="8:40" ht="12.75">
      <c r="H9" s="3"/>
      <c r="I9" t="s">
        <v>101</v>
      </c>
      <c r="K9" s="19">
        <f>+K8/F8*100</f>
        <v>4.2503685614396085</v>
      </c>
      <c r="M9" s="6" t="s">
        <v>32</v>
      </c>
      <c r="N9">
        <v>4999.452</v>
      </c>
      <c r="O9" s="43">
        <f>'[1]LB 1955-1995'!M36</f>
        <v>1104107.875</v>
      </c>
      <c r="P9" s="7">
        <f>'[1]LB 1955-1995'!U36</f>
        <v>3693375.8438361646</v>
      </c>
      <c r="Q9" s="7">
        <f>'[1]LB 1955-1995'!V36</f>
        <v>18991000.097430617</v>
      </c>
      <c r="R9" s="7">
        <f>'[1]LB 1955-1995'!W36</f>
        <v>22684375.941266783</v>
      </c>
      <c r="S9" s="7">
        <f>'[1]LB 1955-1995'!BI36</f>
        <v>674088.1957764261</v>
      </c>
      <c r="T9" s="64">
        <f>+AD14</f>
        <v>7051081.650151742</v>
      </c>
      <c r="U9" s="64">
        <f>'land volumes'!Q31</f>
        <v>433007.9859837885</v>
      </c>
      <c r="V9" s="3">
        <f t="shared" si="0"/>
        <v>50359643248717.46</v>
      </c>
      <c r="W9" s="3">
        <f t="shared" si="1"/>
        <v>8158177.831911957</v>
      </c>
      <c r="X9" s="72"/>
      <c r="Z9" s="6" t="str">
        <f>+'ocean volumes'!B30</f>
        <v>delta_north</v>
      </c>
      <c r="AA9" s="3">
        <f>+'ocean volumes'!C30</f>
        <v>22020775.9773163</v>
      </c>
      <c r="AB9" s="3">
        <f>+'ocean volumes'!D30</f>
        <v>24233437.5</v>
      </c>
      <c r="AD9" s="7">
        <f t="shared" si="2"/>
        <v>17135627.987710375</v>
      </c>
      <c r="AF9" s="3">
        <f>'ocean volumes'!S33</f>
        <v>1664573.557086957</v>
      </c>
      <c r="AG9" s="3" t="str">
        <f>'ocean volumes'!T33</f>
        <v>dispF</v>
      </c>
      <c r="AH9" s="3"/>
      <c r="AI9" s="3"/>
      <c r="AM9" s="58">
        <f>'ocean volumes'!S31</f>
        <v>2126402.6735494207</v>
      </c>
      <c r="AN9" s="58" t="str">
        <f>'ocean volumes'!T31</f>
        <v>dispA</v>
      </c>
    </row>
    <row r="10" spans="9:40" ht="12.75">
      <c r="I10" s="13">
        <v>8175515.246209071</v>
      </c>
      <c r="K10" s="3"/>
      <c r="M10" s="6" t="s">
        <v>33</v>
      </c>
      <c r="N10">
        <v>6302.447</v>
      </c>
      <c r="O10" s="43">
        <f>'[1]LB 1955-1995'!M37</f>
        <v>909163.562</v>
      </c>
      <c r="P10" s="7">
        <f>'[1]LB 1955-1995'!U37</f>
        <v>2652163.050886147</v>
      </c>
      <c r="Q10" s="7">
        <f>'[1]LB 1955-1995'!V37</f>
        <v>14737943.759229342</v>
      </c>
      <c r="R10" s="7">
        <f>'[1]LB 1955-1995'!W37</f>
        <v>17390106.81011549</v>
      </c>
      <c r="S10" s="7">
        <f>'[1]LB 1955-1995'!BI37</f>
        <v>622480.6285467966</v>
      </c>
      <c r="T10" s="64">
        <f>+AD15</f>
        <v>7381949.960403775</v>
      </c>
      <c r="U10" s="64">
        <f>'land volumes'!Q32</f>
        <v>308096.1925223369</v>
      </c>
      <c r="V10" s="3">
        <f t="shared" si="0"/>
        <v>54975590614668.07</v>
      </c>
      <c r="W10" s="3">
        <f t="shared" si="1"/>
        <v>8312526.781472908</v>
      </c>
      <c r="X10" s="72"/>
      <c r="Y10">
        <v>6</v>
      </c>
      <c r="Z10" s="6" t="str">
        <f>+'ocean volumes'!B31</f>
        <v>dispA</v>
      </c>
      <c r="AA10" s="3">
        <f>+'ocean volumes'!C31</f>
        <v>6573920.96226358</v>
      </c>
      <c r="AB10" s="3">
        <f>+'ocean volumes'!D31</f>
        <v>3007187.5</v>
      </c>
      <c r="AD10" s="7">
        <f t="shared" si="2"/>
        <v>2126402.6735494207</v>
      </c>
      <c r="AF10" s="3">
        <f>'ocean volumes'!S34</f>
        <v>51292200.08205743</v>
      </c>
      <c r="AG10" s="3" t="str">
        <f>'ocean volumes'!T34</f>
        <v>off_north</v>
      </c>
      <c r="AH10" s="3"/>
      <c r="AI10" s="3"/>
      <c r="AM10" s="58">
        <f>'ocean volumes'!S32</f>
        <v>6739832.479053402</v>
      </c>
      <c r="AN10" s="58" t="str">
        <f>'ocean volumes'!T32</f>
        <v>dispB</v>
      </c>
    </row>
    <row r="11" spans="9:40" ht="12.75">
      <c r="I11" s="13">
        <v>8244058.656363832</v>
      </c>
      <c r="M11" s="6"/>
      <c r="N11" s="14">
        <f>SUM(N3:N10)</f>
        <v>39262.727</v>
      </c>
      <c r="O11" s="14">
        <f>SUM(O3:O10)</f>
        <v>7696809.062</v>
      </c>
      <c r="P11" s="13"/>
      <c r="Q11" s="13"/>
      <c r="R11" s="14">
        <f>SUM(R3:R10)</f>
        <v>127040239.7447635</v>
      </c>
      <c r="S11" s="7"/>
      <c r="T11" s="14"/>
      <c r="V11" s="25">
        <f>SQRT(SUM(V3:V10))</f>
        <v>14489179.84096996</v>
      </c>
      <c r="W11" s="25">
        <f>SUM(W3:W10)</f>
        <v>43716896.7114469</v>
      </c>
      <c r="Y11">
        <v>7</v>
      </c>
      <c r="Z11" s="6" t="str">
        <f>+'ocean volumes'!B32</f>
        <v>dispB</v>
      </c>
      <c r="AA11" s="3">
        <f>+'ocean volumes'!C32</f>
        <v>45785325.7159667</v>
      </c>
      <c r="AB11" s="3">
        <f>+'ocean volumes'!D32</f>
        <v>9531562.5</v>
      </c>
      <c r="AD11" s="7">
        <f t="shared" si="2"/>
        <v>6739832.479053402</v>
      </c>
      <c r="AF11" s="3">
        <f>'ocean volumes'!S35</f>
        <v>15229533.270674389</v>
      </c>
      <c r="AG11" s="3" t="str">
        <f>'ocean volumes'!T35</f>
        <v>LBc1_off</v>
      </c>
      <c r="AH11" s="3"/>
      <c r="AI11" s="3"/>
      <c r="AM11" s="58">
        <f>'ocean volumes'!S33</f>
        <v>1664573.557086957</v>
      </c>
      <c r="AN11" s="58" t="str">
        <f>'ocean volumes'!T33</f>
        <v>dispF</v>
      </c>
    </row>
    <row r="12" spans="7:40" ht="12.75">
      <c r="G12" t="s">
        <v>89</v>
      </c>
      <c r="H12" t="s">
        <v>90</v>
      </c>
      <c r="I12" t="s">
        <v>91</v>
      </c>
      <c r="J12" t="s">
        <v>161</v>
      </c>
      <c r="T12" s="3"/>
      <c r="W12" s="19">
        <f>+W11/R11*100</f>
        <v>34.41184997704546</v>
      </c>
      <c r="Y12">
        <v>8</v>
      </c>
      <c r="Z12" s="6" t="str">
        <f>+'ocean volumes'!B33</f>
        <v>dispF</v>
      </c>
      <c r="AA12" s="3">
        <f>+'ocean volumes'!C33</f>
        <v>3848443.95540526</v>
      </c>
      <c r="AB12" s="3">
        <f>+'ocean volumes'!D33</f>
        <v>2354062.5</v>
      </c>
      <c r="AD12" s="7">
        <f t="shared" si="2"/>
        <v>1664573.557086957</v>
      </c>
      <c r="AF12" s="3">
        <f>'ocean volumes'!S36</f>
        <v>10764816.860088702</v>
      </c>
      <c r="AG12" s="3" t="str">
        <f>'ocean volumes'!T36</f>
        <v>LBc2_off</v>
      </c>
      <c r="AH12" s="3"/>
      <c r="AI12" s="3"/>
      <c r="AM12" s="58">
        <f>'ocean volumes'!S34</f>
        <v>51292200.08205743</v>
      </c>
      <c r="AN12" s="58" t="str">
        <f>'ocean volumes'!T34</f>
        <v>off_north</v>
      </c>
    </row>
    <row r="13" spans="1:40" ht="12.75">
      <c r="A13" s="11" t="s">
        <v>56</v>
      </c>
      <c r="B13" s="41" t="s">
        <v>107</v>
      </c>
      <c r="C13" s="41" t="s">
        <v>35</v>
      </c>
      <c r="D13" t="s">
        <v>41</v>
      </c>
      <c r="E13" t="s">
        <v>42</v>
      </c>
      <c r="F13" t="s">
        <v>43</v>
      </c>
      <c r="G13" t="s">
        <v>44</v>
      </c>
      <c r="H13" t="s">
        <v>92</v>
      </c>
      <c r="R13" s="3">
        <f>SUM(R3:R8)/1000000</f>
        <v>86.96575699338123</v>
      </c>
      <c r="Y13">
        <v>9</v>
      </c>
      <c r="Z13" s="6" t="str">
        <f>+'ocean volumes'!B34</f>
        <v>off_north</v>
      </c>
      <c r="AA13" s="3">
        <f>+'ocean volumes'!C34</f>
        <v>-5132599.74701929</v>
      </c>
      <c r="AB13" s="3">
        <f>+'ocean volumes'!D34</f>
        <v>72538125</v>
      </c>
      <c r="AD13" s="7">
        <f t="shared" si="2"/>
        <v>51292200.08205743</v>
      </c>
      <c r="AF13" s="3">
        <f>'ocean volumes'!S39</f>
        <v>7381949.960403775</v>
      </c>
      <c r="AG13" s="3" t="str">
        <f>'ocean volumes'!T39</f>
        <v>LBc1_near</v>
      </c>
      <c r="AH13" s="3"/>
      <c r="AI13" s="3"/>
      <c r="AM13" s="58">
        <f>'ocean volumes'!Q39</f>
        <v>1655.8548608183455</v>
      </c>
      <c r="AN13" s="58">
        <f>'ocean volumes'!R39</f>
        <v>23.130067012440755</v>
      </c>
    </row>
    <row r="14" spans="1:40" ht="12.75">
      <c r="A14" s="6" t="s">
        <v>57</v>
      </c>
      <c r="B14" s="19">
        <v>4516</v>
      </c>
      <c r="C14" s="42">
        <f>'[4]CP 1950-1995'!$L$27</f>
        <v>17176.145999999993</v>
      </c>
      <c r="D14" s="13">
        <f>'[4]CP 1950-1995'!$T$27</f>
        <v>28395.271000000008</v>
      </c>
      <c r="E14" s="41"/>
      <c r="F14" s="13">
        <f>+E14+D14</f>
        <v>28395.271000000008</v>
      </c>
      <c r="G14" s="7">
        <v>161671.95081119076</v>
      </c>
      <c r="H14" s="7">
        <v>0</v>
      </c>
      <c r="I14" s="3">
        <f>+SQRT(G14^2+H14^2)</f>
        <v>161671.95081119076</v>
      </c>
      <c r="J14" s="7">
        <f>SUM(G14:H14)</f>
        <v>161671.95081119076</v>
      </c>
      <c r="Y14">
        <v>11</v>
      </c>
      <c r="Z14" s="6" t="str">
        <f>+'ocean volumes'!B40</f>
        <v>LBc2_near</v>
      </c>
      <c r="AA14" s="3">
        <f>+'ocean volumes'!C40</f>
        <v>17712026.0301625</v>
      </c>
      <c r="AB14" s="3">
        <f>+'ocean volumes'!D40</f>
        <v>9967500</v>
      </c>
      <c r="AD14" s="29">
        <f>+AF14</f>
        <v>7051081.650151742</v>
      </c>
      <c r="AF14" s="3">
        <f>'ocean volumes'!S40</f>
        <v>7051081.650151742</v>
      </c>
      <c r="AG14" s="3" t="str">
        <f>'ocean volumes'!T40</f>
        <v>LBc2_near</v>
      </c>
      <c r="AH14" s="3"/>
      <c r="AI14" s="3"/>
      <c r="AM14" s="58">
        <f>'ocean volumes'!Q40</f>
        <v>1993.7185115488658</v>
      </c>
      <c r="AN14" s="58">
        <f>'ocean volumes'!R40</f>
        <v>23.130067012440755</v>
      </c>
    </row>
    <row r="15" spans="1:40" ht="12.75">
      <c r="A15" s="6" t="s">
        <v>34</v>
      </c>
      <c r="B15">
        <v>3380.29</v>
      </c>
      <c r="C15" s="42">
        <f>'[1]LB 1955-1995'!$M$38</f>
        <v>-1045625.765</v>
      </c>
      <c r="D15" s="7">
        <f>'[1]LB 1955-1995'!U38</f>
        <v>-3187037.9824311053</v>
      </c>
      <c r="E15" s="7">
        <f>'[1]LB 1955-1995'!V38</f>
        <v>-4291599.66680847</v>
      </c>
      <c r="F15" s="13">
        <f>+E15+D15</f>
        <v>-7478637.6492395755</v>
      </c>
      <c r="G15" s="7">
        <f>'[1]LB 1955-1995'!$BI$38</f>
        <v>-574564.9206704524</v>
      </c>
      <c r="H15" s="7">
        <f>'land volumes'!$Q$33</f>
        <v>-596037.7073541934</v>
      </c>
      <c r="I15" s="3">
        <f>+SQRT(G15^2+H15^2)</f>
        <v>827880.3033368329</v>
      </c>
      <c r="J15" s="7">
        <f>SUM(G15:H15)</f>
        <v>-1170602.6280246458</v>
      </c>
      <c r="Y15">
        <v>10</v>
      </c>
      <c r="Z15" s="6" t="str">
        <f>+'ocean volumes'!B39</f>
        <v>LBc1_near</v>
      </c>
      <c r="AA15" s="3">
        <f>+'ocean volumes'!C39</f>
        <v>14099453.3986039</v>
      </c>
      <c r="AB15" s="3">
        <f>+'ocean volumes'!D39</f>
        <v>10435937.5</v>
      </c>
      <c r="AD15" s="29">
        <f>+AF13</f>
        <v>7381949.960403775</v>
      </c>
      <c r="AF15" s="3">
        <f>'ocean volumes'!S41</f>
        <v>23990696.244107418</v>
      </c>
      <c r="AG15" s="3" t="str">
        <f>'ocean volumes'!T41</f>
        <v>CP_near</v>
      </c>
      <c r="AH15" s="3"/>
      <c r="AI15" s="3"/>
      <c r="AM15" s="58">
        <f>'ocean volumes'!S35</f>
        <v>15229533.270674389</v>
      </c>
      <c r="AN15" s="58" t="str">
        <f>'ocean volumes'!T35</f>
        <v>LBc1_off</v>
      </c>
    </row>
    <row r="16" spans="1:40" ht="12.75">
      <c r="A16" s="6"/>
      <c r="C16" s="42"/>
      <c r="D16" s="13"/>
      <c r="E16" s="13"/>
      <c r="F16" s="13"/>
      <c r="G16" s="3"/>
      <c r="H16" s="26"/>
      <c r="I16" s="26"/>
      <c r="Y16">
        <v>13</v>
      </c>
      <c r="Z16" s="6" t="str">
        <f>+'ocean volumes'!B36</f>
        <v>LBc2_off</v>
      </c>
      <c r="AA16" s="3">
        <f>+'ocean volumes'!C36</f>
        <v>13376726.9655118</v>
      </c>
      <c r="AB16" s="3">
        <f>+'ocean volumes'!D36</f>
        <v>15223750</v>
      </c>
      <c r="AD16" s="7">
        <f>+AF12</f>
        <v>10764816.860088702</v>
      </c>
      <c r="AF16" s="3">
        <f>'ocean volumes'!S47</f>
        <v>9414576.613774763</v>
      </c>
      <c r="AG16" s="3" t="str">
        <f>'ocean volumes'!T47</f>
        <v>CPc3_near</v>
      </c>
      <c r="AH16" s="3"/>
      <c r="AI16" s="3"/>
      <c r="AM16" s="58">
        <f>'ocean volumes'!S36</f>
        <v>10764816.860088702</v>
      </c>
      <c r="AN16" s="58" t="str">
        <f>'ocean volumes'!T36</f>
        <v>LBc2_off</v>
      </c>
    </row>
    <row r="17" spans="1:30" ht="12.75">
      <c r="A17" s="6"/>
      <c r="C17" s="42"/>
      <c r="D17" s="13"/>
      <c r="E17" s="13"/>
      <c r="F17" s="13"/>
      <c r="G17" s="3"/>
      <c r="H17" s="26"/>
      <c r="I17" s="26"/>
      <c r="Y17">
        <v>12</v>
      </c>
      <c r="Z17" s="6" t="str">
        <f>+'ocean volumes'!B35</f>
        <v>LBc1_off</v>
      </c>
      <c r="AA17" s="3">
        <f>+'ocean volumes'!C35</f>
        <v>22635543.814939</v>
      </c>
      <c r="AB17" s="3">
        <f>+'ocean volumes'!D35</f>
        <v>21537812.5</v>
      </c>
      <c r="AD17" s="7">
        <f>+AF11</f>
        <v>15229533.270674389</v>
      </c>
    </row>
    <row r="18" spans="1:30" ht="12.75">
      <c r="A18" s="6"/>
      <c r="C18" s="42"/>
      <c r="D18" s="13"/>
      <c r="E18" s="13"/>
      <c r="F18" s="13"/>
      <c r="G18" s="3"/>
      <c r="H18" s="26"/>
      <c r="I18" s="26"/>
      <c r="Z18" s="6"/>
      <c r="AA18" s="3"/>
      <c r="AB18" s="3"/>
      <c r="AD18" s="7"/>
    </row>
    <row r="19" spans="1:30" ht="12.75">
      <c r="A19" s="6"/>
      <c r="C19" s="42"/>
      <c r="D19" s="13"/>
      <c r="E19" s="13"/>
      <c r="F19" s="13"/>
      <c r="G19" s="3"/>
      <c r="H19" s="26"/>
      <c r="I19" s="26"/>
      <c r="Z19" s="6" t="str">
        <f>'ocean volumes'!B44</f>
        <v>CPdn_near</v>
      </c>
      <c r="AA19" s="3">
        <f>'ocean volumes'!C44</f>
        <v>337201.490789303</v>
      </c>
      <c r="AB19" s="3">
        <f>'ocean volumes'!D44</f>
        <v>9269687.5</v>
      </c>
      <c r="AD19" s="7">
        <v>6554892.796014607</v>
      </c>
    </row>
    <row r="20" spans="1:30" ht="12.75">
      <c r="A20" s="6"/>
      <c r="C20" s="42"/>
      <c r="D20" s="13"/>
      <c r="E20" s="13"/>
      <c r="F20" s="13"/>
      <c r="G20" s="3"/>
      <c r="H20" s="26"/>
      <c r="I20" s="26"/>
      <c r="Z20" s="6" t="str">
        <f>'ocean volumes'!B45</f>
        <v>CPc5_near</v>
      </c>
      <c r="AA20" s="3">
        <f>'ocean volumes'!C45</f>
        <v>2516646.54835955</v>
      </c>
      <c r="AB20" s="3">
        <f>'ocean volumes'!D45</f>
        <v>12589375</v>
      </c>
      <c r="AD20" s="7">
        <v>8902085.56332548</v>
      </c>
    </row>
    <row r="21" spans="1:30" ht="12.75">
      <c r="A21" s="6"/>
      <c r="C21" s="42"/>
      <c r="D21" s="13"/>
      <c r="E21" s="13"/>
      <c r="F21" s="13"/>
      <c r="G21" s="3"/>
      <c r="H21" s="26"/>
      <c r="I21" s="26"/>
      <c r="Z21" s="6" t="str">
        <f>'ocean volumes'!B46</f>
        <v>CPc4_near</v>
      </c>
      <c r="AA21" s="3">
        <f>'ocean volumes'!C46</f>
        <v>5183836.82397866</v>
      </c>
      <c r="AB21" s="3">
        <f>'ocean volumes'!D46</f>
        <v>11930312.5</v>
      </c>
      <c r="AD21" s="7">
        <v>8436069.12051986</v>
      </c>
    </row>
    <row r="22" spans="1:32" ht="12.75">
      <c r="A22" s="6"/>
      <c r="C22" s="42"/>
      <c r="D22" s="13"/>
      <c r="E22" s="13"/>
      <c r="F22" s="13"/>
      <c r="G22" s="3"/>
      <c r="H22" s="26"/>
      <c r="I22" s="26"/>
      <c r="Z22" s="6"/>
      <c r="AA22" s="3"/>
      <c r="AB22" s="3"/>
      <c r="AC22" s="3"/>
      <c r="AD22" s="3"/>
      <c r="AF22" s="7"/>
    </row>
    <row r="23" spans="1:30" ht="12.75">
      <c r="A23" s="6"/>
      <c r="C23" s="42"/>
      <c r="D23" s="13"/>
      <c r="E23" s="13"/>
      <c r="F23" s="13"/>
      <c r="G23" s="3"/>
      <c r="H23" s="26"/>
      <c r="I23" s="26"/>
      <c r="AA23" s="3">
        <f>SUM(AA42:AA43,AA45)</f>
        <v>-29.902590043765798</v>
      </c>
      <c r="AB23" s="3"/>
      <c r="AC23" s="1">
        <f>SUM(AA27:AA28)</f>
        <v>-54.55002644608587</v>
      </c>
      <c r="AD23" s="1"/>
    </row>
    <row r="24" spans="1:45" ht="12.75">
      <c r="A24" s="6" t="s">
        <v>58</v>
      </c>
      <c r="B24" s="6"/>
      <c r="C24" s="6"/>
      <c r="D24" s="18" t="s">
        <v>64</v>
      </c>
      <c r="E24" s="13"/>
      <c r="F24" s="13"/>
      <c r="G24" s="13"/>
      <c r="H24" s="27"/>
      <c r="I24" s="27"/>
      <c r="P24" s="16"/>
      <c r="Q24" s="17"/>
      <c r="AC24" s="38">
        <f>SUM(AA29:AA30)</f>
        <v>67.1510093477926</v>
      </c>
      <c r="AD24" s="38"/>
      <c r="AF24" t="s">
        <v>230</v>
      </c>
      <c r="AG24" t="s">
        <v>231</v>
      </c>
      <c r="AK24" s="38">
        <f>SUM(AA31:AA33)</f>
        <v>56.207690633635536</v>
      </c>
      <c r="AL24" s="18"/>
      <c r="AM24" s="18"/>
      <c r="AR24" s="3"/>
      <c r="AS24" s="1"/>
    </row>
    <row r="25" spans="1:52" ht="12.75">
      <c r="A25" s="6"/>
      <c r="B25" s="6"/>
      <c r="C25" s="6"/>
      <c r="D25" s="18"/>
      <c r="E25" s="13"/>
      <c r="F25" s="13"/>
      <c r="G25" s="13"/>
      <c r="H25" s="27"/>
      <c r="I25" s="27"/>
      <c r="P25" s="16"/>
      <c r="Q25" s="17"/>
      <c r="AA25" s="18">
        <f>1999-1958</f>
        <v>41</v>
      </c>
      <c r="AB25" s="18"/>
      <c r="AC25" s="18"/>
      <c r="AD25" s="18"/>
      <c r="AK25" s="18"/>
      <c r="AL25" s="18"/>
      <c r="AM25" s="92"/>
      <c r="AN25" s="16"/>
      <c r="AO25" s="16"/>
      <c r="AY25" s="3"/>
      <c r="AZ25" s="1"/>
    </row>
    <row r="26" spans="17:56" ht="13.5" thickBot="1">
      <c r="Q26" s="15"/>
      <c r="R26" s="15" t="s">
        <v>35</v>
      </c>
      <c r="S26" s="15" t="s">
        <v>62</v>
      </c>
      <c r="T26" s="15" t="s">
        <v>61</v>
      </c>
      <c r="U26" s="15" t="s">
        <v>60</v>
      </c>
      <c r="V26" s="16"/>
      <c r="W26" s="16"/>
      <c r="Y26" s="36"/>
      <c r="Z26" s="37" t="s">
        <v>104</v>
      </c>
      <c r="AA26" s="37" t="str">
        <f>+S26</f>
        <v>1958-1998</v>
      </c>
      <c r="AB26" s="37" t="s">
        <v>226</v>
      </c>
      <c r="AC26" s="37" t="s">
        <v>105</v>
      </c>
      <c r="AD26" s="37" t="s">
        <v>227</v>
      </c>
      <c r="AK26" s="37" t="str">
        <f>+T26</f>
        <v>RMS error</v>
      </c>
      <c r="AL26" s="37" t="str">
        <f>+U26</f>
        <v>% error - total volume</v>
      </c>
      <c r="AM26" s="93" t="s">
        <v>193</v>
      </c>
      <c r="AN26" s="21" t="s">
        <v>151</v>
      </c>
      <c r="AO26" s="92"/>
      <c r="AP26" s="100"/>
      <c r="AQ26" s="100"/>
      <c r="AR26" s="100"/>
      <c r="AS26" s="101"/>
      <c r="AT26" s="100"/>
      <c r="AY26" s="19" t="s">
        <v>63</v>
      </c>
      <c r="AZ26" s="1"/>
      <c r="BD26" t="s">
        <v>119</v>
      </c>
    </row>
    <row r="27" spans="10:57" ht="12.75">
      <c r="J27" s="4" t="s">
        <v>82</v>
      </c>
      <c r="M27" t="s">
        <v>20</v>
      </c>
      <c r="Q27" s="6" t="s">
        <v>39</v>
      </c>
      <c r="R27" s="3">
        <f>+C15</f>
        <v>-1045625.765</v>
      </c>
      <c r="S27" s="3">
        <f>+F15</f>
        <v>-7478637.6492395755</v>
      </c>
      <c r="T27" s="7">
        <f>+J15</f>
        <v>-1170602.6280246458</v>
      </c>
      <c r="U27" s="19">
        <f aca="true" t="shared" si="3" ref="U27:U33">+ABS(T27/S27*100)</f>
        <v>15.652618604187518</v>
      </c>
      <c r="V27" s="24"/>
      <c r="W27" s="19"/>
      <c r="X27" t="str">
        <f>+Q27</f>
        <v>LBds</v>
      </c>
      <c r="Y27" s="95" t="s">
        <v>188</v>
      </c>
      <c r="Z27" s="44">
        <f>+R27/1000000</f>
        <v>-1.045625765</v>
      </c>
      <c r="AA27" s="44">
        <f>+S27/1000000</f>
        <v>-7.478637649239576</v>
      </c>
      <c r="AB27" s="44" t="s">
        <v>225</v>
      </c>
      <c r="AC27" s="44">
        <f aca="true" t="shared" si="4" ref="AC27:AC33">+AA27/AA$25</f>
        <v>-0.18240579632291648</v>
      </c>
      <c r="AD27" s="44" t="s">
        <v>225</v>
      </c>
      <c r="AF27">
        <v>0.16</v>
      </c>
      <c r="AG27">
        <f>0.29+0.16</f>
        <v>0.44999999999999996</v>
      </c>
      <c r="AH27">
        <f>+AF27-AG27</f>
        <v>-0.2899999999999999</v>
      </c>
      <c r="AI27">
        <f aca="true" t="shared" si="5" ref="AI27:AI35">+AH27*Z27</f>
        <v>0.30323147184999993</v>
      </c>
      <c r="AK27" s="40">
        <f>+T27/1000000</f>
        <v>-1.1706026280246458</v>
      </c>
      <c r="AL27" s="35">
        <f>+U27</f>
        <v>15.652618604187518</v>
      </c>
      <c r="AM27" s="38">
        <f>+'sum 58(+0.15 m) - 00'!AB27</f>
        <v>-7.478637649239576</v>
      </c>
      <c r="AN27" s="33">
        <f aca="true" t="shared" si="6" ref="AN27:AN34">+(AA27-AM27)/AA27*100</f>
        <v>0</v>
      </c>
      <c r="AO27" s="35">
        <f>SUM(AA27:AA28)</f>
        <v>-54.55002644608587</v>
      </c>
      <c r="AP27" s="4" t="s">
        <v>195</v>
      </c>
      <c r="AQ27" s="100"/>
      <c r="AR27" s="102"/>
      <c r="AS27" s="103"/>
      <c r="AT27" s="100"/>
      <c r="AU27" s="19"/>
      <c r="BA27" t="s">
        <v>109</v>
      </c>
      <c r="BB27" t="s">
        <v>108</v>
      </c>
      <c r="BD27" t="s">
        <v>109</v>
      </c>
      <c r="BE27" t="s">
        <v>108</v>
      </c>
    </row>
    <row r="28" spans="10:57" ht="12.75">
      <c r="J28" t="s">
        <v>83</v>
      </c>
      <c r="K28" t="s">
        <v>84</v>
      </c>
      <c r="L28" t="s">
        <v>52</v>
      </c>
      <c r="M28" s="22">
        <v>0.4</v>
      </c>
      <c r="N28" s="22"/>
      <c r="O28" s="22"/>
      <c r="Q28" t="s">
        <v>75</v>
      </c>
      <c r="R28" s="3">
        <f aca="true" t="shared" si="7" ref="R28:R34">+AB6</f>
        <v>23218400</v>
      </c>
      <c r="S28" s="3">
        <f aca="true" t="shared" si="8" ref="S28:S34">+AA6</f>
        <v>-37083333.3333333</v>
      </c>
      <c r="T28" s="3">
        <f aca="true" t="shared" si="9" ref="T28:T34">+AD6</f>
        <v>11609200</v>
      </c>
      <c r="U28" s="19">
        <f t="shared" si="3"/>
        <v>31.305707865168568</v>
      </c>
      <c r="V28" s="24"/>
      <c r="W28" s="19"/>
      <c r="X28" t="str">
        <f aca="true" t="shared" si="10" ref="X28:X34">+Q29</f>
        <v>innerdelta</v>
      </c>
      <c r="Y28" s="95" t="s">
        <v>207</v>
      </c>
      <c r="Z28" s="44">
        <f aca="true" t="shared" si="11" ref="Z28:AA33">+R29/1000000</f>
        <v>43.465937500000095</v>
      </c>
      <c r="AA28" s="44">
        <f t="shared" si="11"/>
        <v>-47.0713887968463</v>
      </c>
      <c r="AB28" s="44">
        <f aca="true" t="shared" si="12" ref="AB28:AB33">+AA28/Z28</f>
        <v>-1.082948890653657</v>
      </c>
      <c r="AC28" s="44">
        <f t="shared" si="4"/>
        <v>-1.148082653581617</v>
      </c>
      <c r="AD28" s="44">
        <f aca="true" t="shared" si="13" ref="AD28:AD33">+AA28/Z28/$AA$25</f>
        <v>-0.026413387576918464</v>
      </c>
      <c r="AH28">
        <v>-0.29</v>
      </c>
      <c r="AI28">
        <f t="shared" si="5"/>
        <v>-12.605121875000027</v>
      </c>
      <c r="AK28" s="40">
        <f aca="true" t="shared" si="14" ref="AK28:AK33">+T29/1000000</f>
        <v>30.735059156880723</v>
      </c>
      <c r="AL28" s="35">
        <f aca="true" t="shared" si="15" ref="AL28:AL33">+U29</f>
        <v>65.29456628001576</v>
      </c>
      <c r="AM28" s="38">
        <f>+'sum 58(+0.15 m) - 00'!AB29</f>
        <v>-62.8795806220513</v>
      </c>
      <c r="AN28" s="33">
        <f t="shared" si="6"/>
        <v>-33.58344044921003</v>
      </c>
      <c r="AO28" s="35"/>
      <c r="AP28" s="100"/>
      <c r="AQ28" s="100"/>
      <c r="AR28" s="102"/>
      <c r="AS28" s="103"/>
      <c r="AT28" s="100"/>
      <c r="AX28" s="48" t="s">
        <v>116</v>
      </c>
      <c r="AY28">
        <v>41</v>
      </c>
      <c r="AZ28">
        <f>1885+AY28/2</f>
        <v>1905.5</v>
      </c>
      <c r="BA28" s="49">
        <f>'[3]sum 1868-1926_35'!AH24</f>
        <v>-47.4949627098539</v>
      </c>
      <c r="BB28" s="49">
        <f>'[3]sum 1868-1926_35'!AH23</f>
        <v>171.531513323295</v>
      </c>
      <c r="BC28">
        <f>+AZ28</f>
        <v>1905.5</v>
      </c>
      <c r="BD28">
        <f aca="true" t="shared" si="16" ref="BD28:BE30">+BA28/$AY28</f>
        <v>-1.158413724630583</v>
      </c>
      <c r="BE28">
        <f t="shared" si="16"/>
        <v>4.183695446909634</v>
      </c>
    </row>
    <row r="29" spans="6:57" ht="12.75">
      <c r="F29" s="13"/>
      <c r="J29" s="23">
        <v>1000000</v>
      </c>
      <c r="K29">
        <v>40</v>
      </c>
      <c r="L29">
        <f>+J29*K29</f>
        <v>40000000</v>
      </c>
      <c r="M29">
        <f>+L29*M28</f>
        <v>16000000</v>
      </c>
      <c r="Q29" s="6" t="s">
        <v>76</v>
      </c>
      <c r="R29" s="3">
        <f t="shared" si="7"/>
        <v>43465937.5000001</v>
      </c>
      <c r="S29" s="3">
        <f t="shared" si="8"/>
        <v>-47071388.7968463</v>
      </c>
      <c r="T29" s="7">
        <f t="shared" si="9"/>
        <v>30735059.15688072</v>
      </c>
      <c r="U29" s="19">
        <f t="shared" si="3"/>
        <v>65.29456628001576</v>
      </c>
      <c r="V29" s="24"/>
      <c r="W29" s="19"/>
      <c r="X29" t="str">
        <f t="shared" si="10"/>
        <v>outerdelta</v>
      </c>
      <c r="Y29" s="95" t="s">
        <v>208</v>
      </c>
      <c r="Z29" s="44">
        <f t="shared" si="11"/>
        <v>18.4103125</v>
      </c>
      <c r="AA29" s="44">
        <f t="shared" si="11"/>
        <v>45.1302333704763</v>
      </c>
      <c r="AB29" s="44">
        <f t="shared" si="12"/>
        <v>2.4513561826001755</v>
      </c>
      <c r="AC29" s="44">
        <f t="shared" si="4"/>
        <v>1.1007373992799097</v>
      </c>
      <c r="AD29" s="44">
        <f t="shared" si="13"/>
        <v>0.059789175185370136</v>
      </c>
      <c r="AH29">
        <v>-0.29</v>
      </c>
      <c r="AI29">
        <f t="shared" si="5"/>
        <v>-5.338990624999999</v>
      </c>
      <c r="AK29" s="40">
        <f t="shared" si="14"/>
        <v>13.01805681251346</v>
      </c>
      <c r="AL29" s="35">
        <f t="shared" si="15"/>
        <v>28.845534002998818</v>
      </c>
      <c r="AM29" s="38">
        <f>+'sum 58(+0.15 m) - 00'!AB30</f>
        <v>37.1927460550078</v>
      </c>
      <c r="AN29" s="33">
        <f t="shared" si="6"/>
        <v>17.587959827970025</v>
      </c>
      <c r="AQ29" s="15" t="s">
        <v>110</v>
      </c>
      <c r="AR29" s="15">
        <f>+AA25</f>
        <v>41</v>
      </c>
      <c r="AS29" s="15"/>
      <c r="AT29" s="100"/>
      <c r="AX29" s="48" t="s">
        <v>117</v>
      </c>
      <c r="AY29">
        <v>29</v>
      </c>
      <c r="AZ29">
        <f>1926+AY29/2</f>
        <v>1940.5</v>
      </c>
      <c r="BA29" s="50" t="str">
        <f>'[2]sum 1926-1958'!AG30</f>
        <v>Inner Delta (6)</v>
      </c>
      <c r="BB29" s="50" t="str">
        <f>'[2]sum 1926-1958'!AG31</f>
        <v>Outer Delta (7)</v>
      </c>
      <c r="BC29">
        <f>+AZ29</f>
        <v>1940.5</v>
      </c>
      <c r="BD29" t="e">
        <f t="shared" si="16"/>
        <v>#VALUE!</v>
      </c>
      <c r="BE29" t="e">
        <f t="shared" si="16"/>
        <v>#VALUE!</v>
      </c>
    </row>
    <row r="30" spans="6:57" ht="12.75">
      <c r="F30" s="13"/>
      <c r="Q30" s="6" t="s">
        <v>77</v>
      </c>
      <c r="R30" s="3">
        <f t="shared" si="7"/>
        <v>18410312.5</v>
      </c>
      <c r="S30" s="3">
        <f t="shared" si="8"/>
        <v>45130233.3704763</v>
      </c>
      <c r="T30" s="7">
        <f t="shared" si="9"/>
        <v>13018056.812513461</v>
      </c>
      <c r="U30" s="19">
        <f t="shared" si="3"/>
        <v>28.845534002998818</v>
      </c>
      <c r="V30" s="24"/>
      <c r="W30" s="19"/>
      <c r="X30" t="str">
        <f t="shared" si="10"/>
        <v>delta_north</v>
      </c>
      <c r="Y30" s="95" t="s">
        <v>209</v>
      </c>
      <c r="Z30" s="44">
        <f t="shared" si="11"/>
        <v>24.2334375</v>
      </c>
      <c r="AA30" s="44">
        <f t="shared" si="11"/>
        <v>22.0207759773163</v>
      </c>
      <c r="AB30" s="44">
        <f t="shared" si="12"/>
        <v>0.9086938647196173</v>
      </c>
      <c r="AC30" s="44">
        <f t="shared" si="4"/>
        <v>0.5370920970077147</v>
      </c>
      <c r="AD30" s="44">
        <f t="shared" si="13"/>
        <v>0.0221632649931614</v>
      </c>
      <c r="AH30">
        <v>-0.29</v>
      </c>
      <c r="AI30">
        <f t="shared" si="5"/>
        <v>-7.027696875</v>
      </c>
      <c r="AK30" s="40">
        <f t="shared" si="14"/>
        <v>17.135627987710375</v>
      </c>
      <c r="AL30" s="35">
        <f t="shared" si="15"/>
        <v>77.81573185868591</v>
      </c>
      <c r="AM30" s="38">
        <f>+'sum 58(+0.15 m) - 00'!AB31</f>
        <v>11.606372764618</v>
      </c>
      <c r="AN30" s="33">
        <f t="shared" si="6"/>
        <v>47.29353417620807</v>
      </c>
      <c r="AP30" t="s">
        <v>115</v>
      </c>
      <c r="AQ30" s="1">
        <f>+AA36</f>
        <v>127.0402397447635</v>
      </c>
      <c r="AR30" s="1">
        <f>+AQ30/AR$29</f>
        <v>3.0985424327991096</v>
      </c>
      <c r="AS30" s="1"/>
      <c r="AT30" s="100"/>
      <c r="AX30" s="48" t="s">
        <v>118</v>
      </c>
      <c r="AY30">
        <v>40</v>
      </c>
      <c r="AZ30">
        <f>1950+AY30/2</f>
        <v>1970</v>
      </c>
      <c r="BA30" s="50">
        <f>+AA28</f>
        <v>-47.0713887968463</v>
      </c>
      <c r="BB30" s="50">
        <f>+AA29</f>
        <v>45.1302333704763</v>
      </c>
      <c r="BC30">
        <f>+AZ30</f>
        <v>1970</v>
      </c>
      <c r="BD30">
        <f t="shared" si="16"/>
        <v>-1.1767847199211574</v>
      </c>
      <c r="BE30">
        <f t="shared" si="16"/>
        <v>1.1282558342619073</v>
      </c>
    </row>
    <row r="31" spans="6:54" ht="12.75">
      <c r="F31" s="13"/>
      <c r="Q31" s="6" t="str">
        <f>+Z9</f>
        <v>delta_north</v>
      </c>
      <c r="R31" s="3">
        <f t="shared" si="7"/>
        <v>24233437.5</v>
      </c>
      <c r="S31" s="3">
        <f t="shared" si="8"/>
        <v>22020775.9773163</v>
      </c>
      <c r="T31" s="7">
        <f t="shared" si="9"/>
        <v>17135627.987710375</v>
      </c>
      <c r="U31" s="19">
        <f>+ABS(T31/S31*100)</f>
        <v>77.81573185868591</v>
      </c>
      <c r="V31" s="24"/>
      <c r="W31" s="19"/>
      <c r="X31" t="str">
        <f t="shared" si="10"/>
        <v>disposal site A</v>
      </c>
      <c r="Y31" s="95" t="s">
        <v>210</v>
      </c>
      <c r="Z31" s="44">
        <f t="shared" si="11"/>
        <v>3.0071875</v>
      </c>
      <c r="AA31" s="44">
        <f t="shared" si="11"/>
        <v>6.57392096226358</v>
      </c>
      <c r="AB31" s="44">
        <f t="shared" si="12"/>
        <v>2.1860695291742136</v>
      </c>
      <c r="AC31" s="44">
        <f t="shared" si="4"/>
        <v>0.16033953566496537</v>
      </c>
      <c r="AD31" s="44">
        <f t="shared" si="13"/>
        <v>0.05331876900424911</v>
      </c>
      <c r="AH31">
        <v>-0.29</v>
      </c>
      <c r="AI31">
        <f t="shared" si="5"/>
        <v>-0.872084375</v>
      </c>
      <c r="AJ31" s="2">
        <f>SUM(AA37:AA38)</f>
        <v>36.0122707804508</v>
      </c>
      <c r="AK31" s="40">
        <f t="shared" si="14"/>
        <v>2.126402673549421</v>
      </c>
      <c r="AL31" s="35">
        <f t="shared" si="15"/>
        <v>32.346033451811415</v>
      </c>
      <c r="AM31" s="38">
        <f>+'sum 58(+0.15 m) - 00'!AB32</f>
        <v>5.537922075697081</v>
      </c>
      <c r="AN31" s="33">
        <f t="shared" si="6"/>
        <v>15.7592233389094</v>
      </c>
      <c r="AP31" t="s">
        <v>196</v>
      </c>
      <c r="AQ31" s="1">
        <f>SUM(AA29,AA30)</f>
        <v>67.1510093477926</v>
      </c>
      <c r="AR31" s="1">
        <f>+AQ31/AR$29</f>
        <v>1.6378294962876243</v>
      </c>
      <c r="AS31" s="1"/>
      <c r="AT31" s="100"/>
      <c r="AU31" s="19"/>
      <c r="AX31" s="48"/>
      <c r="BA31" s="50"/>
      <c r="BB31" s="50"/>
    </row>
    <row r="32" spans="6:52" ht="12.75">
      <c r="F32" s="13"/>
      <c r="Q32" s="6" t="s">
        <v>78</v>
      </c>
      <c r="R32" s="3">
        <f t="shared" si="7"/>
        <v>3007187.5</v>
      </c>
      <c r="S32" s="3">
        <f t="shared" si="8"/>
        <v>6573920.96226358</v>
      </c>
      <c r="T32" s="7">
        <f t="shared" si="9"/>
        <v>2126402.6735494207</v>
      </c>
      <c r="U32" s="19">
        <f t="shared" si="3"/>
        <v>32.346033451811415</v>
      </c>
      <c r="V32" s="24"/>
      <c r="W32" s="19"/>
      <c r="X32" t="str">
        <f t="shared" si="10"/>
        <v>disposal site B</v>
      </c>
      <c r="Y32" s="95" t="s">
        <v>211</v>
      </c>
      <c r="Z32" s="44">
        <f t="shared" si="11"/>
        <v>9.5315625</v>
      </c>
      <c r="AA32" s="44">
        <f t="shared" si="11"/>
        <v>45.7853257159667</v>
      </c>
      <c r="AB32" s="44">
        <f t="shared" si="12"/>
        <v>4.803548811222368</v>
      </c>
      <c r="AC32" s="44">
        <f t="shared" si="4"/>
        <v>1.1167152613650415</v>
      </c>
      <c r="AD32" s="44">
        <f t="shared" si="13"/>
        <v>0.11715972710298457</v>
      </c>
      <c r="AH32">
        <v>-0.29</v>
      </c>
      <c r="AI32">
        <f t="shared" si="5"/>
        <v>-2.7641531249999995</v>
      </c>
      <c r="AK32" s="40">
        <f t="shared" si="14"/>
        <v>6.739832479053402</v>
      </c>
      <c r="AL32" s="35">
        <f t="shared" si="15"/>
        <v>14.720507878145384</v>
      </c>
      <c r="AM32" s="38">
        <f>+'sum 58(+0.15 m) - 00'!AB33</f>
        <v>42.0761010915125</v>
      </c>
      <c r="AN32" s="33">
        <f t="shared" si="6"/>
        <v>8.101339384292476</v>
      </c>
      <c r="AP32" t="s">
        <v>202</v>
      </c>
      <c r="AQ32" s="1">
        <f>+AA27+AA28</f>
        <v>-54.55002644608587</v>
      </c>
      <c r="AR32" s="1">
        <f>+AQ32/AR$29</f>
        <v>-1.3304884499045335</v>
      </c>
      <c r="AS32" s="1"/>
      <c r="AT32" s="100"/>
      <c r="AU32" s="19"/>
      <c r="AY32" s="3"/>
      <c r="AZ32" s="1"/>
    </row>
    <row r="33" spans="6:52" ht="12.75">
      <c r="F33" s="13"/>
      <c r="Q33" s="6" t="s">
        <v>79</v>
      </c>
      <c r="R33" s="3">
        <f t="shared" si="7"/>
        <v>9531562.5</v>
      </c>
      <c r="S33" s="3">
        <f t="shared" si="8"/>
        <v>45785325.7159667</v>
      </c>
      <c r="T33" s="7">
        <f t="shared" si="9"/>
        <v>6739832.479053402</v>
      </c>
      <c r="U33" s="19">
        <f t="shared" si="3"/>
        <v>14.720507878145384</v>
      </c>
      <c r="V33" s="24"/>
      <c r="W33" s="19"/>
      <c r="X33" s="15" t="str">
        <f t="shared" si="10"/>
        <v>disposal site F</v>
      </c>
      <c r="Y33" s="96" t="s">
        <v>212</v>
      </c>
      <c r="Z33" s="45">
        <f t="shared" si="11"/>
        <v>2.3540625</v>
      </c>
      <c r="AA33" s="45">
        <f t="shared" si="11"/>
        <v>3.84844395540526</v>
      </c>
      <c r="AB33" s="45">
        <f t="shared" si="12"/>
        <v>1.6348095921009997</v>
      </c>
      <c r="AC33" s="45">
        <f t="shared" si="4"/>
        <v>0.09386448671720146</v>
      </c>
      <c r="AD33" s="45">
        <f t="shared" si="13"/>
        <v>0.03987340468539024</v>
      </c>
      <c r="AH33">
        <v>-0.29</v>
      </c>
      <c r="AI33">
        <f t="shared" si="5"/>
        <v>-0.6826781249999999</v>
      </c>
      <c r="AK33" s="39">
        <f t="shared" si="14"/>
        <v>1.6645735570869569</v>
      </c>
      <c r="AL33" s="34">
        <f t="shared" si="15"/>
        <v>43.25315832517221</v>
      </c>
      <c r="AM33" s="39">
        <f>+'sum 58(+0.15 m) - 00'!AB34</f>
        <v>3.0032571395873897</v>
      </c>
      <c r="AN33" s="34">
        <f t="shared" si="6"/>
        <v>21.961780543296697</v>
      </c>
      <c r="AO33" s="2">
        <f>SUM(AA31:AA33)</f>
        <v>56.207690633635536</v>
      </c>
      <c r="AP33" t="s">
        <v>198</v>
      </c>
      <c r="AQ33" s="1">
        <f>SUM(AA45)</f>
        <v>-30.2681868055551</v>
      </c>
      <c r="AR33" s="1">
        <f>+AQ33/AR$29</f>
        <v>-0.7382484586720756</v>
      </c>
      <c r="AS33" s="1"/>
      <c r="AT33" s="100"/>
      <c r="AY33" s="3"/>
      <c r="AZ33" s="1"/>
    </row>
    <row r="34" spans="6:52" ht="13.5" thickBot="1">
      <c r="F34" s="13"/>
      <c r="Q34" s="54" t="s">
        <v>80</v>
      </c>
      <c r="R34" s="20">
        <f t="shared" si="7"/>
        <v>2354062.5</v>
      </c>
      <c r="S34" s="20">
        <f t="shared" si="8"/>
        <v>3848443.95540526</v>
      </c>
      <c r="T34" s="59">
        <f t="shared" si="9"/>
        <v>1664573.557086957</v>
      </c>
      <c r="U34" s="21">
        <f>+ABS(T34/S34*100)</f>
        <v>43.25315832517221</v>
      </c>
      <c r="V34" s="24"/>
      <c r="W34" s="24"/>
      <c r="X34" t="str">
        <f t="shared" si="10"/>
        <v>subtotal</v>
      </c>
      <c r="Y34" s="95" t="s">
        <v>189</v>
      </c>
      <c r="Z34" s="44" t="s">
        <v>225</v>
      </c>
      <c r="AA34" s="44">
        <f>SUM(AA27:AA33)</f>
        <v>68.80867353534227</v>
      </c>
      <c r="AB34" s="44" t="s">
        <v>225</v>
      </c>
      <c r="AC34" s="44">
        <f>SUM(AC27:AC33)</f>
        <v>1.6782603301302992</v>
      </c>
      <c r="AD34" s="44" t="s">
        <v>225</v>
      </c>
      <c r="AK34" s="44" t="s">
        <v>225</v>
      </c>
      <c r="AL34" s="44" t="s">
        <v>225</v>
      </c>
      <c r="AM34" s="38">
        <f>SUM(AM27:AM33)</f>
        <v>29.058180855131894</v>
      </c>
      <c r="AN34" s="33">
        <f t="shared" si="6"/>
        <v>57.76959595041937</v>
      </c>
      <c r="AP34" t="s">
        <v>197</v>
      </c>
      <c r="AQ34" s="1">
        <f>+AA50</f>
        <v>-25.838772956181803</v>
      </c>
      <c r="AR34" s="1">
        <f>+AQ34/AR$29</f>
        <v>-0.6302139745410196</v>
      </c>
      <c r="AS34" s="1"/>
      <c r="AT34" s="100"/>
      <c r="AY34" s="36" t="s">
        <v>110</v>
      </c>
      <c r="AZ34" s="36" t="s">
        <v>83</v>
      </c>
    </row>
    <row r="35" spans="6:52" ht="12.75">
      <c r="F35" s="13"/>
      <c r="Q35" t="s">
        <v>103</v>
      </c>
      <c r="R35" s="3"/>
      <c r="S35" s="3">
        <f>SUM(S27:S34)</f>
        <v>31725340.20200896</v>
      </c>
      <c r="T35" s="3"/>
      <c r="U35" s="19"/>
      <c r="V35" s="32"/>
      <c r="W35" s="32"/>
      <c r="Y35" s="95"/>
      <c r="Z35" s="44"/>
      <c r="AA35" s="44"/>
      <c r="AB35" s="44"/>
      <c r="AC35" s="2"/>
      <c r="AD35" s="2"/>
      <c r="AK35" s="1"/>
      <c r="AL35" s="19"/>
      <c r="AM35" s="38"/>
      <c r="AN35" s="33"/>
      <c r="AQ35" s="1"/>
      <c r="AR35" s="1"/>
      <c r="AS35" s="1"/>
      <c r="AT35" s="100"/>
      <c r="AX35" t="s">
        <v>115</v>
      </c>
      <c r="AY35" s="1">
        <f>+AA36</f>
        <v>127.0402397447635</v>
      </c>
      <c r="AZ35" s="1">
        <f>+AC36</f>
        <v>3.0985424327991096</v>
      </c>
    </row>
    <row r="36" spans="10:52" ht="12.75">
      <c r="J36" s="6"/>
      <c r="R36" s="3"/>
      <c r="S36" s="3"/>
      <c r="V36" s="16"/>
      <c r="X36" s="16" t="str">
        <f>+Q37</f>
        <v>LBc</v>
      </c>
      <c r="Y36" s="99" t="s">
        <v>190</v>
      </c>
      <c r="Z36" s="109">
        <f>+R37/1000000</f>
        <v>7.696809062</v>
      </c>
      <c r="AA36" s="109">
        <f>+S37/1000000</f>
        <v>127.0402397447635</v>
      </c>
      <c r="AB36" s="44" t="s">
        <v>225</v>
      </c>
      <c r="AC36" s="109">
        <f>+AA36/AA$25</f>
        <v>3.0985424327991096</v>
      </c>
      <c r="AD36" s="44" t="s">
        <v>225</v>
      </c>
      <c r="AF36">
        <v>0.16</v>
      </c>
      <c r="AG36">
        <f>0.29+0.16</f>
        <v>0.44999999999999996</v>
      </c>
      <c r="AH36">
        <f>+AF36-AG36</f>
        <v>-0.2899999999999999</v>
      </c>
      <c r="AI36">
        <v>-20</v>
      </c>
      <c r="AK36" s="40">
        <f>+T37/1000000</f>
        <v>43.71689671144691</v>
      </c>
      <c r="AL36" s="35">
        <f>+U37</f>
        <v>34.41184997704546</v>
      </c>
      <c r="AM36" s="40">
        <f>+'sum 58(+0.15 m) - 00'!AB37</f>
        <v>122.49345207119576</v>
      </c>
      <c r="AN36" s="35">
        <f>+(AA36-AM36)/AA36*100</f>
        <v>3.579013769733656</v>
      </c>
      <c r="AP36" t="s">
        <v>113</v>
      </c>
      <c r="AQ36" s="1">
        <f>SUM(AA42:AA44)</f>
        <v>50.84219271371701</v>
      </c>
      <c r="AR36" s="1">
        <f>+AQ36/AR$29</f>
        <v>1.2400534808223662</v>
      </c>
      <c r="AS36" s="1"/>
      <c r="AT36" s="100"/>
      <c r="AX36" t="s">
        <v>112</v>
      </c>
      <c r="AY36" s="1">
        <f>+AA51+AA52+AA53</f>
        <v>190.4924445623163</v>
      </c>
      <c r="AZ36" s="1">
        <f>+AC51+AC52+AC53</f>
        <v>4.646157184446738</v>
      </c>
    </row>
    <row r="37" spans="10:52" ht="12.75">
      <c r="J37" s="6"/>
      <c r="Q37" s="54" t="s">
        <v>69</v>
      </c>
      <c r="R37" s="20">
        <f>+O11</f>
        <v>7696809.062</v>
      </c>
      <c r="S37" s="20">
        <f>+R11</f>
        <v>127040239.7447635</v>
      </c>
      <c r="T37" s="59">
        <f>+W11</f>
        <v>43716896.7114469</v>
      </c>
      <c r="U37" s="21">
        <f>+ABS(T37/S37*100)</f>
        <v>34.41184997704546</v>
      </c>
      <c r="V37" s="24"/>
      <c r="W37" s="24"/>
      <c r="X37" s="16" t="str">
        <f>+Q42</f>
        <v>LBc2_off</v>
      </c>
      <c r="Y37" s="97" t="s">
        <v>213</v>
      </c>
      <c r="Z37" s="109">
        <f>+R42/1000000</f>
        <v>15.22375</v>
      </c>
      <c r="AA37" s="109">
        <f>+S42/1000000</f>
        <v>13.3767269655118</v>
      </c>
      <c r="AB37" s="44">
        <f>+AA37/Z37</f>
        <v>0.8786748971516085</v>
      </c>
      <c r="AC37" s="109">
        <f>+AA37/AA$25</f>
        <v>0.32626163330516583</v>
      </c>
      <c r="AD37" s="44">
        <f>+AA37/Z37/$AA$25</f>
        <v>0.021431095052478255</v>
      </c>
      <c r="AH37">
        <v>-0.29</v>
      </c>
      <c r="AI37">
        <f>+AH37*Z37</f>
        <v>-4.4148875</v>
      </c>
      <c r="AK37" s="40">
        <f>+T42/1000000</f>
        <v>10.764816860088702</v>
      </c>
      <c r="AL37" s="35">
        <f>+U42</f>
        <v>80.474221293765</v>
      </c>
      <c r="AM37" s="40">
        <f>+'sum 58(+0.15 m) - 00'!AB42</f>
        <v>6.50045378993575</v>
      </c>
      <c r="AN37" s="35">
        <f>+(AA37-AM37)/AA37*100</f>
        <v>51.40475090285257</v>
      </c>
      <c r="AP37" t="s">
        <v>200</v>
      </c>
      <c r="AQ37" s="1">
        <f>SUM(AA31:AA33)</f>
        <v>56.207690633635536</v>
      </c>
      <c r="AR37" s="1">
        <f>+AQ37/AR$29</f>
        <v>1.3709192837472082</v>
      </c>
      <c r="AS37" s="1"/>
      <c r="AT37" s="100"/>
      <c r="AY37" s="1"/>
      <c r="AZ37" s="1"/>
    </row>
    <row r="38" spans="10:52" ht="12.75">
      <c r="J38" s="6"/>
      <c r="Q38" t="s">
        <v>103</v>
      </c>
      <c r="R38" s="3"/>
      <c r="S38" s="3">
        <f>SUM(S35,S37)</f>
        <v>158765579.94677246</v>
      </c>
      <c r="U38" s="19"/>
      <c r="V38" s="32"/>
      <c r="W38" s="3"/>
      <c r="X38" s="15" t="str">
        <f>+Q41</f>
        <v>LBc1_off</v>
      </c>
      <c r="Y38" s="98" t="s">
        <v>214</v>
      </c>
      <c r="Z38" s="45">
        <f>+R41/1000000</f>
        <v>21.5378125</v>
      </c>
      <c r="AA38" s="45">
        <f>+S41/1000000</f>
        <v>22.635543814939</v>
      </c>
      <c r="AB38" s="45">
        <f>+AA38/Z38</f>
        <v>1.0509676326200257</v>
      </c>
      <c r="AC38" s="45">
        <f>+AA38/AA$25</f>
        <v>0.5520864345107073</v>
      </c>
      <c r="AD38" s="45">
        <f>+AA38/Z38/$AA$25</f>
        <v>0.02563335689317136</v>
      </c>
      <c r="AH38">
        <v>-0.29</v>
      </c>
      <c r="AI38">
        <f>+AH38*Z38</f>
        <v>-6.245965625</v>
      </c>
      <c r="AK38" s="39">
        <f>+T41/1000000</f>
        <v>15.22953327067439</v>
      </c>
      <c r="AL38" s="34">
        <f>+U41</f>
        <v>67.28149937631808</v>
      </c>
      <c r="AM38" s="39">
        <f>+'sum 58(+0.15 m) - 00'!AB41</f>
        <v>12.5567113296663</v>
      </c>
      <c r="AN38" s="34">
        <f>+(AA38-AM38)/AA38*100</f>
        <v>44.526575405804365</v>
      </c>
      <c r="AO38" s="2">
        <f>SUM(AA37:AA38)</f>
        <v>36.0122707804508</v>
      </c>
      <c r="AP38" t="s">
        <v>199</v>
      </c>
      <c r="AQ38" s="1">
        <f>SUM(AA49)</f>
        <v>-5.13259974701929</v>
      </c>
      <c r="AR38" s="1">
        <f>+AQ38/AR$29</f>
        <v>-0.1251853596833973</v>
      </c>
      <c r="AS38" s="1"/>
      <c r="AT38" s="100"/>
      <c r="AX38" t="s">
        <v>108</v>
      </c>
      <c r="AY38" s="1">
        <f>+AA29</f>
        <v>45.1302333704763</v>
      </c>
      <c r="AZ38" s="1">
        <f>+AC29</f>
        <v>1.1007373992799097</v>
      </c>
    </row>
    <row r="39" spans="10:52" ht="12.75">
      <c r="J39" s="6"/>
      <c r="V39" s="16"/>
      <c r="X39" t="str">
        <f>+Q43</f>
        <v>sum</v>
      </c>
      <c r="Y39" s="95" t="s">
        <v>191</v>
      </c>
      <c r="Z39" s="44" t="s">
        <v>225</v>
      </c>
      <c r="AA39" s="44">
        <f>SUM(AA36:AA38)</f>
        <v>163.0525105252143</v>
      </c>
      <c r="AB39" s="44" t="s">
        <v>225</v>
      </c>
      <c r="AC39" s="44">
        <f>SUM(AC36:AC38)</f>
        <v>3.9768905006149824</v>
      </c>
      <c r="AD39" s="44" t="s">
        <v>225</v>
      </c>
      <c r="AK39" s="94"/>
      <c r="AL39" s="24"/>
      <c r="AM39" s="38">
        <f>SUM(AM36:AM38)</f>
        <v>141.55061719079782</v>
      </c>
      <c r="AN39" s="33">
        <f>+(AA39-AM39)/AA39*100</f>
        <v>13.187097374432296</v>
      </c>
      <c r="AP39" t="s">
        <v>201</v>
      </c>
      <c r="AQ39" s="1">
        <f>SUM(AA37:AA38)</f>
        <v>36.0122707804508</v>
      </c>
      <c r="AR39" s="1">
        <f>+AQ39/AR$29</f>
        <v>0.8783480678158732</v>
      </c>
      <c r="AS39" s="1"/>
      <c r="AT39" s="100"/>
      <c r="AX39" t="s">
        <v>109</v>
      </c>
      <c r="AY39" s="1">
        <f>+AA28+AA27</f>
        <v>-54.55002644608587</v>
      </c>
      <c r="AZ39" s="1">
        <f>+AC28+AC27</f>
        <v>-1.3304884499045335</v>
      </c>
    </row>
    <row r="40" spans="10:52" ht="12.75">
      <c r="J40" s="6"/>
      <c r="Q40" s="55" t="s">
        <v>73</v>
      </c>
      <c r="R40" s="3">
        <f>+AB13</f>
        <v>72538125</v>
      </c>
      <c r="S40" s="3">
        <f>+AA13</f>
        <v>-5132599.74701929</v>
      </c>
      <c r="T40" s="60">
        <f>+AD13</f>
        <v>51292200.08205743</v>
      </c>
      <c r="U40" s="24">
        <f>+ABS(T40/S40*100)</f>
        <v>999.3415152203306</v>
      </c>
      <c r="W40" s="24"/>
      <c r="X40" t="str">
        <f>+Q44</f>
        <v>subtotal</v>
      </c>
      <c r="Y40" s="95" t="s">
        <v>189</v>
      </c>
      <c r="Z40" s="44" t="s">
        <v>225</v>
      </c>
      <c r="AA40" s="44">
        <f>+AA39+AA34</f>
        <v>231.86118406055658</v>
      </c>
      <c r="AB40" s="44" t="s">
        <v>225</v>
      </c>
      <c r="AC40" s="44">
        <f>+AC39+AC34</f>
        <v>5.655150830745281</v>
      </c>
      <c r="AD40" s="44" t="s">
        <v>225</v>
      </c>
      <c r="AK40" s="40"/>
      <c r="AL40" s="35"/>
      <c r="AM40" s="38">
        <f>+AM39+AM34</f>
        <v>170.60879804592972</v>
      </c>
      <c r="AN40" s="33"/>
      <c r="AQ40" s="1"/>
      <c r="AS40" s="1"/>
      <c r="AT40" s="100"/>
      <c r="AX40" t="s">
        <v>111</v>
      </c>
      <c r="AY40" s="1">
        <f>+AA31+AA32+AA33</f>
        <v>56.207690633635536</v>
      </c>
      <c r="AZ40" s="1">
        <f>+AC31+AC32+AC33</f>
        <v>1.3709192837472082</v>
      </c>
    </row>
    <row r="41" spans="10:52" ht="12.75">
      <c r="J41" s="6"/>
      <c r="Q41" s="6" t="s">
        <v>71</v>
      </c>
      <c r="R41" s="3">
        <f>+AB17</f>
        <v>21537812.5</v>
      </c>
      <c r="S41" s="3">
        <f>+AA17</f>
        <v>22635543.814939</v>
      </c>
      <c r="T41" s="7">
        <f>+AD17</f>
        <v>15229533.270674389</v>
      </c>
      <c r="U41" s="19">
        <f>+ABS(T41/S41*100)</f>
        <v>67.28149937631808</v>
      </c>
      <c r="V41" s="32"/>
      <c r="W41" s="3"/>
      <c r="Z41" s="2"/>
      <c r="AA41" s="2"/>
      <c r="AB41" s="2"/>
      <c r="AC41" s="2"/>
      <c r="AD41" s="2"/>
      <c r="AM41" s="18"/>
      <c r="AN41" s="18"/>
      <c r="AQ41" s="1">
        <f>SUM(AQ30:AQ39)</f>
        <v>221.46381726551735</v>
      </c>
      <c r="AT41" s="100"/>
      <c r="AX41" t="s">
        <v>51</v>
      </c>
      <c r="AY41" s="1">
        <f>SUM(AY38:AY40)</f>
        <v>46.78789755802596</v>
      </c>
      <c r="AZ41" s="1">
        <f>SUM(AZ38:AZ40)</f>
        <v>1.1411682331225843</v>
      </c>
    </row>
    <row r="42" spans="17:52" ht="12.75">
      <c r="Q42" s="54" t="s">
        <v>72</v>
      </c>
      <c r="R42" s="20">
        <f>+AB16</f>
        <v>15223750</v>
      </c>
      <c r="S42" s="20">
        <f>+AA16</f>
        <v>13376726.9655118</v>
      </c>
      <c r="T42" s="59">
        <f>+AD16</f>
        <v>10764816.860088702</v>
      </c>
      <c r="U42" s="21">
        <f>+ABS(T42/S42*100)</f>
        <v>80.474221293765</v>
      </c>
      <c r="V42" s="16"/>
      <c r="X42" t="str">
        <f>+Q46</f>
        <v>CPdn</v>
      </c>
      <c r="Y42" s="95" t="s">
        <v>216</v>
      </c>
      <c r="Z42" s="44">
        <f>+R46/1000000</f>
        <v>0.017176145999999993</v>
      </c>
      <c r="AA42" s="44">
        <f>+S46/1000000</f>
        <v>0.028395271000000007</v>
      </c>
      <c r="AB42" s="44" t="s">
        <v>225</v>
      </c>
      <c r="AC42" s="109">
        <f>+AA42/AA$25</f>
        <v>0.0006925675853658538</v>
      </c>
      <c r="AD42" s="44" t="s">
        <v>225</v>
      </c>
      <c r="AF42">
        <v>0.16</v>
      </c>
      <c r="AG42">
        <f>0.29+0.16</f>
        <v>0.44999999999999996</v>
      </c>
      <c r="AH42">
        <f>+AF42-AG42</f>
        <v>-0.2899999999999999</v>
      </c>
      <c r="AI42">
        <f>+AH42*Z42</f>
        <v>-0.004981082339999996</v>
      </c>
      <c r="AK42" s="40">
        <f>+T46/1000000</f>
        <v>0.16167195081119076</v>
      </c>
      <c r="AL42" s="35">
        <f>+U46</f>
        <v>569.3622392657944</v>
      </c>
      <c r="AM42" s="38">
        <f>+'sum 58(+0.15 m) - 00'!AB46</f>
        <v>0</v>
      </c>
      <c r="AN42" s="33">
        <v>0</v>
      </c>
      <c r="AQ42" s="1"/>
      <c r="AT42" s="100"/>
      <c r="AY42" s="1"/>
      <c r="AZ42" s="1"/>
    </row>
    <row r="43" spans="17:52" ht="12.75">
      <c r="Q43" t="s">
        <v>51</v>
      </c>
      <c r="R43" s="3"/>
      <c r="S43" s="3">
        <f>SUM(S40:S42)</f>
        <v>30879671.033431508</v>
      </c>
      <c r="U43" s="19"/>
      <c r="V43" s="24"/>
      <c r="W43" s="19"/>
      <c r="X43" t="str">
        <f>+Q47</f>
        <v>CPdn_near</v>
      </c>
      <c r="Y43" s="95" t="s">
        <v>217</v>
      </c>
      <c r="Z43" s="44">
        <f>+R47/1000000</f>
        <v>9.2696875</v>
      </c>
      <c r="AA43" s="44">
        <f>+S47/1000000</f>
        <v>0.33720149078930295</v>
      </c>
      <c r="AB43" s="44">
        <f>+AA43/Z43</f>
        <v>0.03637679164365605</v>
      </c>
      <c r="AC43" s="109">
        <f>+AA43/AA$25</f>
        <v>0.008224426604617145</v>
      </c>
      <c r="AD43" s="44">
        <f>+AA43/Z43/$AA$25</f>
        <v>0.0008872388205769769</v>
      </c>
      <c r="AF43">
        <v>0.16</v>
      </c>
      <c r="AG43">
        <f>0.29+0.16</f>
        <v>0.44999999999999996</v>
      </c>
      <c r="AH43">
        <f>+AF43-AG43</f>
        <v>-0.2899999999999999</v>
      </c>
      <c r="AI43">
        <f>+AH43*Z43</f>
        <v>-2.688209374999999</v>
      </c>
      <c r="AK43" s="40">
        <f>+T47/1000000</f>
        <v>6.554892796014607</v>
      </c>
      <c r="AL43" s="35">
        <f>+U47</f>
        <v>1943.9097913450112</v>
      </c>
      <c r="AM43" s="38">
        <f>+'sum 58(+0.15 m) - 00'!AB47</f>
        <v>-6.15923724164885</v>
      </c>
      <c r="AN43" s="33">
        <f>+(AA43-AM43)/AA43*100</f>
        <v>1926.5747364377428</v>
      </c>
      <c r="AQ43" s="1"/>
      <c r="AT43" s="100"/>
      <c r="AY43" s="1"/>
      <c r="AZ43" s="1"/>
    </row>
    <row r="44" spans="17:52" ht="12.75">
      <c r="Q44" t="s">
        <v>103</v>
      </c>
      <c r="S44" s="3">
        <f>SUM(S38,S43)</f>
        <v>189645250.98020396</v>
      </c>
      <c r="V44" s="24"/>
      <c r="W44" s="19"/>
      <c r="X44" s="16" t="str">
        <f>+Q48</f>
        <v>CPc</v>
      </c>
      <c r="Y44" s="99" t="s">
        <v>192</v>
      </c>
      <c r="Z44" s="44" t="s">
        <v>225</v>
      </c>
      <c r="AA44" s="109">
        <f>+S48/1000000</f>
        <v>50.476595951927706</v>
      </c>
      <c r="AB44" s="44" t="s">
        <v>225</v>
      </c>
      <c r="AC44" s="109">
        <f>+AA44/AA$25</f>
        <v>1.231136486632383</v>
      </c>
      <c r="AD44" s="44" t="s">
        <v>225</v>
      </c>
      <c r="AF44">
        <v>0.16</v>
      </c>
      <c r="AG44">
        <f>0.29+0.16</f>
        <v>0.44999999999999996</v>
      </c>
      <c r="AH44">
        <f>+AF44-AG44</f>
        <v>-0.2899999999999999</v>
      </c>
      <c r="AI44">
        <v>-20</v>
      </c>
      <c r="AK44" s="40"/>
      <c r="AL44" s="35"/>
      <c r="AM44" s="40">
        <f>+'sum 58(+0.15 m) - 00'!AB48</f>
        <v>20.30253505840182</v>
      </c>
      <c r="AN44" s="35">
        <f>+(AA44-AM44)/AA44*100</f>
        <v>59.778319683567204</v>
      </c>
      <c r="AO44" s="35"/>
      <c r="AP44" s="100"/>
      <c r="AQ44" s="100"/>
      <c r="AR44" s="100"/>
      <c r="AS44" s="101"/>
      <c r="AT44" s="100"/>
      <c r="AX44" t="s">
        <v>113</v>
      </c>
      <c r="AY44" s="1" t="e">
        <f>+#REF!</f>
        <v>#REF!</v>
      </c>
      <c r="AZ44" s="1" t="e">
        <f>+#REF!</f>
        <v>#REF!</v>
      </c>
    </row>
    <row r="45" spans="22:52" ht="12.75">
      <c r="V45" s="24"/>
      <c r="W45" s="24"/>
      <c r="X45" s="15" t="str">
        <f>+Q52</f>
        <v>CPdn_off</v>
      </c>
      <c r="Y45" s="98" t="s">
        <v>218</v>
      </c>
      <c r="Z45" s="45">
        <f>+R52/1000000</f>
        <v>41.35</v>
      </c>
      <c r="AA45" s="45">
        <f>+S52/1000000</f>
        <v>-30.2681868055551</v>
      </c>
      <c r="AB45" s="45">
        <f>+AA45/Z45</f>
        <v>-0.7319996809082249</v>
      </c>
      <c r="AC45" s="45">
        <f>+AA45/AA$25</f>
        <v>-0.7382484586720756</v>
      </c>
      <c r="AD45" s="45">
        <f>+AA45/Z45/$AA$25</f>
        <v>-0.017853650753859144</v>
      </c>
      <c r="AH45">
        <v>-0.29</v>
      </c>
      <c r="AI45">
        <f>+AH45*Z45</f>
        <v>-11.9915</v>
      </c>
      <c r="AK45" s="39">
        <f>+T52/1000000</f>
        <v>29.238865402063738</v>
      </c>
      <c r="AL45" s="34">
        <f>+U52</f>
        <v>96.59932915670241</v>
      </c>
      <c r="AM45" s="39">
        <f>+'sum 58(+0.15 m) - 00'!AB52</f>
        <v>-49.0498611324511</v>
      </c>
      <c r="AN45" s="34">
        <f>+(AA45-AM45)/AA45*100</f>
        <v>-62.05087357082457</v>
      </c>
      <c r="AO45" s="35"/>
      <c r="AP45" s="100"/>
      <c r="AQ45" s="100"/>
      <c r="AR45" s="102"/>
      <c r="AS45" s="103"/>
      <c r="AT45" s="100"/>
      <c r="AX45" t="s">
        <v>114</v>
      </c>
      <c r="AY45" s="1">
        <f>+AA46+AA47</f>
        <v>273.0091958768804</v>
      </c>
      <c r="AZ45" s="1">
        <f>+AC46+AC47</f>
        <v>6.6587608750458624</v>
      </c>
    </row>
    <row r="46" spans="17:51" ht="12.75">
      <c r="Q46" s="6" t="s">
        <v>85</v>
      </c>
      <c r="R46" s="7">
        <f>+C14</f>
        <v>17176.145999999993</v>
      </c>
      <c r="S46" s="7">
        <f>+F14</f>
        <v>28395.271000000008</v>
      </c>
      <c r="T46" s="7">
        <f>+J14</f>
        <v>161671.95081119076</v>
      </c>
      <c r="U46" s="19">
        <f>+ABS(T46/S46*100)</f>
        <v>569.3622392657944</v>
      </c>
      <c r="V46" s="32"/>
      <c r="W46" s="3"/>
      <c r="X46" t="str">
        <f>+Q49</f>
        <v>sum</v>
      </c>
      <c r="Y46" s="95" t="s">
        <v>191</v>
      </c>
      <c r="Z46" s="44" t="s">
        <v>225</v>
      </c>
      <c r="AA46" s="44">
        <f>SUM(AA42:AA45)</f>
        <v>20.57400590816191</v>
      </c>
      <c r="AB46" s="44" t="s">
        <v>225</v>
      </c>
      <c r="AC46" s="44">
        <f>SUM(AC42:AC45)</f>
        <v>0.5018050221502904</v>
      </c>
      <c r="AD46" s="44" t="s">
        <v>225</v>
      </c>
      <c r="AJ46">
        <f>SUM(AI27:AI48)</f>
        <v>-94.33303711049004</v>
      </c>
      <c r="AK46" s="40"/>
      <c r="AL46" s="35"/>
      <c r="AM46" s="38">
        <f>SUM(AM42:AM45)</f>
        <v>-34.90656331569813</v>
      </c>
      <c r="AN46" s="33">
        <f>+(AA46-AM46)/AA46*100</f>
        <v>269.66342612864884</v>
      </c>
      <c r="AO46" s="35"/>
      <c r="AP46" s="100"/>
      <c r="AQ46" s="100"/>
      <c r="AR46" s="102"/>
      <c r="AS46" s="103"/>
      <c r="AT46" s="100"/>
      <c r="AY46" s="19"/>
    </row>
    <row r="47" spans="17:46" ht="12.75">
      <c r="Q47" t="str">
        <f>+Z19</f>
        <v>CPdn_near</v>
      </c>
      <c r="R47" s="3">
        <f>+AB19</f>
        <v>9269687.5</v>
      </c>
      <c r="S47" s="3">
        <f>+AA19</f>
        <v>337201.490789303</v>
      </c>
      <c r="T47" s="3">
        <f>+AD19</f>
        <v>6554892.796014607</v>
      </c>
      <c r="U47" s="24">
        <f>+ABS(T47/S47*100)</f>
        <v>1943.9097913450112</v>
      </c>
      <c r="V47" s="32"/>
      <c r="W47" s="3"/>
      <c r="X47" t="str">
        <f>+Q50</f>
        <v>subtotal</v>
      </c>
      <c r="Y47" s="95" t="s">
        <v>189</v>
      </c>
      <c r="Z47" s="44" t="s">
        <v>225</v>
      </c>
      <c r="AA47" s="44">
        <f>+AA46+AA40</f>
        <v>252.4351899687185</v>
      </c>
      <c r="AB47" s="44" t="s">
        <v>225</v>
      </c>
      <c r="AC47" s="44">
        <f>+AC46+AC40</f>
        <v>6.156955852895572</v>
      </c>
      <c r="AD47" s="44" t="s">
        <v>225</v>
      </c>
      <c r="AK47" s="40"/>
      <c r="AL47" s="35"/>
      <c r="AM47" s="38">
        <f>+AM46+AM40</f>
        <v>135.7022347302316</v>
      </c>
      <c r="AN47" s="33"/>
      <c r="AO47" s="35"/>
      <c r="AP47" s="100"/>
      <c r="AQ47" s="100"/>
      <c r="AR47" s="100"/>
      <c r="AS47" s="101"/>
      <c r="AT47" s="100"/>
    </row>
    <row r="48" spans="17:46" ht="12.75">
      <c r="Q48" s="91" t="s">
        <v>70</v>
      </c>
      <c r="R48" s="20"/>
      <c r="S48" s="89">
        <f>+F8</f>
        <v>50476595.95192771</v>
      </c>
      <c r="T48" s="89"/>
      <c r="U48" s="21"/>
      <c r="V48" s="16"/>
      <c r="Z48" s="2"/>
      <c r="AA48" s="2"/>
      <c r="AB48" s="2"/>
      <c r="AC48" s="2"/>
      <c r="AD48" s="2"/>
      <c r="AO48" s="16"/>
      <c r="AP48" s="100"/>
      <c r="AQ48" s="100"/>
      <c r="AR48" s="100"/>
      <c r="AS48" s="101"/>
      <c r="AT48" s="100"/>
    </row>
    <row r="49" spans="17:46" ht="12.75">
      <c r="Q49" t="s">
        <v>51</v>
      </c>
      <c r="R49" s="3"/>
      <c r="S49" s="3">
        <f>SUM(S46:S48)</f>
        <v>50842192.713717006</v>
      </c>
      <c r="U49" s="19"/>
      <c r="V49" s="24"/>
      <c r="W49" s="19"/>
      <c r="X49" t="str">
        <f>+Q40</f>
        <v>LB_off_w</v>
      </c>
      <c r="Y49" s="99" t="s">
        <v>215</v>
      </c>
      <c r="Z49" s="44">
        <f>+R40/1000000</f>
        <v>72.538125</v>
      </c>
      <c r="AA49" s="44">
        <f>+S40/1000000</f>
        <v>-5.13259974701929</v>
      </c>
      <c r="AB49" s="44">
        <f>+AA49/Z49</f>
        <v>-0.07075727070446458</v>
      </c>
      <c r="AC49" s="109">
        <f>+AA49/AA$25</f>
        <v>-0.1251853596833973</v>
      </c>
      <c r="AD49" s="44">
        <f>+AA49/Z49/$AA$25</f>
        <v>-0.0017257870903527946</v>
      </c>
      <c r="AH49">
        <v>-0.29</v>
      </c>
      <c r="AI49">
        <f>+AH49*Z49</f>
        <v>-21.036056249999998</v>
      </c>
      <c r="AK49" s="40">
        <f>+T40/1000000</f>
        <v>51.292200082057434</v>
      </c>
      <c r="AL49" s="35">
        <f>+U40</f>
        <v>999.3415152203306</v>
      </c>
      <c r="AM49" s="38">
        <f>+'sum 58(+0.15 m) - 00'!AB40</f>
        <v>-36.575743667138596</v>
      </c>
      <c r="AN49" s="33">
        <f>+(AA49-AM49)/AA49*100</f>
        <v>-612.6163244733747</v>
      </c>
      <c r="AO49" s="35"/>
      <c r="AP49" s="100"/>
      <c r="AQ49" s="100"/>
      <c r="AR49" s="100"/>
      <c r="AS49" s="103"/>
      <c r="AT49" s="100"/>
    </row>
    <row r="50" spans="17:46" ht="12.75">
      <c r="Q50" t="s">
        <v>103</v>
      </c>
      <c r="R50" s="3"/>
      <c r="S50" s="3">
        <f>+S49+S44</f>
        <v>240487443.69392097</v>
      </c>
      <c r="U50" s="19"/>
      <c r="V50" s="24"/>
      <c r="W50" s="24"/>
      <c r="X50" s="15" t="str">
        <f>+Q53</f>
        <v>CP_off</v>
      </c>
      <c r="Y50" s="96" t="s">
        <v>219</v>
      </c>
      <c r="Z50" s="45">
        <f>+R53/1000000</f>
        <v>130.4321875</v>
      </c>
      <c r="AA50" s="45">
        <f>+S53/1000000</f>
        <v>-25.838772956181803</v>
      </c>
      <c r="AB50" s="45">
        <f>+AA50/Z50</f>
        <v>-0.1981012007191998</v>
      </c>
      <c r="AC50" s="45">
        <f>+AA50/AA$25</f>
        <v>-0.6302139745410196</v>
      </c>
      <c r="AD50" s="45">
        <f>+AA50/Z50/$AA$25</f>
        <v>-0.004831736602907312</v>
      </c>
      <c r="AE50" s="2">
        <f>SUM(AA50,AA42:AA45)</f>
        <v>-5.264767048019891</v>
      </c>
      <c r="AH50">
        <v>-0.29</v>
      </c>
      <c r="AI50">
        <f>+AH50*Z50</f>
        <v>-37.825334375</v>
      </c>
      <c r="AK50" s="39">
        <f>+T53/1000000</f>
        <v>92.22948426624525</v>
      </c>
      <c r="AL50" s="34">
        <f>+U53</f>
        <v>356.9421985426742</v>
      </c>
      <c r="AM50" s="39">
        <f>+'sum 58(+0.15 m) - 00'!AB53</f>
        <v>-83.1149476742543</v>
      </c>
      <c r="AN50" s="34">
        <f>+(AA50-AM50)/AA50*100</f>
        <v>-221.66754905584418</v>
      </c>
      <c r="AO50" s="109">
        <f>+AA50/Z50</f>
        <v>-0.1981012007191998</v>
      </c>
      <c r="AP50" s="100"/>
      <c r="AQ50" s="100"/>
      <c r="AR50" s="100"/>
      <c r="AS50" s="100"/>
      <c r="AT50" s="100"/>
    </row>
    <row r="51" spans="22:41" ht="12.75">
      <c r="V51" s="32"/>
      <c r="W51" s="32"/>
      <c r="X51" t="str">
        <f>+Q54</f>
        <v>sum</v>
      </c>
      <c r="Y51" s="95" t="s">
        <v>191</v>
      </c>
      <c r="Z51" s="44" t="s">
        <v>225</v>
      </c>
      <c r="AA51" s="44">
        <f>SUM(AA49:AA50)</f>
        <v>-30.97137270320109</v>
      </c>
      <c r="AB51" s="44" t="s">
        <v>225</v>
      </c>
      <c r="AC51" s="44">
        <f>SUM(AC49:AC50)</f>
        <v>-0.7553993342244169</v>
      </c>
      <c r="AD51" s="44" t="s">
        <v>225</v>
      </c>
      <c r="AK51" s="40"/>
      <c r="AL51" s="35"/>
      <c r="AM51" s="38">
        <f>SUM(AM49:AM50)</f>
        <v>-119.69069134139289</v>
      </c>
      <c r="AN51" s="33">
        <f>+(AA51-AM51)/AA51*100</f>
        <v>-286.45588133399747</v>
      </c>
      <c r="AO51" s="35"/>
    </row>
    <row r="52" spans="17:41" ht="12.75">
      <c r="Q52" s="6" t="str">
        <f>+Z2</f>
        <v>CPdn_off</v>
      </c>
      <c r="R52" s="3">
        <f>+AB2</f>
        <v>41350000</v>
      </c>
      <c r="S52" s="3">
        <f>+AA2</f>
        <v>-30268186.8055551</v>
      </c>
      <c r="T52" s="7">
        <f>+AD2</f>
        <v>29238865.40206374</v>
      </c>
      <c r="U52" s="19">
        <f>+ABS(T52/S52*100)</f>
        <v>96.59932915670241</v>
      </c>
      <c r="V52" s="32"/>
      <c r="W52" s="3"/>
      <c r="X52" s="15"/>
      <c r="Y52" s="96"/>
      <c r="Z52" s="45"/>
      <c r="AA52" s="45"/>
      <c r="AB52" s="45"/>
      <c r="AC52" s="45"/>
      <c r="AD52" s="45"/>
      <c r="AK52" s="39"/>
      <c r="AL52" s="34"/>
      <c r="AM52" s="39"/>
      <c r="AN52" s="34"/>
      <c r="AO52" s="35"/>
    </row>
    <row r="53" spans="17:53" ht="12.75">
      <c r="Q53" s="54" t="str">
        <f>+Z3</f>
        <v>CP_off</v>
      </c>
      <c r="R53" s="20">
        <f>+AB3</f>
        <v>130432187.5</v>
      </c>
      <c r="S53" s="20">
        <f>+AA3</f>
        <v>-25838772.9561818</v>
      </c>
      <c r="T53" s="59">
        <f>+AD3</f>
        <v>92229484.26624525</v>
      </c>
      <c r="U53" s="21">
        <f>+ABS(T53/S53*100)</f>
        <v>356.9421985426742</v>
      </c>
      <c r="V53" s="16"/>
      <c r="X53" t="str">
        <f>+Q56</f>
        <v>sum</v>
      </c>
      <c r="Y53" s="95" t="s">
        <v>194</v>
      </c>
      <c r="Z53" s="44" t="s">
        <v>225</v>
      </c>
      <c r="AA53" s="44">
        <f>+AA51+AA47</f>
        <v>221.4638172655174</v>
      </c>
      <c r="AB53" s="44" t="s">
        <v>225</v>
      </c>
      <c r="AC53" s="44">
        <f>+AC51+AC47</f>
        <v>5.401556518671155</v>
      </c>
      <c r="AD53" s="44" t="s">
        <v>225</v>
      </c>
      <c r="AI53">
        <f>SUM(AI27:AI50)</f>
        <v>-153.19442773549002</v>
      </c>
      <c r="AK53" s="40"/>
      <c r="AL53" s="35"/>
      <c r="AM53" s="38">
        <f>+AM51+AM47</f>
        <v>16.011543388838703</v>
      </c>
      <c r="AN53" s="33">
        <f>+(AA53-AM53)/AA53*100</f>
        <v>92.77013121757847</v>
      </c>
      <c r="AO53" s="16"/>
      <c r="AY53" s="19"/>
      <c r="AZ53" s="19"/>
      <c r="BA53" s="19"/>
    </row>
    <row r="54" spans="17:53" ht="12.75">
      <c r="Q54" t="s">
        <v>51</v>
      </c>
      <c r="R54" s="3"/>
      <c r="S54" s="3">
        <f>SUM(S52:S53)</f>
        <v>-56106959.7617369</v>
      </c>
      <c r="T54" s="3"/>
      <c r="U54" s="19"/>
      <c r="V54" s="24"/>
      <c r="W54" s="24"/>
      <c r="Y54" s="95"/>
      <c r="Z54" s="44"/>
      <c r="AA54" s="44"/>
      <c r="AB54" s="44"/>
      <c r="AC54" s="109"/>
      <c r="AD54" s="109"/>
      <c r="AI54" s="2">
        <f>+AA53+AI53</f>
        <v>68.26938953002738</v>
      </c>
      <c r="AK54" s="40"/>
      <c r="AL54" s="35"/>
      <c r="AM54" s="38"/>
      <c r="AN54" s="33"/>
      <c r="AO54" s="35"/>
      <c r="AY54" s="19"/>
      <c r="AZ54" s="19"/>
      <c r="BA54" s="19"/>
    </row>
    <row r="55" spans="17:41" ht="12.75">
      <c r="Q55" s="15"/>
      <c r="R55" s="20"/>
      <c r="S55" s="20"/>
      <c r="T55" s="15"/>
      <c r="U55" s="21"/>
      <c r="V55" s="24"/>
      <c r="W55" s="19"/>
      <c r="Y55" s="95" t="s">
        <v>220</v>
      </c>
      <c r="Z55" s="44">
        <f aca="true" t="shared" si="17" ref="Z55:AA59">+R58/1000000</f>
        <v>9.9675</v>
      </c>
      <c r="AA55" s="44">
        <f t="shared" si="17"/>
        <v>17.712026030162498</v>
      </c>
      <c r="AB55" s="44">
        <f>+AA55/Z55</f>
        <v>1.7769777808038625</v>
      </c>
      <c r="AC55" s="109">
        <f>+AA55/AA$25</f>
        <v>0.4320006348820121</v>
      </c>
      <c r="AD55" s="44">
        <f>+AA55/Z55/$AA$25</f>
        <v>0.04334092148302104</v>
      </c>
      <c r="AK55" s="40">
        <f>+T58/1000000</f>
        <v>7.051081650151741</v>
      </c>
      <c r="AL55" s="35">
        <f>+U58</f>
        <v>39.80957140726973</v>
      </c>
      <c r="AM55" s="38">
        <f>+'sum 58(+0.15 m) - 00'!AB14/1000000</f>
        <v>12.8713785416534</v>
      </c>
      <c r="AN55" s="33">
        <f>+(AA55-AM55)/AA55*100</f>
        <v>27.329722078466755</v>
      </c>
      <c r="AO55" s="35"/>
    </row>
    <row r="56" spans="17:50" ht="12.75">
      <c r="Q56" t="s">
        <v>51</v>
      </c>
      <c r="R56" s="3"/>
      <c r="S56" s="3">
        <f>+S54+S50</f>
        <v>184380483.93218407</v>
      </c>
      <c r="U56" s="19"/>
      <c r="V56" s="24"/>
      <c r="W56" s="24"/>
      <c r="Y56" s="95" t="s">
        <v>221</v>
      </c>
      <c r="Z56" s="44">
        <f t="shared" si="17"/>
        <v>10.4359375</v>
      </c>
      <c r="AA56" s="44">
        <f t="shared" si="17"/>
        <v>14.099453398603899</v>
      </c>
      <c r="AB56" s="44">
        <f>+AA56/Z56</f>
        <v>1.351048087304461</v>
      </c>
      <c r="AC56" s="109">
        <f>+AA56/AA$25</f>
        <v>0.3438891072830219</v>
      </c>
      <c r="AD56" s="44">
        <f>+AA56/Z56/$AA$25</f>
        <v>0.032952392373279536</v>
      </c>
      <c r="AK56" s="40">
        <f>+T59/1000000</f>
        <v>7.381949960403775</v>
      </c>
      <c r="AL56" s="35">
        <f>+U59</f>
        <v>52.35628468501283</v>
      </c>
      <c r="AM56" s="38">
        <f>+'sum 58(+0.15 m) - 00'!AB15/1000000</f>
        <v>8.85700853518901</v>
      </c>
      <c r="AN56" s="33">
        <f>+(AA56-AM56)/AA56*100</f>
        <v>37.18190141990884</v>
      </c>
      <c r="AO56" s="35"/>
      <c r="AP56" s="19"/>
      <c r="AX56" s="19"/>
    </row>
    <row r="57" spans="19:50" ht="12.75">
      <c r="S57" s="3"/>
      <c r="V57" s="32"/>
      <c r="W57" s="3"/>
      <c r="X57" t="str">
        <f>+Q60</f>
        <v>CPc5_near</v>
      </c>
      <c r="Y57" s="95" t="s">
        <v>222</v>
      </c>
      <c r="Z57" s="44">
        <f t="shared" si="17"/>
        <v>12.589375</v>
      </c>
      <c r="AA57" s="44">
        <f t="shared" si="17"/>
        <v>2.51664654835955</v>
      </c>
      <c r="AB57" s="44">
        <f>+AA57/Z57</f>
        <v>0.19990242155464824</v>
      </c>
      <c r="AC57" s="109">
        <f>+AA57/AA$25</f>
        <v>0.06138162313072073</v>
      </c>
      <c r="AD57" s="44">
        <f>+AA57/Z57/$AA$25</f>
        <v>0.004875668818406054</v>
      </c>
      <c r="AK57" s="40">
        <f>+T60/1000000</f>
        <v>8.90208556332548</v>
      </c>
      <c r="AL57" s="35">
        <f>+U60</f>
        <v>353.72808188453047</v>
      </c>
      <c r="AM57" s="38">
        <f>+'sum 58(+0.15 m) - 00'!AB58</f>
        <v>-5.666434625932061</v>
      </c>
      <c r="AN57" s="33">
        <f>+(AA57-AM57)/AA57*100</f>
        <v>325.158142673061</v>
      </c>
      <c r="AO57" s="35"/>
      <c r="AP57" s="19"/>
      <c r="AX57" s="10"/>
    </row>
    <row r="58" spans="17:41" ht="12.75">
      <c r="Q58" t="str">
        <f>+'ocean volumes'!B40</f>
        <v>LBc2_near</v>
      </c>
      <c r="R58" s="3">
        <f>+'ocean volumes'!D40</f>
        <v>9967500</v>
      </c>
      <c r="S58" s="3">
        <f>+'ocean volumes'!C40</f>
        <v>17712026.0301625</v>
      </c>
      <c r="T58" s="13">
        <f>'ocean volumes'!S40</f>
        <v>7051081.650151742</v>
      </c>
      <c r="U58" s="24">
        <f>+ABS(T58/S58*100)</f>
        <v>39.80957140726973</v>
      </c>
      <c r="V58" s="32"/>
      <c r="W58" s="32"/>
      <c r="X58" t="str">
        <f>+Q61</f>
        <v>CPc4_near</v>
      </c>
      <c r="Y58" s="97" t="s">
        <v>223</v>
      </c>
      <c r="Z58" s="44">
        <f t="shared" si="17"/>
        <v>11.9303125</v>
      </c>
      <c r="AA58" s="44">
        <f t="shared" si="17"/>
        <v>5.18383682397866</v>
      </c>
      <c r="AB58" s="44">
        <f>+AA58/Z58</f>
        <v>0.4345097267132491</v>
      </c>
      <c r="AC58" s="109">
        <f>+AA58/AA$25</f>
        <v>0.12643504448728438</v>
      </c>
      <c r="AD58" s="44">
        <f>+AA58/Z58/$AA$25</f>
        <v>0.01059779821251827</v>
      </c>
      <c r="AK58" s="40">
        <f>+T61/1000000</f>
        <v>8.43606912051986</v>
      </c>
      <c r="AL58" s="35">
        <f>+U61</f>
        <v>162.73793730345608</v>
      </c>
      <c r="AM58" s="38">
        <f>+'sum 58(+0.15 m) - 00'!AB59</f>
        <v>-5.53966672464379</v>
      </c>
      <c r="AN58" s="33">
        <f>+(AA58-AM58)/AA58*100</f>
        <v>206.8642187774735</v>
      </c>
      <c r="AO58" s="35"/>
    </row>
    <row r="59" spans="17:53" ht="12.75">
      <c r="Q59" t="str">
        <f>+'ocean volumes'!B39</f>
        <v>LBc1_near</v>
      </c>
      <c r="R59" s="3">
        <f>+'ocean volumes'!D39</f>
        <v>10435937.5</v>
      </c>
      <c r="S59" s="3">
        <f>+'ocean volumes'!C39</f>
        <v>14099453.3986039</v>
      </c>
      <c r="T59" s="13">
        <f>'ocean volumes'!S39</f>
        <v>7381949.960403775</v>
      </c>
      <c r="U59" s="24">
        <f>+ABS(T59/S59*100)</f>
        <v>52.35628468501283</v>
      </c>
      <c r="V59" s="32"/>
      <c r="W59" s="32"/>
      <c r="X59" t="str">
        <f>+Q62</f>
        <v>CPc3_near</v>
      </c>
      <c r="Y59" s="97" t="s">
        <v>224</v>
      </c>
      <c r="Z59" s="44">
        <f t="shared" si="17"/>
        <v>13.313125</v>
      </c>
      <c r="AA59" s="44">
        <f t="shared" si="17"/>
        <v>13.554142326328</v>
      </c>
      <c r="AB59" s="44">
        <f>+AA59/Z59</f>
        <v>1.0181037379524343</v>
      </c>
      <c r="AC59" s="109">
        <f>+AA59/AA$25</f>
        <v>0.3305888372275122</v>
      </c>
      <c r="AD59" s="44">
        <f>+AA59/Z59/$AA$25</f>
        <v>0.024831798486644737</v>
      </c>
      <c r="AK59" s="40">
        <f>+T62/1000000</f>
        <v>9.414576613774763</v>
      </c>
      <c r="AL59" s="35">
        <f>+U62</f>
        <v>69.45903611685993</v>
      </c>
      <c r="AM59" s="38">
        <f>+'sum 58(+0.15 m) - 00'!AB60</f>
        <v>9.121167590378379</v>
      </c>
      <c r="AN59" s="33">
        <f>+(AA59-AM59)/AA59*100</f>
        <v>32.70568236057894</v>
      </c>
      <c r="AO59" s="35"/>
      <c r="AS59" s="19"/>
      <c r="AX59" s="19"/>
      <c r="AY59" s="19"/>
      <c r="AZ59" s="19"/>
      <c r="BA59" s="19"/>
    </row>
    <row r="60" spans="17:22" ht="12.75">
      <c r="Q60" t="str">
        <f>+Z20</f>
        <v>CPc5_near</v>
      </c>
      <c r="R60" s="3">
        <f>+AB20</f>
        <v>12589375</v>
      </c>
      <c r="S60" s="3">
        <f>+AA20</f>
        <v>2516646.54835955</v>
      </c>
      <c r="T60" s="3">
        <f>+AD20</f>
        <v>8902085.56332548</v>
      </c>
      <c r="U60" s="24">
        <f>+ABS(T60/S60*100)</f>
        <v>353.72808188453047</v>
      </c>
      <c r="V60" s="16"/>
    </row>
    <row r="61" spans="17:52" ht="12.75">
      <c r="Q61" t="str">
        <f>+Z21</f>
        <v>CPc4_near</v>
      </c>
      <c r="R61" s="3">
        <f>+AB21</f>
        <v>11930312.5</v>
      </c>
      <c r="S61" s="3">
        <f>+AA21</f>
        <v>5183836.82397866</v>
      </c>
      <c r="T61" s="3">
        <f>+AD21</f>
        <v>8436069.12051986</v>
      </c>
      <c r="U61" s="24">
        <f>+ABS(T61/S61*100)</f>
        <v>162.73793730345608</v>
      </c>
      <c r="V61" s="16"/>
      <c r="AK61" s="16"/>
      <c r="AX61" s="19"/>
      <c r="AY61" s="19"/>
      <c r="AZ61" s="19"/>
    </row>
    <row r="62" spans="17:51" ht="12.75">
      <c r="Q62" t="str">
        <f>+Z5</f>
        <v>CPc3_near</v>
      </c>
      <c r="R62" s="3">
        <f>+AB5</f>
        <v>13313125</v>
      </c>
      <c r="S62" s="3">
        <f>+AA5</f>
        <v>13554142.326328</v>
      </c>
      <c r="T62" s="3">
        <f>+AD5</f>
        <v>9414576.613774763</v>
      </c>
      <c r="U62" s="24">
        <f>+ABS(T62/S62*100)</f>
        <v>69.45903611685993</v>
      </c>
      <c r="AG62" s="18"/>
      <c r="AH62" s="18"/>
      <c r="AI62" s="18"/>
      <c r="AJ62" s="18"/>
      <c r="AK62" s="16"/>
      <c r="AX62" s="19"/>
      <c r="AY62" s="19"/>
    </row>
    <row r="63" spans="33:52" ht="12.75">
      <c r="AG63" s="18"/>
      <c r="AH63" s="18"/>
      <c r="AI63" s="18"/>
      <c r="AJ63" s="18"/>
      <c r="AX63" s="19"/>
      <c r="AY63" s="19"/>
      <c r="AZ63" s="19"/>
    </row>
    <row r="64" spans="17:51" ht="12.75">
      <c r="Q64" s="15" t="s">
        <v>81</v>
      </c>
      <c r="R64" s="20"/>
      <c r="S64" s="20">
        <f>+L29</f>
        <v>40000000</v>
      </c>
      <c r="T64" s="20">
        <f>+M29</f>
        <v>16000000</v>
      </c>
      <c r="U64" s="21">
        <f>+ABS(T64/S64*100)</f>
        <v>40</v>
      </c>
      <c r="AX64" s="19"/>
      <c r="AY64" s="19"/>
    </row>
    <row r="65" spans="17:51" ht="12.75">
      <c r="Q65" t="s">
        <v>103</v>
      </c>
      <c r="R65" s="3"/>
      <c r="S65" s="3"/>
      <c r="U65" s="19"/>
      <c r="AX65" s="19"/>
      <c r="AY65" s="19"/>
    </row>
    <row r="66" spans="19:50" ht="12.75">
      <c r="S66" s="3"/>
      <c r="AX66" s="19"/>
    </row>
    <row r="67" spans="49:50" ht="12.75">
      <c r="AW67" s="19"/>
      <c r="AX67" s="19"/>
    </row>
    <row r="68" spans="49:50" ht="12.75">
      <c r="AW68" s="19"/>
      <c r="AX68" s="19"/>
    </row>
    <row r="69" spans="49:51" ht="12.75">
      <c r="AW69" s="19"/>
      <c r="AX69" s="19"/>
      <c r="AY69" s="19"/>
    </row>
    <row r="70" ht="12.75">
      <c r="AW70" s="1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85"/>
  <sheetViews>
    <sheetView zoomScale="75" zoomScaleNormal="75" workbookViewId="0" topLeftCell="A28">
      <selection activeCell="C41" sqref="C41"/>
    </sheetView>
  </sheetViews>
  <sheetFormatPr defaultColWidth="9.140625" defaultRowHeight="12.75"/>
  <cols>
    <col min="1" max="1" width="10.140625" style="0" bestFit="1" customWidth="1"/>
    <col min="3" max="3" width="11.00390625" style="0" customWidth="1"/>
    <col min="5" max="5" width="9.7109375" style="0" bestFit="1" customWidth="1"/>
    <col min="7" max="10" width="9.7109375" style="0" bestFit="1" customWidth="1"/>
  </cols>
  <sheetData>
    <row r="2" spans="3:17" ht="12.75">
      <c r="C2" t="s">
        <v>0</v>
      </c>
      <c r="D2" t="s">
        <v>1</v>
      </c>
      <c r="E2" t="s">
        <v>2</v>
      </c>
      <c r="F2" t="s">
        <v>3</v>
      </c>
      <c r="H2" t="s">
        <v>4</v>
      </c>
      <c r="I2" t="s">
        <v>5</v>
      </c>
      <c r="J2" t="s">
        <v>6</v>
      </c>
      <c r="K2" t="s">
        <v>11</v>
      </c>
      <c r="L2" t="s">
        <v>12</v>
      </c>
      <c r="M2" t="s">
        <v>93</v>
      </c>
      <c r="N2" t="s">
        <v>94</v>
      </c>
      <c r="O2" s="4" t="s">
        <v>95</v>
      </c>
      <c r="P2" t="s">
        <v>96</v>
      </c>
      <c r="Q2" t="s">
        <v>97</v>
      </c>
    </row>
    <row r="3" spans="1:18" ht="12.75">
      <c r="A3" s="4">
        <v>2</v>
      </c>
      <c r="B3" s="4" t="s">
        <v>10</v>
      </c>
      <c r="C3" s="30">
        <v>822700</v>
      </c>
      <c r="D3" s="30">
        <v>778124.6719</v>
      </c>
      <c r="E3" s="30">
        <v>1156560</v>
      </c>
      <c r="F3" s="30">
        <v>7.78745</v>
      </c>
      <c r="G3" s="30"/>
      <c r="H3" s="30">
        <v>1156550</v>
      </c>
      <c r="I3" s="30">
        <v>1159500</v>
      </c>
      <c r="J3" s="30">
        <v>152050</v>
      </c>
      <c r="K3" s="52">
        <f>+C3/1000000</f>
        <v>0.8227</v>
      </c>
      <c r="L3" s="51">
        <f>+C3/D3</f>
        <v>1.0572855863715995</v>
      </c>
      <c r="M3" s="4">
        <v>4999.452</v>
      </c>
      <c r="N3" s="53">
        <f>+D3/M3</f>
        <v>155.64199274240454</v>
      </c>
      <c r="O3" s="4">
        <v>0.5</v>
      </c>
      <c r="P3" s="51">
        <v>23.130067012440755</v>
      </c>
      <c r="Q3" s="30">
        <f>+SQRT((O3/L3)^2+(P3/N3)^2)*C3</f>
        <v>407820.43286563735</v>
      </c>
      <c r="R3" s="4" t="str">
        <f>+B3</f>
        <v>LBc2.bln</v>
      </c>
    </row>
    <row r="4" spans="1:18" ht="12.75">
      <c r="A4">
        <v>1</v>
      </c>
      <c r="B4" t="s">
        <v>9</v>
      </c>
      <c r="C4" s="3">
        <v>518681</v>
      </c>
      <c r="D4" s="3">
        <v>476562.52</v>
      </c>
      <c r="E4" s="3">
        <v>517226</v>
      </c>
      <c r="F4" s="3">
        <v>103.802</v>
      </c>
      <c r="G4" s="3"/>
      <c r="H4" s="3">
        <v>517122</v>
      </c>
      <c r="I4" s="3">
        <v>518670</v>
      </c>
      <c r="J4" s="3">
        <v>520251</v>
      </c>
      <c r="K4" s="1">
        <f>+C4/1000000</f>
        <v>0.518681</v>
      </c>
      <c r="L4" s="2">
        <f>+C4/D4</f>
        <v>1.0883797576024232</v>
      </c>
      <c r="M4">
        <v>6302.447</v>
      </c>
      <c r="N4" s="28">
        <f>+D4/M4</f>
        <v>75.6154744339778</v>
      </c>
      <c r="O4" s="4">
        <v>0.5</v>
      </c>
      <c r="P4" s="2">
        <v>23.130067012440755</v>
      </c>
      <c r="Q4" s="29">
        <f>+SQRT((O4/L4)^2+(P4/N4)^2)*C4</f>
        <v>286270.588840215</v>
      </c>
      <c r="R4" t="str">
        <f>+B4</f>
        <v>LBc1.bln</v>
      </c>
    </row>
    <row r="5" spans="1:18" ht="12.75">
      <c r="A5">
        <v>1</v>
      </c>
      <c r="B5" t="s">
        <v>8</v>
      </c>
      <c r="C5" s="3">
        <v>-3934320</v>
      </c>
      <c r="D5" s="3">
        <v>-971562.2</v>
      </c>
      <c r="E5" s="3">
        <v>-3952780</v>
      </c>
      <c r="F5" s="3">
        <v>12054.6</v>
      </c>
      <c r="G5" s="3"/>
      <c r="H5" s="3">
        <v>-3940730</v>
      </c>
      <c r="I5" s="3">
        <v>-3926260</v>
      </c>
      <c r="J5" s="3">
        <v>-3935970</v>
      </c>
      <c r="K5" s="1">
        <f>+C5/1000000</f>
        <v>-3.93432</v>
      </c>
      <c r="L5" s="2">
        <f>+C5/D5</f>
        <v>4.049478252653304</v>
      </c>
      <c r="M5" s="28">
        <v>3380.29</v>
      </c>
      <c r="N5" s="28">
        <f>+D5/M5</f>
        <v>-287.4197775930467</v>
      </c>
      <c r="O5" s="4">
        <v>0.5</v>
      </c>
      <c r="P5" s="2">
        <v>23.130067012440755</v>
      </c>
      <c r="Q5" s="29">
        <f>+SQRT((O5/L5)^2+(P5/N5)^2)*C5</f>
        <v>-579851.371917725</v>
      </c>
      <c r="R5" t="str">
        <f>+B5</f>
        <v>LBds.bln</v>
      </c>
    </row>
    <row r="6" ht="12.75">
      <c r="O6" s="4"/>
    </row>
    <row r="7" spans="11:15" ht="12.75">
      <c r="K7" s="1"/>
      <c r="L7" s="2"/>
      <c r="O7" s="4"/>
    </row>
    <row r="8" spans="2:15" ht="12.75">
      <c r="B8" t="s">
        <v>35</v>
      </c>
      <c r="C8" t="s">
        <v>36</v>
      </c>
      <c r="D8" t="s">
        <v>12</v>
      </c>
      <c r="G8" t="s">
        <v>35</v>
      </c>
      <c r="H8" t="s">
        <v>36</v>
      </c>
      <c r="O8" s="4"/>
    </row>
    <row r="9" spans="1:15" ht="12.75">
      <c r="A9" t="s">
        <v>26</v>
      </c>
      <c r="B9">
        <v>1918921.125</v>
      </c>
      <c r="C9" s="7">
        <v>6950065.150407228</v>
      </c>
      <c r="D9" s="2">
        <v>3.621860773671574</v>
      </c>
      <c r="O9" s="4"/>
    </row>
    <row r="10" spans="1:15" ht="12.75">
      <c r="A10" t="s">
        <v>27</v>
      </c>
      <c r="B10">
        <v>678030.625</v>
      </c>
      <c r="C10" s="7">
        <v>3644092.4462142675</v>
      </c>
      <c r="D10" s="2">
        <v>5.374524854558402</v>
      </c>
      <c r="O10" s="4"/>
    </row>
    <row r="11" spans="1:15" ht="12.75">
      <c r="A11" t="s">
        <v>28</v>
      </c>
      <c r="B11">
        <v>538034.25</v>
      </c>
      <c r="C11" s="7">
        <v>2967374.8518643393</v>
      </c>
      <c r="D11" s="2">
        <v>5.515215531101114</v>
      </c>
      <c r="O11" s="4"/>
    </row>
    <row r="12" spans="1:15" ht="12.75">
      <c r="A12" t="s">
        <v>29</v>
      </c>
      <c r="B12">
        <v>601328.062</v>
      </c>
      <c r="C12" s="7">
        <v>3431899.460399146</v>
      </c>
      <c r="D12" s="2">
        <v>5.707199908457201</v>
      </c>
      <c r="O12" s="4"/>
    </row>
    <row r="13" spans="1:15" ht="12.75">
      <c r="A13" t="s">
        <v>30</v>
      </c>
      <c r="B13">
        <v>853904.312</v>
      </c>
      <c r="C13" s="7">
        <v>5507009.934299482</v>
      </c>
      <c r="D13" s="2">
        <v>6.449211998240245</v>
      </c>
      <c r="O13" s="4"/>
    </row>
    <row r="14" spans="1:15" ht="12.75">
      <c r="A14" t="s">
        <v>31</v>
      </c>
      <c r="B14">
        <v>1093322.25</v>
      </c>
      <c r="C14" s="7">
        <v>6955047.028949661</v>
      </c>
      <c r="D14" s="2">
        <v>6.361387988719393</v>
      </c>
      <c r="O14" s="4"/>
    </row>
    <row r="15" spans="1:15" ht="12.75">
      <c r="A15" t="s">
        <v>32</v>
      </c>
      <c r="B15">
        <v>1104111.125</v>
      </c>
      <c r="C15" s="7">
        <v>6621633.084763302</v>
      </c>
      <c r="D15" s="2">
        <v>5.997252391387055</v>
      </c>
      <c r="O15" s="4"/>
    </row>
    <row r="16" spans="1:15" ht="12.75">
      <c r="A16" t="s">
        <v>33</v>
      </c>
      <c r="B16">
        <v>909166</v>
      </c>
      <c r="C16" s="7">
        <v>5103606.699653204</v>
      </c>
      <c r="D16" s="2">
        <v>5.613503694213382</v>
      </c>
      <c r="O16" s="4"/>
    </row>
    <row r="17" spans="1:15" ht="12.75">
      <c r="A17" t="s">
        <v>34</v>
      </c>
      <c r="B17">
        <v>-1045625.765</v>
      </c>
      <c r="C17" s="7">
        <v>-6015072.512989082</v>
      </c>
      <c r="D17" s="2">
        <v>5.752605486905807</v>
      </c>
      <c r="O17" s="4"/>
    </row>
    <row r="18" ht="12.75">
      <c r="O18" s="4"/>
    </row>
    <row r="19" ht="12.75">
      <c r="O19" s="4"/>
    </row>
    <row r="20" spans="2:15" ht="12.75">
      <c r="B20" s="4" t="s">
        <v>13</v>
      </c>
      <c r="H20" s="4" t="s">
        <v>14</v>
      </c>
      <c r="J20" s="4" t="s">
        <v>15</v>
      </c>
      <c r="O20" s="4"/>
    </row>
    <row r="21" spans="2:15" ht="12.75">
      <c r="B21" t="s">
        <v>16</v>
      </c>
      <c r="C21" t="s">
        <v>17</v>
      </c>
      <c r="D21" t="s">
        <v>18</v>
      </c>
      <c r="E21" t="s">
        <v>19</v>
      </c>
      <c r="F21" s="4" t="s">
        <v>20</v>
      </c>
      <c r="G21" s="5" t="s">
        <v>21</v>
      </c>
      <c r="H21" t="s">
        <v>22</v>
      </c>
      <c r="I21" t="s">
        <v>23</v>
      </c>
      <c r="J21" t="s">
        <v>22</v>
      </c>
      <c r="K21" t="s">
        <v>24</v>
      </c>
      <c r="L21" t="s">
        <v>22</v>
      </c>
      <c r="M21" t="s">
        <v>25</v>
      </c>
      <c r="O21" s="4"/>
    </row>
    <row r="22" spans="1:15" ht="12.75">
      <c r="A22" t="s">
        <v>37</v>
      </c>
      <c r="B22">
        <f aca="true" t="shared" si="0" ref="B22:C24">+B15</f>
        <v>1104111.125</v>
      </c>
      <c r="C22" s="3">
        <f t="shared" si="0"/>
        <v>6621633.084763302</v>
      </c>
      <c r="D22" s="6">
        <f>+D3</f>
        <v>778124.6719</v>
      </c>
      <c r="E22" s="7">
        <f>+C3</f>
        <v>822700</v>
      </c>
      <c r="F22" s="10">
        <f>+(B22-D22)/B22*100</f>
        <v>29.524786565301568</v>
      </c>
      <c r="H22" s="2">
        <f>+C22/B22</f>
        <v>5.997252391387055</v>
      </c>
      <c r="I22" s="3">
        <f>+C22-3*B22</f>
        <v>3309299.7097633015</v>
      </c>
      <c r="J22" s="2">
        <f>+I22/B22</f>
        <v>2.997252391387055</v>
      </c>
      <c r="K22" s="7">
        <f>+I22+E22</f>
        <v>4131999.7097633015</v>
      </c>
      <c r="L22" s="8">
        <f>+K22/D22</f>
        <v>5.310202669289378</v>
      </c>
      <c r="M22" s="9">
        <f>+K22/1000000</f>
        <v>4.131999709763302</v>
      </c>
      <c r="O22" s="4"/>
    </row>
    <row r="23" spans="1:15" ht="12.75">
      <c r="A23" t="s">
        <v>38</v>
      </c>
      <c r="B23">
        <f t="shared" si="0"/>
        <v>909166</v>
      </c>
      <c r="C23" s="3">
        <f t="shared" si="0"/>
        <v>5103606.699653204</v>
      </c>
      <c r="D23" s="6">
        <f>+D4</f>
        <v>476562.52</v>
      </c>
      <c r="E23" s="7">
        <f>+C4</f>
        <v>518681</v>
      </c>
      <c r="F23" s="10">
        <f>+(B23-D23)/B23*100</f>
        <v>47.58245248942437</v>
      </c>
      <c r="H23" s="2">
        <f>+C23/B23</f>
        <v>5.613503694213382</v>
      </c>
      <c r="I23" s="3">
        <f>+C23-3*B23</f>
        <v>2376108.6996532036</v>
      </c>
      <c r="J23" s="2">
        <f>+I23/B23</f>
        <v>2.613503694213382</v>
      </c>
      <c r="K23" s="7">
        <f>+I23+E23</f>
        <v>2894789.6996532036</v>
      </c>
      <c r="L23" s="8">
        <f>+K23/D23</f>
        <v>6.07431255746508</v>
      </c>
      <c r="M23" s="9">
        <f>+K23/1000000</f>
        <v>2.8947896996532037</v>
      </c>
      <c r="O23" s="4"/>
    </row>
    <row r="24" spans="1:15" ht="12.75">
      <c r="A24" t="s">
        <v>39</v>
      </c>
      <c r="B24">
        <f t="shared" si="0"/>
        <v>-1045625.765</v>
      </c>
      <c r="C24" s="3">
        <f t="shared" si="0"/>
        <v>-6015072.512989082</v>
      </c>
      <c r="D24" s="6">
        <f>+D5</f>
        <v>-971562.2</v>
      </c>
      <c r="E24" s="7">
        <f>+C5</f>
        <v>-3934320</v>
      </c>
      <c r="F24" s="10">
        <f>+(B24-D24)/B24*100</f>
        <v>7.083180950500016</v>
      </c>
      <c r="H24" s="2">
        <f>+C24/B24</f>
        <v>5.752605486905807</v>
      </c>
      <c r="I24" s="3">
        <f>+C24-3*B24</f>
        <v>-2878195.2179890824</v>
      </c>
      <c r="J24" s="2">
        <f>+I24/B24</f>
        <v>2.7526054869058076</v>
      </c>
      <c r="K24" s="7">
        <f>+I24+E24</f>
        <v>-6812515.217989082</v>
      </c>
      <c r="L24" s="8">
        <f>+K24/D24</f>
        <v>7.011918761340326</v>
      </c>
      <c r="M24" s="9">
        <f>+K24/1000000</f>
        <v>-6.812515217989082</v>
      </c>
      <c r="O24" s="4"/>
    </row>
    <row r="25" ht="12.75">
      <c r="O25" s="4"/>
    </row>
    <row r="26" ht="12.75">
      <c r="O26" s="4"/>
    </row>
    <row r="27" ht="12.75">
      <c r="O27" s="4"/>
    </row>
    <row r="28" ht="12.75">
      <c r="O28" s="4"/>
    </row>
    <row r="29" ht="12.75">
      <c r="O29" s="4"/>
    </row>
    <row r="30" spans="1:17" ht="12.75">
      <c r="A30" s="5" t="s">
        <v>206</v>
      </c>
      <c r="C30" t="s">
        <v>0</v>
      </c>
      <c r="D30" t="s">
        <v>1</v>
      </c>
      <c r="E30" t="s">
        <v>2</v>
      </c>
      <c r="F30" t="s">
        <v>3</v>
      </c>
      <c r="H30" t="s">
        <v>4</v>
      </c>
      <c r="I30" t="s">
        <v>5</v>
      </c>
      <c r="J30" t="s">
        <v>6</v>
      </c>
      <c r="K30" t="s">
        <v>11</v>
      </c>
      <c r="L30" t="s">
        <v>12</v>
      </c>
      <c r="M30" t="s">
        <v>93</v>
      </c>
      <c r="N30" t="s">
        <v>94</v>
      </c>
      <c r="O30" s="4" t="s">
        <v>95</v>
      </c>
      <c r="P30" t="s">
        <v>96</v>
      </c>
      <c r="Q30" t="s">
        <v>97</v>
      </c>
    </row>
    <row r="31" spans="2:18" ht="12.75">
      <c r="B31" t="s">
        <v>37</v>
      </c>
      <c r="C31" s="3">
        <f aca="true" t="shared" si="1" ref="C31:F33">+C39</f>
        <v>1278974.06726812</v>
      </c>
      <c r="D31" s="3">
        <f t="shared" si="1"/>
        <v>778125</v>
      </c>
      <c r="E31" s="3">
        <f t="shared" si="1"/>
        <v>1279603.06765394</v>
      </c>
      <c r="F31" s="3">
        <f t="shared" si="1"/>
        <v>16.0535769188464</v>
      </c>
      <c r="H31" s="3">
        <f aca="true" t="shared" si="2" ref="H31:J33">+H39</f>
        <v>1279587.01407702</v>
      </c>
      <c r="I31" s="3">
        <f t="shared" si="2"/>
        <v>1282556.46821171</v>
      </c>
      <c r="J31" s="3">
        <f t="shared" si="2"/>
        <v>1274778.71951563</v>
      </c>
      <c r="K31" s="61">
        <f>+C31/1000000</f>
        <v>1.2789740672681198</v>
      </c>
      <c r="L31" s="62">
        <f>+C31/D31</f>
        <v>1.6436614519108368</v>
      </c>
      <c r="M31" s="41">
        <v>4999.452</v>
      </c>
      <c r="N31" s="63">
        <f>+D31/M31</f>
        <v>155.6420583695973</v>
      </c>
      <c r="O31" s="4">
        <v>0.5</v>
      </c>
      <c r="P31" s="62">
        <v>23.130067012440755</v>
      </c>
      <c r="Q31" s="29">
        <f>+SQRT((O31/L31)^2+(P31/N31)^2)*C31</f>
        <v>433007.9859837885</v>
      </c>
      <c r="R31" s="41" t="str">
        <f>+B31</f>
        <v>LBc2</v>
      </c>
    </row>
    <row r="32" spans="2:18" ht="12.75">
      <c r="B32" t="s">
        <v>38</v>
      </c>
      <c r="C32" s="3">
        <f t="shared" si="1"/>
        <v>638490.360625442</v>
      </c>
      <c r="D32" s="3">
        <f t="shared" si="1"/>
        <v>476562.5</v>
      </c>
      <c r="E32" s="3">
        <f t="shared" si="1"/>
        <v>638291.860270095</v>
      </c>
      <c r="F32" s="3">
        <f t="shared" si="1"/>
        <v>385.630538024209</v>
      </c>
      <c r="H32" s="3">
        <f t="shared" si="2"/>
        <v>637906.229732071</v>
      </c>
      <c r="I32" s="3">
        <f t="shared" si="2"/>
        <v>638839.581837566</v>
      </c>
      <c r="J32" s="3">
        <f t="shared" si="2"/>
        <v>638725.270306688</v>
      </c>
      <c r="K32" s="1">
        <f>+C32/1000000</f>
        <v>0.638490360625442</v>
      </c>
      <c r="L32" s="2">
        <f>+C32/D32</f>
        <v>1.3397830518042062</v>
      </c>
      <c r="M32">
        <v>6302.447</v>
      </c>
      <c r="N32" s="28">
        <f>+D32/M32</f>
        <v>75.6154712606072</v>
      </c>
      <c r="O32" s="4">
        <v>0.5</v>
      </c>
      <c r="P32" s="2">
        <v>23.130067012440755</v>
      </c>
      <c r="Q32" s="29">
        <f>+SQRT((O32/L32)^2+(P32/N32)^2)*C32</f>
        <v>308096.1925223369</v>
      </c>
      <c r="R32" t="str">
        <f>+B32</f>
        <v>LBc1</v>
      </c>
    </row>
    <row r="33" spans="2:18" ht="12.75">
      <c r="B33" t="s">
        <v>39</v>
      </c>
      <c r="C33" s="3">
        <f t="shared" si="1"/>
        <v>-4291599.66680847</v>
      </c>
      <c r="D33" s="3">
        <f t="shared" si="1"/>
        <v>-971562.5</v>
      </c>
      <c r="E33" s="3">
        <f t="shared" si="1"/>
        <v>149.362091294188</v>
      </c>
      <c r="F33" s="3">
        <f t="shared" si="1"/>
        <v>4298092.82330521</v>
      </c>
      <c r="H33" s="3">
        <f t="shared" si="2"/>
        <v>-4297943.46121392</v>
      </c>
      <c r="I33" s="3">
        <f t="shared" si="2"/>
        <v>-4282955.92516316</v>
      </c>
      <c r="J33" s="3">
        <f t="shared" si="2"/>
        <v>-4293899.61404833</v>
      </c>
      <c r="K33" s="1">
        <f>+C33/1000000</f>
        <v>-4.29159966680847</v>
      </c>
      <c r="L33" s="2">
        <f>+C33/D33</f>
        <v>4.417214195492797</v>
      </c>
      <c r="M33" s="28">
        <v>3380.29</v>
      </c>
      <c r="N33" s="28">
        <f>+D33/M33</f>
        <v>-287.4198663428286</v>
      </c>
      <c r="O33" s="4">
        <v>0.5</v>
      </c>
      <c r="P33" s="2">
        <v>23.130067012440755</v>
      </c>
      <c r="Q33" s="29">
        <f>+SQRT((O33/L33)^2+(P33/N33)^2)*C33</f>
        <v>-596037.7073541934</v>
      </c>
      <c r="R33" t="str">
        <f>+B33</f>
        <v>LBds</v>
      </c>
    </row>
    <row r="34" ht="12.75">
      <c r="O34" s="4"/>
    </row>
    <row r="35" spans="2:18" ht="12.75">
      <c r="B35" t="s">
        <v>135</v>
      </c>
      <c r="C35" s="3">
        <f aca="true" t="shared" si="3" ref="C35:F36">+C43</f>
        <v>284334.709518796</v>
      </c>
      <c r="D35" s="3">
        <f t="shared" si="3"/>
        <v>341250</v>
      </c>
      <c r="E35" s="3">
        <f t="shared" si="3"/>
        <v>283994.689408768</v>
      </c>
      <c r="F35" s="3">
        <f t="shared" si="3"/>
        <v>248.719767723921</v>
      </c>
      <c r="H35" s="3">
        <f aca="true" t="shared" si="4" ref="H35:J36">+H43</f>
        <v>283745.969641044</v>
      </c>
      <c r="I35" s="3">
        <f t="shared" si="4"/>
        <v>284800.484402304</v>
      </c>
      <c r="J35" s="3">
        <f t="shared" si="4"/>
        <v>284457.674513039</v>
      </c>
      <c r="K35" s="1">
        <f>+C35/1000000</f>
        <v>0.284334709518796</v>
      </c>
      <c r="L35" s="2">
        <f>+C35/D35</f>
        <v>0.8332152659891459</v>
      </c>
      <c r="M35" s="56">
        <f>+'sum 1958-2000'!B4</f>
        <v>4410.2</v>
      </c>
      <c r="N35" s="28">
        <f>+D35/M35</f>
        <v>77.37744319985488</v>
      </c>
      <c r="O35" s="4">
        <v>0.5</v>
      </c>
      <c r="P35" s="2">
        <v>23.130067012440755</v>
      </c>
      <c r="Q35" s="29">
        <f>+SQRT((O35/L35)^2+(P35/N35)^2)*C35</f>
        <v>190622.68468657476</v>
      </c>
      <c r="R35" t="str">
        <f>+B35</f>
        <v>CPc4</v>
      </c>
    </row>
    <row r="36" spans="2:18" ht="12.75">
      <c r="B36" t="s">
        <v>134</v>
      </c>
      <c r="C36" s="3">
        <f t="shared" si="3"/>
        <v>287868.485842494</v>
      </c>
      <c r="D36" s="3">
        <f t="shared" si="3"/>
        <v>389375</v>
      </c>
      <c r="E36" s="3">
        <f t="shared" si="3"/>
        <v>289672.270365975</v>
      </c>
      <c r="F36" s="3">
        <f t="shared" si="3"/>
        <v>846.607139576543</v>
      </c>
      <c r="H36" s="3">
        <f t="shared" si="4"/>
        <v>288825.663226399</v>
      </c>
      <c r="I36" s="3">
        <f t="shared" si="4"/>
        <v>284638.148219777</v>
      </c>
      <c r="J36" s="3">
        <f t="shared" si="4"/>
        <v>290141.646081306</v>
      </c>
      <c r="K36" s="1">
        <f>+C36/1000000</f>
        <v>0.287868485842494</v>
      </c>
      <c r="L36" s="2">
        <f>+C36/D36</f>
        <v>0.7393091129181226</v>
      </c>
      <c r="M36" s="56">
        <f>+'sum 1958-2000'!B5</f>
        <v>5131.8</v>
      </c>
      <c r="N36" s="28">
        <f>+D36/M36</f>
        <v>75.87493666939476</v>
      </c>
      <c r="O36" s="4">
        <v>0.5</v>
      </c>
      <c r="P36" s="2">
        <v>23.130067012440755</v>
      </c>
      <c r="Q36" s="29">
        <f>+SQRT((O36/L36)^2+(P36/N36)^2)*C36</f>
        <v>213551.37820919894</v>
      </c>
      <c r="R36" t="str">
        <f>+B36</f>
        <v>CPc3</v>
      </c>
    </row>
    <row r="37" spans="3:17" ht="12.75">
      <c r="C37" s="3"/>
      <c r="D37" s="3"/>
      <c r="E37" s="3"/>
      <c r="F37" s="3"/>
      <c r="H37" s="3"/>
      <c r="I37" s="3"/>
      <c r="J37" s="3"/>
      <c r="K37" s="1"/>
      <c r="L37" s="2"/>
      <c r="M37" s="56"/>
      <c r="N37" s="28"/>
      <c r="O37" s="4"/>
      <c r="P37" s="2"/>
      <c r="Q37" s="29"/>
    </row>
    <row r="38" spans="1:17" ht="12.75">
      <c r="A38" s="111">
        <v>37224</v>
      </c>
      <c r="C38" t="s">
        <v>0</v>
      </c>
      <c r="D38" t="s">
        <v>1</v>
      </c>
      <c r="E38" t="s">
        <v>2</v>
      </c>
      <c r="F38" t="s">
        <v>3</v>
      </c>
      <c r="H38" t="s">
        <v>4</v>
      </c>
      <c r="I38" t="s">
        <v>5</v>
      </c>
      <c r="J38" t="s">
        <v>6</v>
      </c>
      <c r="K38" s="1"/>
      <c r="L38" t="s">
        <v>12</v>
      </c>
      <c r="M38" s="56" t="s">
        <v>228</v>
      </c>
      <c r="N38" s="28" t="s">
        <v>229</v>
      </c>
      <c r="O38" s="4"/>
      <c r="P38" s="2"/>
      <c r="Q38" s="29"/>
    </row>
    <row r="39" spans="1:17" ht="12.75">
      <c r="A39">
        <v>2</v>
      </c>
      <c r="B39" t="s">
        <v>37</v>
      </c>
      <c r="C39" s="3">
        <v>1278974.06726812</v>
      </c>
      <c r="D39" s="3">
        <v>778125</v>
      </c>
      <c r="E39" s="3">
        <v>1279603.06765394</v>
      </c>
      <c r="F39" s="3">
        <v>16.0535769188464</v>
      </c>
      <c r="H39" s="3">
        <v>1279587.01407702</v>
      </c>
      <c r="I39" s="3">
        <v>1282556.46821171</v>
      </c>
      <c r="J39" s="3">
        <v>1274778.71951563</v>
      </c>
      <c r="K39" s="61">
        <f>+C39/1000000</f>
        <v>1.2789740672681198</v>
      </c>
      <c r="L39" s="62">
        <f>+C39/D39</f>
        <v>1.6436614519108368</v>
      </c>
      <c r="M39" s="62">
        <f>+L80</f>
        <v>1.4856681142155823</v>
      </c>
      <c r="N39" s="112">
        <f>+L39-M39</f>
        <v>0.15799333769525448</v>
      </c>
      <c r="O39" s="4"/>
      <c r="P39" s="2"/>
      <c r="Q39" s="29"/>
    </row>
    <row r="40" spans="1:14" ht="12.75">
      <c r="A40">
        <v>1</v>
      </c>
      <c r="B40" t="s">
        <v>38</v>
      </c>
      <c r="C40" s="3">
        <v>638490.360625442</v>
      </c>
      <c r="D40" s="3">
        <v>476562.5</v>
      </c>
      <c r="E40" s="3">
        <v>638291.860270095</v>
      </c>
      <c r="F40" s="3">
        <v>385.630538024209</v>
      </c>
      <c r="H40" s="3">
        <v>637906.229732071</v>
      </c>
      <c r="I40" s="3">
        <v>638839.581837566</v>
      </c>
      <c r="J40" s="3">
        <v>638725.270306688</v>
      </c>
      <c r="K40" s="1">
        <f>+C40/1000000</f>
        <v>0.638490360625442</v>
      </c>
      <c r="L40" s="2">
        <f>+C40/D40</f>
        <v>1.3397830518042062</v>
      </c>
      <c r="M40" s="62">
        <f>+L81</f>
        <v>1.0883798564775973</v>
      </c>
      <c r="N40" s="112">
        <f>+L40-M40</f>
        <v>0.25140319532660893</v>
      </c>
    </row>
    <row r="41" spans="1:14" ht="12.75">
      <c r="A41">
        <v>1</v>
      </c>
      <c r="B41" t="s">
        <v>39</v>
      </c>
      <c r="C41" s="3">
        <v>-4291599.66680847</v>
      </c>
      <c r="D41" s="3">
        <v>-971562.5</v>
      </c>
      <c r="E41" s="3">
        <v>149.362091294188</v>
      </c>
      <c r="F41" s="3">
        <v>4298092.82330521</v>
      </c>
      <c r="H41" s="3">
        <v>-4297943.46121392</v>
      </c>
      <c r="I41" s="3">
        <v>-4282955.92516316</v>
      </c>
      <c r="J41" s="3">
        <v>-4293899.61404833</v>
      </c>
      <c r="K41" s="1">
        <f>+C41/1000000</f>
        <v>-4.29159966680847</v>
      </c>
      <c r="L41" s="2">
        <f>+C41/D41</f>
        <v>4.417214195492797</v>
      </c>
      <c r="M41" s="62">
        <f>+L82</f>
        <v>4.045451794662711</v>
      </c>
      <c r="N41" s="112">
        <f>+L41-M41</f>
        <v>0.37176240083008594</v>
      </c>
    </row>
    <row r="42" spans="3:13" ht="12.75">
      <c r="C42" s="3"/>
      <c r="D42" s="3"/>
      <c r="E42" s="3"/>
      <c r="F42" s="3"/>
      <c r="H42" s="3"/>
      <c r="I42" s="3"/>
      <c r="J42" s="3"/>
      <c r="M42" s="62"/>
    </row>
    <row r="43" spans="1:17" ht="12.75">
      <c r="A43">
        <v>4</v>
      </c>
      <c r="B43" t="s">
        <v>135</v>
      </c>
      <c r="C43" s="3">
        <v>284334.709518796</v>
      </c>
      <c r="D43" s="3">
        <v>341250</v>
      </c>
      <c r="E43" s="3">
        <v>283994.689408768</v>
      </c>
      <c r="F43" s="3">
        <v>248.719767723921</v>
      </c>
      <c r="H43" s="3">
        <v>283745.969641044</v>
      </c>
      <c r="I43" s="3">
        <v>284800.484402304</v>
      </c>
      <c r="J43" s="3">
        <v>284457.674513039</v>
      </c>
      <c r="K43" s="1">
        <f>+C43/1000000</f>
        <v>0.284334709518796</v>
      </c>
      <c r="L43" s="2">
        <f>+C43/D43</f>
        <v>0.8332152659891459</v>
      </c>
      <c r="M43" s="62">
        <f>+L84</f>
        <v>0.7239667693721085</v>
      </c>
      <c r="N43" s="112">
        <f>+L43-M43</f>
        <v>0.1092484966170374</v>
      </c>
      <c r="O43" s="4"/>
      <c r="P43" s="2"/>
      <c r="Q43" s="29"/>
    </row>
    <row r="44" spans="1:17" ht="12.75">
      <c r="A44">
        <v>3</v>
      </c>
      <c r="B44" t="s">
        <v>134</v>
      </c>
      <c r="C44" s="3">
        <v>287868.485842494</v>
      </c>
      <c r="D44" s="3">
        <v>389375</v>
      </c>
      <c r="E44" s="3">
        <v>289672.270365975</v>
      </c>
      <c r="F44" s="3">
        <v>846.607139576543</v>
      </c>
      <c r="H44" s="3">
        <v>288825.663226399</v>
      </c>
      <c r="I44" s="3">
        <v>284638.148219777</v>
      </c>
      <c r="J44" s="3">
        <v>290141.646081306</v>
      </c>
      <c r="K44" s="1">
        <f>+C44/1000000</f>
        <v>0.287868485842494</v>
      </c>
      <c r="L44" s="2">
        <f>+C44/D44</f>
        <v>0.7393091129181226</v>
      </c>
      <c r="M44" s="62">
        <f>+L85</f>
        <v>0.6503820328488064</v>
      </c>
      <c r="N44" s="112">
        <f>+L44-M44</f>
        <v>0.08892708006931627</v>
      </c>
      <c r="O44" s="4"/>
      <c r="P44" s="2"/>
      <c r="Q44" s="29"/>
    </row>
    <row r="45" spans="10:17" ht="12.75">
      <c r="J45" s="3"/>
      <c r="K45" s="1"/>
      <c r="L45" s="2"/>
      <c r="M45" s="56"/>
      <c r="N45" s="28"/>
      <c r="O45" s="4"/>
      <c r="P45" s="2"/>
      <c r="Q45" s="29"/>
    </row>
    <row r="47" s="15" customFormat="1" ht="12.75"/>
    <row r="49" ht="12.75">
      <c r="A49" s="5" t="s">
        <v>181</v>
      </c>
    </row>
    <row r="50" spans="3:17" ht="12.75">
      <c r="C50" t="s">
        <v>0</v>
      </c>
      <c r="D50" t="s">
        <v>1</v>
      </c>
      <c r="E50" t="s">
        <v>2</v>
      </c>
      <c r="F50" t="s">
        <v>3</v>
      </c>
      <c r="H50" t="s">
        <v>4</v>
      </c>
      <c r="I50" t="s">
        <v>5</v>
      </c>
      <c r="J50" t="s">
        <v>6</v>
      </c>
      <c r="K50" t="s">
        <v>11</v>
      </c>
      <c r="L50" t="s">
        <v>12</v>
      </c>
      <c r="M50" t="s">
        <v>93</v>
      </c>
      <c r="N50" t="s">
        <v>94</v>
      </c>
      <c r="O50" s="4" t="s">
        <v>95</v>
      </c>
      <c r="P50" t="s">
        <v>96</v>
      </c>
      <c r="Q50" t="s">
        <v>97</v>
      </c>
    </row>
    <row r="51" spans="1:18" ht="12.75">
      <c r="A51">
        <v>2</v>
      </c>
      <c r="B51" t="s">
        <v>37</v>
      </c>
      <c r="C51" s="3">
        <v>1212067.05324084</v>
      </c>
      <c r="D51" s="3">
        <v>778125</v>
      </c>
      <c r="E51" s="3">
        <v>1211711.20634787</v>
      </c>
      <c r="F51" s="3">
        <v>5.09403983183598E-05</v>
      </c>
      <c r="H51" s="3">
        <v>1211711.20629692</v>
      </c>
      <c r="I51" s="3">
        <v>1215838.14096564</v>
      </c>
      <c r="J51" s="3">
        <v>1208651.81245995</v>
      </c>
      <c r="K51" s="61">
        <f>+C51/1000000</f>
        <v>1.2120670532408402</v>
      </c>
      <c r="L51" s="62">
        <f>+C51/D51</f>
        <v>1.557676534285417</v>
      </c>
      <c r="M51" s="41">
        <f>+M31</f>
        <v>4999.452</v>
      </c>
      <c r="N51" s="63">
        <f>+D51/M51</f>
        <v>155.6420583695973</v>
      </c>
      <c r="O51" s="4">
        <v>0.5</v>
      </c>
      <c r="P51" s="62">
        <v>23.130067012440755</v>
      </c>
      <c r="Q51" s="29">
        <f>+SQRT((O51/L51)^2+(P51/N51)^2)*C51</f>
        <v>428736.5504427906</v>
      </c>
      <c r="R51" s="41" t="str">
        <f>+B51</f>
        <v>LBc2</v>
      </c>
    </row>
    <row r="52" spans="1:18" ht="12.75">
      <c r="A52">
        <v>1</v>
      </c>
      <c r="B52" t="s">
        <v>38</v>
      </c>
      <c r="C52" s="3">
        <v>574120.386762519</v>
      </c>
      <c r="D52" s="3">
        <v>476562.5</v>
      </c>
      <c r="E52" s="3">
        <v>572576.363677165</v>
      </c>
      <c r="F52" s="3">
        <v>0.000492078461514318</v>
      </c>
      <c r="H52" s="3">
        <v>572576.363185087</v>
      </c>
      <c r="I52" s="3">
        <v>574129.662192582</v>
      </c>
      <c r="J52" s="3">
        <v>575655.13490989</v>
      </c>
      <c r="K52" s="61">
        <f>+C52/1000000</f>
        <v>0.574120386762519</v>
      </c>
      <c r="L52" s="62">
        <f>+C52/D52</f>
        <v>1.2047116312393842</v>
      </c>
      <c r="M52">
        <f>+M32</f>
        <v>6302.447</v>
      </c>
      <c r="N52" s="63">
        <f>+D52/M52</f>
        <v>75.6154712606072</v>
      </c>
      <c r="O52" s="4">
        <v>0.5</v>
      </c>
      <c r="P52" s="62">
        <v>23.130067012440755</v>
      </c>
      <c r="Q52" s="29">
        <f>+SQRT((O52/L52)^2+(P52/N52)^2)*C52</f>
        <v>296006.1825708469</v>
      </c>
      <c r="R52" t="str">
        <f>+B52</f>
        <v>LBc1</v>
      </c>
    </row>
    <row r="53" spans="2:18" ht="12.75">
      <c r="B53" t="str">
        <f>+B33</f>
        <v>LBds</v>
      </c>
      <c r="C53" s="3">
        <f aca="true" t="shared" si="5" ref="C53:J53">+C33</f>
        <v>-4291599.66680847</v>
      </c>
      <c r="D53" s="3">
        <f t="shared" si="5"/>
        <v>-971562.5</v>
      </c>
      <c r="E53" s="3">
        <f t="shared" si="5"/>
        <v>149.362091294188</v>
      </c>
      <c r="F53" s="3">
        <f t="shared" si="5"/>
        <v>4298092.82330521</v>
      </c>
      <c r="G53" s="3"/>
      <c r="H53" s="3">
        <f t="shared" si="5"/>
        <v>-4297943.46121392</v>
      </c>
      <c r="I53" s="3">
        <f t="shared" si="5"/>
        <v>-4282955.92516316</v>
      </c>
      <c r="J53" s="3">
        <f t="shared" si="5"/>
        <v>-4293899.61404833</v>
      </c>
      <c r="K53" s="61">
        <f>+C53/1000000</f>
        <v>-4.29159966680847</v>
      </c>
      <c r="L53" s="62">
        <f>+C53/D53</f>
        <v>4.417214195492797</v>
      </c>
      <c r="M53" s="28">
        <f>+M33</f>
        <v>3380.29</v>
      </c>
      <c r="N53" s="63">
        <f>+D53/M53</f>
        <v>-287.4198663428286</v>
      </c>
      <c r="O53" s="4">
        <v>0.5</v>
      </c>
      <c r="P53" s="62">
        <v>23.130067012440755</v>
      </c>
      <c r="Q53" s="29">
        <f>+SQRT((O53/L53)^2+(P53/N53)^2)*C53</f>
        <v>-596037.7073541934</v>
      </c>
      <c r="R53" t="str">
        <f>+B53</f>
        <v>LBds</v>
      </c>
    </row>
    <row r="55" spans="1:18" ht="12.75">
      <c r="A55">
        <v>4</v>
      </c>
      <c r="B55" t="s">
        <v>135</v>
      </c>
      <c r="C55" s="3">
        <v>290486.171181716</v>
      </c>
      <c r="D55" s="3">
        <v>341250</v>
      </c>
      <c r="E55" s="3">
        <v>289700.744606245</v>
      </c>
      <c r="F55" s="3">
        <v>1.65291647295045E-05</v>
      </c>
      <c r="H55" s="3">
        <v>289700.744589716</v>
      </c>
      <c r="I55" s="3">
        <v>291491.177604351</v>
      </c>
      <c r="J55" s="3">
        <v>290266.591351082</v>
      </c>
      <c r="K55" s="61">
        <f>+C55/1000000</f>
        <v>0.29048617118171605</v>
      </c>
      <c r="L55" s="62">
        <f>+C55/D55</f>
        <v>0.851241527272428</v>
      </c>
      <c r="M55" s="56">
        <f>+M35</f>
        <v>4410.2</v>
      </c>
      <c r="N55" s="63">
        <f>+D55/M55</f>
        <v>77.37744319985488</v>
      </c>
      <c r="O55" s="4">
        <v>0.5</v>
      </c>
      <c r="P55" s="62">
        <v>23.130067012440755</v>
      </c>
      <c r="Q55" s="29">
        <f>+SQRT((O55/L55)^2+(P55/N55)^2)*C55</f>
        <v>191449.65570653768</v>
      </c>
      <c r="R55" t="str">
        <f>+B55</f>
        <v>CPc4</v>
      </c>
    </row>
    <row r="56" spans="1:18" ht="12.75">
      <c r="A56">
        <v>3</v>
      </c>
      <c r="B56" t="s">
        <v>134</v>
      </c>
      <c r="C56" s="3">
        <v>309312.743743059</v>
      </c>
      <c r="D56" s="3">
        <v>389375</v>
      </c>
      <c r="E56" s="3">
        <v>310280.750013798</v>
      </c>
      <c r="F56" s="3">
        <v>0.000417941456531624</v>
      </c>
      <c r="H56" s="3">
        <v>310280.749595856</v>
      </c>
      <c r="I56" s="3">
        <v>305921.451741777</v>
      </c>
      <c r="J56" s="3">
        <v>311736.029891542</v>
      </c>
      <c r="K56" s="61">
        <f>+C56/1000000</f>
        <v>0.309312743743059</v>
      </c>
      <c r="L56" s="62">
        <f>+C56/D56</f>
        <v>0.7943826484572943</v>
      </c>
      <c r="M56" s="56">
        <f>+M36</f>
        <v>5131.8</v>
      </c>
      <c r="N56" s="63">
        <f>+D56/M56</f>
        <v>75.87493666939476</v>
      </c>
      <c r="O56" s="4">
        <v>0.5</v>
      </c>
      <c r="P56" s="62">
        <v>23.130067012440755</v>
      </c>
      <c r="Q56" s="29">
        <f>+SQRT((O56/L56)^2+(P56/N56)^2)*C56</f>
        <v>216319.82332356836</v>
      </c>
      <c r="R56" t="str">
        <f>+B56</f>
        <v>CPc3</v>
      </c>
    </row>
    <row r="58" ht="12.75">
      <c r="A58" t="s">
        <v>133</v>
      </c>
    </row>
    <row r="59" spans="2:3" ht="12.75">
      <c r="B59" t="s">
        <v>37</v>
      </c>
      <c r="C59" s="88">
        <f>+(C31-C51)/C31*100</f>
        <v>5.231303412601066</v>
      </c>
    </row>
    <row r="60" spans="2:3" ht="12.75">
      <c r="B60" t="s">
        <v>38</v>
      </c>
      <c r="C60" s="88">
        <f>+(C32-C52)/C32*100</f>
        <v>10.081588984345588</v>
      </c>
    </row>
    <row r="61" spans="2:3" ht="12.75">
      <c r="B61" t="s">
        <v>39</v>
      </c>
      <c r="C61" s="88">
        <f>+(C33-C53)/C33*100</f>
        <v>0</v>
      </c>
    </row>
    <row r="62" ht="12.75">
      <c r="C62" s="88"/>
    </row>
    <row r="63" spans="2:24" ht="12.75">
      <c r="B63" t="s">
        <v>135</v>
      </c>
      <c r="C63" s="88">
        <f>+(C35-C55)/C35*100</f>
        <v>-2.1634578744644517</v>
      </c>
      <c r="Q63" s="3"/>
      <c r="R63" s="3"/>
      <c r="S63" s="3"/>
      <c r="T63" s="3"/>
      <c r="V63" s="3"/>
      <c r="W63" s="3"/>
      <c r="X63" s="3"/>
    </row>
    <row r="64" spans="2:24" ht="12.75">
      <c r="B64" t="s">
        <v>134</v>
      </c>
      <c r="C64" s="88">
        <f>+(C36-C56)/C36*100</f>
        <v>-7.4493245892494535</v>
      </c>
      <c r="Q64" s="3"/>
      <c r="R64" s="3"/>
      <c r="S64" s="3"/>
      <c r="T64" s="3"/>
      <c r="V64" s="3"/>
      <c r="W64" s="3"/>
      <c r="X64" s="3"/>
    </row>
    <row r="65" spans="17:24" ht="12.75">
      <c r="Q65" s="3"/>
      <c r="R65" s="3"/>
      <c r="S65" s="3"/>
      <c r="T65" s="3"/>
      <c r="V65" s="3"/>
      <c r="W65" s="3"/>
      <c r="X65" s="3"/>
    </row>
    <row r="66" spans="17:24" ht="12.75">
      <c r="Q66" s="3"/>
      <c r="R66" s="3"/>
      <c r="S66" s="3"/>
      <c r="T66" s="3"/>
      <c r="V66" s="3"/>
      <c r="W66" s="3"/>
      <c r="X66" s="3"/>
    </row>
    <row r="67" spans="1:24" ht="12.75">
      <c r="A67" s="111">
        <v>37224</v>
      </c>
      <c r="O67" s="4"/>
      <c r="Q67" s="3"/>
      <c r="R67" s="3"/>
      <c r="S67" s="3"/>
      <c r="T67" s="3"/>
      <c r="V67" s="3"/>
      <c r="W67" s="3"/>
      <c r="X67" s="3"/>
    </row>
    <row r="68" spans="3:24" ht="12.75">
      <c r="C68" t="s">
        <v>0</v>
      </c>
      <c r="D68" t="s">
        <v>1</v>
      </c>
      <c r="E68" t="s">
        <v>2</v>
      </c>
      <c r="F68" t="s">
        <v>3</v>
      </c>
      <c r="H68" t="s">
        <v>4</v>
      </c>
      <c r="I68" t="s">
        <v>5</v>
      </c>
      <c r="J68" t="s">
        <v>6</v>
      </c>
      <c r="K68" t="s">
        <v>11</v>
      </c>
      <c r="L68" t="s">
        <v>12</v>
      </c>
      <c r="Q68" s="3"/>
      <c r="R68" s="3"/>
      <c r="S68" s="3"/>
      <c r="T68" s="3"/>
      <c r="V68" s="3"/>
      <c r="W68" s="3"/>
      <c r="X68" s="3"/>
    </row>
    <row r="69" spans="2:14" ht="12.75">
      <c r="B69" t="s">
        <v>37</v>
      </c>
      <c r="C69" s="3">
        <v>1278974.06726812</v>
      </c>
      <c r="D69" s="3">
        <v>778125</v>
      </c>
      <c r="E69" s="3">
        <v>1279603.06765394</v>
      </c>
      <c r="F69" s="3">
        <v>16.0535769188464</v>
      </c>
      <c r="H69" s="3">
        <v>1279587.01407702</v>
      </c>
      <c r="I69" s="3">
        <v>1282556.46821171</v>
      </c>
      <c r="J69" s="3">
        <v>1274778.71951563</v>
      </c>
      <c r="K69" s="61">
        <f>+C69/1000000</f>
        <v>1.2789740672681198</v>
      </c>
      <c r="L69" s="62">
        <f>+C69/D69</f>
        <v>1.6436614519108368</v>
      </c>
      <c r="M69" s="41"/>
      <c r="N69" s="63"/>
    </row>
    <row r="70" spans="2:14" ht="12.75">
      <c r="B70" t="s">
        <v>38</v>
      </c>
      <c r="C70" s="3">
        <v>638490.360625442</v>
      </c>
      <c r="D70" s="3">
        <v>476562.5</v>
      </c>
      <c r="E70" s="3">
        <v>638291.860270095</v>
      </c>
      <c r="F70" s="3">
        <v>385.630538024209</v>
      </c>
      <c r="H70" s="3">
        <v>637906.229732071</v>
      </c>
      <c r="I70" s="3">
        <v>638839.581837566</v>
      </c>
      <c r="J70" s="3">
        <v>638725.270306688</v>
      </c>
      <c r="K70" s="1">
        <f>+C70/1000000</f>
        <v>0.638490360625442</v>
      </c>
      <c r="L70" s="2">
        <f>+C70/D70</f>
        <v>1.3397830518042062</v>
      </c>
      <c r="N70" s="28"/>
    </row>
    <row r="71" spans="2:14" ht="12.75">
      <c r="B71" t="s">
        <v>39</v>
      </c>
      <c r="C71" s="3">
        <v>-4291599.66680847</v>
      </c>
      <c r="D71" s="3">
        <v>-971562.5</v>
      </c>
      <c r="E71" s="3">
        <v>149.362091294188</v>
      </c>
      <c r="F71" s="3">
        <v>4298092.82330521</v>
      </c>
      <c r="H71" s="3">
        <v>-4297943.46121392</v>
      </c>
      <c r="I71" s="3">
        <v>-4282955.92516316</v>
      </c>
      <c r="J71" s="3">
        <v>-4293899.61404833</v>
      </c>
      <c r="K71" s="1">
        <f>+C71/1000000</f>
        <v>-4.29159966680847</v>
      </c>
      <c r="L71" s="2">
        <f>+C71/D71</f>
        <v>4.417214195492797</v>
      </c>
      <c r="M71" s="28"/>
      <c r="N71" s="28"/>
    </row>
    <row r="72" spans="3:10" ht="12.75">
      <c r="C72" s="3"/>
      <c r="D72" s="3"/>
      <c r="E72" s="3"/>
      <c r="F72" s="3"/>
      <c r="H72" s="3"/>
      <c r="I72" s="3"/>
      <c r="J72" s="3"/>
    </row>
    <row r="73" spans="2:14" ht="12.75">
      <c r="B73" t="s">
        <v>135</v>
      </c>
      <c r="C73" s="3">
        <v>284334.709518796</v>
      </c>
      <c r="D73" s="3">
        <v>341250</v>
      </c>
      <c r="E73" s="3">
        <v>283994.689408768</v>
      </c>
      <c r="F73" s="3">
        <v>248.719767723921</v>
      </c>
      <c r="H73" s="3">
        <v>283745.969641044</v>
      </c>
      <c r="I73" s="3">
        <v>284800.484402304</v>
      </c>
      <c r="J73" s="3">
        <v>284457.674513039</v>
      </c>
      <c r="K73" s="1">
        <f>+C73/1000000</f>
        <v>0.284334709518796</v>
      </c>
      <c r="L73" s="2">
        <f>+C73/D73</f>
        <v>0.8332152659891459</v>
      </c>
      <c r="M73" s="56"/>
      <c r="N73" s="28"/>
    </row>
    <row r="74" spans="2:14" ht="12.75">
      <c r="B74" t="s">
        <v>134</v>
      </c>
      <c r="C74" s="3">
        <v>287868.485842494</v>
      </c>
      <c r="D74" s="3">
        <v>389375</v>
      </c>
      <c r="E74" s="3">
        <v>289672.270365975</v>
      </c>
      <c r="F74" s="3">
        <v>846.607139576543</v>
      </c>
      <c r="H74" s="3">
        <v>288825.663226399</v>
      </c>
      <c r="I74" s="3">
        <v>284638.148219777</v>
      </c>
      <c r="J74" s="3">
        <v>290141.646081306</v>
      </c>
      <c r="K74" s="1">
        <f>+C74/1000000</f>
        <v>0.287868485842494</v>
      </c>
      <c r="L74" s="2">
        <f>+C74/D74</f>
        <v>0.7393091129181226</v>
      </c>
      <c r="M74" s="56"/>
      <c r="N74" s="28"/>
    </row>
    <row r="77" ht="12.75">
      <c r="A77" s="110"/>
    </row>
    <row r="78" spans="1:15" ht="12.75">
      <c r="A78" s="4" t="s">
        <v>205</v>
      </c>
      <c r="O78" s="4"/>
    </row>
    <row r="79" spans="3:21" ht="12.75">
      <c r="C79" t="s">
        <v>0</v>
      </c>
      <c r="D79" t="s">
        <v>1</v>
      </c>
      <c r="E79" t="s">
        <v>2</v>
      </c>
      <c r="F79" t="s">
        <v>3</v>
      </c>
      <c r="H79" t="s">
        <v>4</v>
      </c>
      <c r="I79" t="s">
        <v>5</v>
      </c>
      <c r="J79" t="s">
        <v>6</v>
      </c>
      <c r="K79" t="s">
        <v>11</v>
      </c>
      <c r="L79" t="s">
        <v>12</v>
      </c>
      <c r="O79" s="4"/>
      <c r="S79" s="3"/>
      <c r="T79" s="3"/>
      <c r="U79" s="3"/>
    </row>
    <row r="80" spans="2:21" ht="12.75">
      <c r="B80" t="s">
        <v>37</v>
      </c>
      <c r="C80" s="3">
        <v>1156035.501374</v>
      </c>
      <c r="D80" s="3">
        <v>778125</v>
      </c>
      <c r="E80" s="3">
        <v>1156560.98469941</v>
      </c>
      <c r="F80" s="3">
        <v>7.78741984073488</v>
      </c>
      <c r="H80" s="3">
        <v>1156553.19727957</v>
      </c>
      <c r="I80" s="3">
        <v>1159503.90501155</v>
      </c>
      <c r="J80" s="3">
        <v>1152049.40183088</v>
      </c>
      <c r="K80" s="61">
        <f>+C80/1000000</f>
        <v>1.156035501374</v>
      </c>
      <c r="L80" s="62">
        <f>+C80/D80</f>
        <v>1.4856681142155823</v>
      </c>
      <c r="M80" s="41"/>
      <c r="N80" s="63"/>
      <c r="O80" s="4"/>
      <c r="P80" s="62"/>
      <c r="Q80" s="29"/>
      <c r="R80" s="41"/>
      <c r="S80" s="3"/>
      <c r="T80" s="3"/>
      <c r="U80" s="3"/>
    </row>
    <row r="81" spans="2:21" ht="12.75">
      <c r="B81" t="s">
        <v>38</v>
      </c>
      <c r="C81" s="3">
        <v>518681.025352605</v>
      </c>
      <c r="D81" s="3">
        <v>476562.5</v>
      </c>
      <c r="E81" s="3">
        <v>517225.528459693</v>
      </c>
      <c r="F81" s="3">
        <v>103.802334214638</v>
      </c>
      <c r="H81" s="3">
        <v>517121.726125479</v>
      </c>
      <c r="I81" s="3">
        <v>518670.243852668</v>
      </c>
      <c r="J81" s="3">
        <v>520251.106079668</v>
      </c>
      <c r="K81" s="1">
        <f>+C81/1000000</f>
        <v>0.518681025352605</v>
      </c>
      <c r="L81" s="2">
        <f>+C81/D81</f>
        <v>1.0883798564775973</v>
      </c>
      <c r="N81" s="28"/>
      <c r="O81" s="4"/>
      <c r="P81" s="2"/>
      <c r="Q81" s="29"/>
      <c r="S81" s="3"/>
      <c r="T81" s="3"/>
      <c r="U81" s="3"/>
    </row>
    <row r="82" spans="2:17" ht="12.75">
      <c r="B82" t="s">
        <v>39</v>
      </c>
      <c r="C82" s="3">
        <v>-3930409.25925199</v>
      </c>
      <c r="D82" s="3">
        <v>-971562.5</v>
      </c>
      <c r="E82" s="3">
        <v>3936922.47480343</v>
      </c>
      <c r="F82" s="3">
        <v>249.390084779931</v>
      </c>
      <c r="H82" s="3">
        <v>3936673.08471864</v>
      </c>
      <c r="I82" s="3">
        <v>3922488.1264742</v>
      </c>
      <c r="J82" s="3">
        <v>3932066.56656313</v>
      </c>
      <c r="K82" s="1">
        <f>+C82/1000000</f>
        <v>-3.9304092592519897</v>
      </c>
      <c r="L82" s="2">
        <f>+C82/D82</f>
        <v>4.045451794662711</v>
      </c>
      <c r="M82" s="28"/>
      <c r="N82" s="28"/>
      <c r="O82" s="4"/>
      <c r="P82" s="2"/>
      <c r="Q82" s="29"/>
    </row>
    <row r="83" spans="15:21" ht="12.75">
      <c r="O83" s="4"/>
      <c r="S83" s="3"/>
      <c r="T83" s="3"/>
      <c r="U83" s="3"/>
    </row>
    <row r="84" spans="2:21" ht="12.75">
      <c r="B84" t="s">
        <v>135</v>
      </c>
      <c r="C84" s="3">
        <v>247053.660048232</v>
      </c>
      <c r="D84" s="3">
        <v>341250</v>
      </c>
      <c r="E84" s="3">
        <v>246506.340195721</v>
      </c>
      <c r="F84" s="3">
        <v>124.299516265616</v>
      </c>
      <c r="H84" s="3">
        <v>246382.040679455</v>
      </c>
      <c r="I84" s="3">
        <v>247614.493336943</v>
      </c>
      <c r="J84" s="3">
        <v>247164.446128299</v>
      </c>
      <c r="K84" s="1">
        <f>+C84/1000000</f>
        <v>0.247053660048232</v>
      </c>
      <c r="L84" s="2">
        <f>+C84/D84</f>
        <v>0.7239667693721085</v>
      </c>
      <c r="M84" s="56"/>
      <c r="N84" s="28"/>
      <c r="O84" s="4"/>
      <c r="P84" s="2"/>
      <c r="Q84" s="29"/>
      <c r="S84" s="3"/>
      <c r="T84" s="3"/>
      <c r="U84" s="3"/>
    </row>
    <row r="85" spans="2:17" ht="12.75">
      <c r="B85" t="s">
        <v>134</v>
      </c>
      <c r="C85" s="3">
        <v>253242.504040504</v>
      </c>
      <c r="D85" s="3">
        <v>389375</v>
      </c>
      <c r="E85" s="3">
        <v>254467.818068802</v>
      </c>
      <c r="F85" s="3">
        <v>385.236667931141</v>
      </c>
      <c r="H85" s="3">
        <v>254082.581400871</v>
      </c>
      <c r="I85" s="3">
        <v>250412.007172902</v>
      </c>
      <c r="J85" s="3">
        <v>255232.923547737</v>
      </c>
      <c r="K85" s="1">
        <f>+C85/1000000</f>
        <v>0.25324250404050397</v>
      </c>
      <c r="L85" s="2">
        <f>+C85/D85</f>
        <v>0.6503820328488064</v>
      </c>
      <c r="M85" s="56"/>
      <c r="N85" s="28"/>
      <c r="O85" s="4"/>
      <c r="P85" s="2"/>
      <c r="Q85" s="29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96"/>
  <sheetViews>
    <sheetView zoomScale="75" zoomScaleNormal="75" workbookViewId="0" topLeftCell="A33">
      <selection activeCell="C69" sqref="C69"/>
    </sheetView>
  </sheetViews>
  <sheetFormatPr defaultColWidth="9.140625" defaultRowHeight="12.75"/>
  <cols>
    <col min="1" max="1" width="10.140625" style="0" bestFit="1" customWidth="1"/>
    <col min="2" max="2" width="14.00390625" style="0" customWidth="1"/>
    <col min="3" max="3" width="13.421875" style="0" customWidth="1"/>
    <col min="4" max="4" width="10.00390625" style="0" bestFit="1" customWidth="1"/>
    <col min="5" max="5" width="9.8515625" style="0" customWidth="1"/>
    <col min="6" max="6" width="10.140625" style="0" customWidth="1"/>
    <col min="7" max="8" width="10.8515625" style="0" customWidth="1"/>
    <col min="9" max="9" width="11.00390625" style="0" customWidth="1"/>
    <col min="10" max="10" width="10.8515625" style="0" customWidth="1"/>
    <col min="11" max="12" width="10.28125" style="0" customWidth="1"/>
    <col min="13" max="13" width="12.421875" style="0" bestFit="1" customWidth="1"/>
    <col min="14" max="14" width="10.7109375" style="0" bestFit="1" customWidth="1"/>
    <col min="15" max="15" width="13.8515625" style="0" customWidth="1"/>
    <col min="17" max="17" width="10.140625" style="0" customWidth="1"/>
    <col min="18" max="18" width="11.28125" style="0" customWidth="1"/>
    <col min="19" max="19" width="10.421875" style="0" customWidth="1"/>
    <col min="20" max="20" width="11.57421875" style="0" customWidth="1"/>
    <col min="21" max="21" width="10.140625" style="0" bestFit="1" customWidth="1"/>
    <col min="22" max="22" width="13.421875" style="0" customWidth="1"/>
    <col min="23" max="23" width="14.28125" style="0" customWidth="1"/>
    <col min="24" max="24" width="10.7109375" style="0" customWidth="1"/>
  </cols>
  <sheetData>
    <row r="1" spans="13:19" ht="12.75">
      <c r="M1" t="s">
        <v>65</v>
      </c>
      <c r="O1" t="s">
        <v>66</v>
      </c>
      <c r="R1" t="s">
        <v>59</v>
      </c>
      <c r="S1" t="s">
        <v>61</v>
      </c>
    </row>
    <row r="2" spans="3:16" ht="12.75">
      <c r="C2" t="s">
        <v>0</v>
      </c>
      <c r="D2" t="s">
        <v>1</v>
      </c>
      <c r="E2" t="s">
        <v>2</v>
      </c>
      <c r="F2" t="s">
        <v>3</v>
      </c>
      <c r="H2" t="s">
        <v>4</v>
      </c>
      <c r="I2" t="s">
        <v>5</v>
      </c>
      <c r="J2" t="s">
        <v>6</v>
      </c>
      <c r="K2" t="s">
        <v>11</v>
      </c>
      <c r="L2" t="s">
        <v>12</v>
      </c>
      <c r="M2" s="4">
        <v>1958</v>
      </c>
      <c r="N2" s="4">
        <v>1998</v>
      </c>
      <c r="O2" s="4">
        <v>1926</v>
      </c>
      <c r="P2" s="4">
        <v>1958</v>
      </c>
    </row>
    <row r="4" spans="1:20" ht="12.75">
      <c r="A4">
        <v>2</v>
      </c>
      <c r="B4" t="s">
        <v>121</v>
      </c>
      <c r="C4" s="3">
        <v>-118387000</v>
      </c>
      <c r="D4">
        <v>98580336</v>
      </c>
      <c r="E4" s="3">
        <v>134339</v>
      </c>
      <c r="F4" s="3">
        <v>118519000</v>
      </c>
      <c r="H4" s="3">
        <v>-118385000</v>
      </c>
      <c r="I4" s="3">
        <v>-118391000</v>
      </c>
      <c r="J4" s="3">
        <v>-118385000</v>
      </c>
      <c r="K4" s="1">
        <f aca="true" t="shared" si="0" ref="K4:K11">+C4/1000000</f>
        <v>-118.387</v>
      </c>
      <c r="L4" s="2">
        <f aca="true" t="shared" si="1" ref="L4:L11">+C4/D4</f>
        <v>-1.2009190149240312</v>
      </c>
      <c r="M4">
        <v>0.5</v>
      </c>
      <c r="O4" s="3">
        <f aca="true" t="shared" si="2" ref="O4:O11">+D4*M4</f>
        <v>49290168</v>
      </c>
      <c r="P4" s="3">
        <f aca="true" t="shared" si="3" ref="P4:P11">+$D4*N4</f>
        <v>0</v>
      </c>
      <c r="R4" s="3">
        <f aca="true" t="shared" si="4" ref="R4:R13">SUM(O4:P4)</f>
        <v>49290168</v>
      </c>
      <c r="S4" s="3">
        <f aca="true" t="shared" si="5" ref="S4:S13">+SQRT(O4^2+P4^2)</f>
        <v>49290168</v>
      </c>
      <c r="T4" t="str">
        <f aca="true" t="shared" si="6" ref="T4:T13">+B4</f>
        <v>CPc5_off</v>
      </c>
    </row>
    <row r="5" spans="1:20" ht="12.75">
      <c r="A5">
        <v>3</v>
      </c>
      <c r="B5" t="s">
        <v>75</v>
      </c>
      <c r="C5" s="3">
        <v>-37083333.3333333</v>
      </c>
      <c r="D5">
        <v>23218400</v>
      </c>
      <c r="E5" s="3">
        <v>13132500</v>
      </c>
      <c r="F5" s="3">
        <v>50219000</v>
      </c>
      <c r="H5" s="3">
        <v>-37086500</v>
      </c>
      <c r="I5" s="3">
        <v>-37091200</v>
      </c>
      <c r="J5" s="3">
        <v>-37072300</v>
      </c>
      <c r="K5" s="1">
        <f t="shared" si="0"/>
        <v>-37.0833333333333</v>
      </c>
      <c r="L5" s="2">
        <f t="shared" si="1"/>
        <v>-1.5971528328107578</v>
      </c>
      <c r="M5">
        <v>0.5</v>
      </c>
      <c r="O5" s="3">
        <f t="shared" si="2"/>
        <v>11609200</v>
      </c>
      <c r="P5" s="3">
        <f t="shared" si="3"/>
        <v>0</v>
      </c>
      <c r="R5" s="3">
        <f t="shared" si="4"/>
        <v>11609200</v>
      </c>
      <c r="S5" s="3">
        <f t="shared" si="5"/>
        <v>11609200</v>
      </c>
      <c r="T5" t="str">
        <f t="shared" si="6"/>
        <v>inlet</v>
      </c>
    </row>
    <row r="6" spans="1:20" ht="12.75">
      <c r="A6">
        <v>4</v>
      </c>
      <c r="B6" t="s">
        <v>76</v>
      </c>
      <c r="C6" s="3">
        <v>-68484900</v>
      </c>
      <c r="D6">
        <v>43465970</v>
      </c>
      <c r="E6" s="3">
        <v>1862580</v>
      </c>
      <c r="F6" s="3">
        <v>70344500</v>
      </c>
      <c r="H6" s="3">
        <v>-68482000</v>
      </c>
      <c r="I6" s="3">
        <v>-68487600</v>
      </c>
      <c r="J6" s="3">
        <v>-68485100</v>
      </c>
      <c r="K6" s="1">
        <f t="shared" si="0"/>
        <v>-68.4849</v>
      </c>
      <c r="L6" s="2">
        <f t="shared" si="1"/>
        <v>-1.5755981058285367</v>
      </c>
      <c r="M6">
        <v>0.5</v>
      </c>
      <c r="O6" s="3">
        <f t="shared" si="2"/>
        <v>21732985</v>
      </c>
      <c r="P6" s="3">
        <f t="shared" si="3"/>
        <v>0</v>
      </c>
      <c r="R6" s="3">
        <f t="shared" si="4"/>
        <v>21732985</v>
      </c>
      <c r="S6" s="3">
        <f t="shared" si="5"/>
        <v>21732985</v>
      </c>
      <c r="T6" t="str">
        <f t="shared" si="6"/>
        <v>innerdelta</v>
      </c>
    </row>
    <row r="7" spans="1:20" ht="12.75">
      <c r="A7">
        <v>5</v>
      </c>
      <c r="B7" t="s">
        <v>77</v>
      </c>
      <c r="C7" s="3">
        <v>33022700</v>
      </c>
      <c r="D7">
        <v>18410348</v>
      </c>
      <c r="E7" s="3">
        <v>33038200</v>
      </c>
      <c r="F7" s="3">
        <v>15062</v>
      </c>
      <c r="H7" s="3">
        <v>33023100</v>
      </c>
      <c r="I7" s="3">
        <v>33016700</v>
      </c>
      <c r="J7" s="3">
        <v>33028300</v>
      </c>
      <c r="K7" s="1">
        <f t="shared" si="0"/>
        <v>33.0227</v>
      </c>
      <c r="L7" s="2">
        <f t="shared" si="1"/>
        <v>1.7937031934431658</v>
      </c>
      <c r="M7">
        <v>0.5</v>
      </c>
      <c r="O7" s="3">
        <f t="shared" si="2"/>
        <v>9205174</v>
      </c>
      <c r="P7" s="3">
        <f t="shared" si="3"/>
        <v>0</v>
      </c>
      <c r="R7" s="3">
        <f t="shared" si="4"/>
        <v>9205174</v>
      </c>
      <c r="S7" s="3">
        <f t="shared" si="5"/>
        <v>9205174</v>
      </c>
      <c r="T7" t="str">
        <f t="shared" si="6"/>
        <v>outerdelta</v>
      </c>
    </row>
    <row r="8" spans="1:20" ht="12.75">
      <c r="A8">
        <v>6</v>
      </c>
      <c r="B8" t="s">
        <v>122</v>
      </c>
      <c r="C8" s="3">
        <v>6295010</v>
      </c>
      <c r="D8">
        <v>3007188.3</v>
      </c>
      <c r="E8" s="3">
        <v>6301850</v>
      </c>
      <c r="F8" s="3">
        <v>6761.42</v>
      </c>
      <c r="H8" s="3">
        <v>6295080</v>
      </c>
      <c r="I8" s="3">
        <v>6295050</v>
      </c>
      <c r="J8" s="3">
        <v>6294900</v>
      </c>
      <c r="K8" s="1">
        <f t="shared" si="0"/>
        <v>6.29501</v>
      </c>
      <c r="L8" s="2">
        <f t="shared" si="1"/>
        <v>2.0933208605526965</v>
      </c>
      <c r="M8">
        <v>0.5</v>
      </c>
      <c r="O8" s="3">
        <f t="shared" si="2"/>
        <v>1503594.15</v>
      </c>
      <c r="P8" s="3">
        <f t="shared" si="3"/>
        <v>0</v>
      </c>
      <c r="R8" s="3">
        <f t="shared" si="4"/>
        <v>1503594.15</v>
      </c>
      <c r="S8" s="3">
        <f t="shared" si="5"/>
        <v>1503594.15</v>
      </c>
      <c r="T8" t="str">
        <f t="shared" si="6"/>
        <v>dispA</v>
      </c>
    </row>
    <row r="9" spans="1:20" ht="12.75">
      <c r="A9">
        <v>7</v>
      </c>
      <c r="B9" t="s">
        <v>123</v>
      </c>
      <c r="C9" s="3">
        <v>38575166.6666667</v>
      </c>
      <c r="D9">
        <v>9531558</v>
      </c>
      <c r="E9" s="3">
        <v>38619500</v>
      </c>
      <c r="F9" s="3">
        <v>44811</v>
      </c>
      <c r="H9" s="3">
        <v>38574700</v>
      </c>
      <c r="I9" s="3">
        <v>38581200</v>
      </c>
      <c r="J9" s="3">
        <v>38569600</v>
      </c>
      <c r="K9" s="1">
        <f t="shared" si="0"/>
        <v>38.5751666666667</v>
      </c>
      <c r="L9" s="2">
        <f t="shared" si="1"/>
        <v>4.0470998200574035</v>
      </c>
      <c r="M9">
        <v>0.5</v>
      </c>
      <c r="O9" s="3">
        <f t="shared" si="2"/>
        <v>4765779</v>
      </c>
      <c r="P9" s="3">
        <f t="shared" si="3"/>
        <v>0</v>
      </c>
      <c r="R9" s="3">
        <f t="shared" si="4"/>
        <v>4765779</v>
      </c>
      <c r="S9" s="3">
        <f t="shared" si="5"/>
        <v>4765779</v>
      </c>
      <c r="T9" t="str">
        <f t="shared" si="6"/>
        <v>dispB</v>
      </c>
    </row>
    <row r="10" spans="1:20" ht="12.75">
      <c r="A10">
        <v>8</v>
      </c>
      <c r="B10" t="s">
        <v>124</v>
      </c>
      <c r="C10" s="3">
        <v>2669200</v>
      </c>
      <c r="D10">
        <v>2354059.7</v>
      </c>
      <c r="E10" s="3">
        <v>2674780</v>
      </c>
      <c r="F10" s="3">
        <v>5508.48</v>
      </c>
      <c r="H10" s="3">
        <v>2669270</v>
      </c>
      <c r="I10" s="3">
        <v>2668930</v>
      </c>
      <c r="J10" s="3">
        <v>2669400</v>
      </c>
      <c r="K10" s="1">
        <f t="shared" si="0"/>
        <v>2.6692</v>
      </c>
      <c r="L10" s="2">
        <f t="shared" si="1"/>
        <v>1.1338709889133227</v>
      </c>
      <c r="M10">
        <v>0.5</v>
      </c>
      <c r="O10" s="3">
        <f t="shared" si="2"/>
        <v>1177029.85</v>
      </c>
      <c r="P10" s="3">
        <f t="shared" si="3"/>
        <v>0</v>
      </c>
      <c r="R10" s="3">
        <f t="shared" si="4"/>
        <v>1177029.85</v>
      </c>
      <c r="S10" s="3">
        <f t="shared" si="5"/>
        <v>1177029.85</v>
      </c>
      <c r="T10" t="str">
        <f t="shared" si="6"/>
        <v>dispF</v>
      </c>
    </row>
    <row r="11" spans="1:20" ht="12.75">
      <c r="A11">
        <v>9</v>
      </c>
      <c r="B11" t="s">
        <v>125</v>
      </c>
      <c r="C11" s="3">
        <v>-19285633.3333333</v>
      </c>
      <c r="D11">
        <v>97008100</v>
      </c>
      <c r="E11" s="3">
        <v>10984200</v>
      </c>
      <c r="F11" s="3">
        <v>30268700</v>
      </c>
      <c r="H11" s="3">
        <v>-19284500</v>
      </c>
      <c r="I11" s="3">
        <v>-19292300</v>
      </c>
      <c r="J11" s="3">
        <v>-19280100</v>
      </c>
      <c r="K11" s="1">
        <f t="shared" si="0"/>
        <v>-19.285633333333298</v>
      </c>
      <c r="L11" s="2">
        <f t="shared" si="1"/>
        <v>-0.19880436101040325</v>
      </c>
      <c r="M11">
        <v>0.5</v>
      </c>
      <c r="O11" s="3">
        <f t="shared" si="2"/>
        <v>48504050</v>
      </c>
      <c r="P11" s="3">
        <f t="shared" si="3"/>
        <v>0</v>
      </c>
      <c r="R11" s="3">
        <f t="shared" si="4"/>
        <v>48504050</v>
      </c>
      <c r="S11" s="3">
        <f t="shared" si="5"/>
        <v>48504050</v>
      </c>
      <c r="T11" t="str">
        <f t="shared" si="6"/>
        <v>off_north</v>
      </c>
    </row>
    <row r="12" spans="1:20" ht="12.75">
      <c r="A12">
        <v>12</v>
      </c>
      <c r="B12" t="s">
        <v>71</v>
      </c>
      <c r="C12" s="3">
        <v>13514666.6666667</v>
      </c>
      <c r="D12">
        <v>21537850</v>
      </c>
      <c r="E12" s="3">
        <v>13883600</v>
      </c>
      <c r="F12" s="3">
        <v>372739</v>
      </c>
      <c r="H12" s="3">
        <v>13510900</v>
      </c>
      <c r="I12" s="3">
        <v>13521800</v>
      </c>
      <c r="J12" s="3">
        <v>13511300</v>
      </c>
      <c r="K12" s="1">
        <f>+C12/1000000</f>
        <v>13.514666666666699</v>
      </c>
      <c r="L12" s="2">
        <f>+C12/D12</f>
        <v>0.6274844827439461</v>
      </c>
      <c r="M12">
        <v>0.5</v>
      </c>
      <c r="O12" s="3">
        <f>+D12*M12</f>
        <v>10768925</v>
      </c>
      <c r="P12" s="3">
        <f>+$D12*N12</f>
        <v>0</v>
      </c>
      <c r="R12" s="3">
        <f t="shared" si="4"/>
        <v>10768925</v>
      </c>
      <c r="S12" s="3">
        <f t="shared" si="5"/>
        <v>10768925</v>
      </c>
      <c r="T12" t="str">
        <f t="shared" si="6"/>
        <v>LBc1_off</v>
      </c>
    </row>
    <row r="13" spans="1:20" ht="12.75">
      <c r="A13">
        <v>13</v>
      </c>
      <c r="B13" t="s">
        <v>72</v>
      </c>
      <c r="C13" s="3">
        <v>8940770</v>
      </c>
      <c r="D13">
        <v>15223720</v>
      </c>
      <c r="E13" s="3">
        <v>9128200</v>
      </c>
      <c r="F13" s="3">
        <v>188583</v>
      </c>
      <c r="H13" s="3">
        <v>8939610</v>
      </c>
      <c r="I13" s="3">
        <v>8954780</v>
      </c>
      <c r="J13" s="3">
        <v>8927920</v>
      </c>
      <c r="K13" s="1">
        <f>+C13/1000000</f>
        <v>8.94077</v>
      </c>
      <c r="L13" s="2">
        <f>+C13/D13</f>
        <v>0.5872920679045595</v>
      </c>
      <c r="M13">
        <v>0.5</v>
      </c>
      <c r="O13" s="3">
        <f>+D13*M13</f>
        <v>7611860</v>
      </c>
      <c r="P13" s="3">
        <f>+$D13*N13</f>
        <v>0</v>
      </c>
      <c r="R13" s="3">
        <f t="shared" si="4"/>
        <v>7611860</v>
      </c>
      <c r="S13" s="3">
        <f t="shared" si="5"/>
        <v>7611860</v>
      </c>
      <c r="T13" t="str">
        <f t="shared" si="6"/>
        <v>LBc2_off</v>
      </c>
    </row>
    <row r="14" spans="3:18" ht="12.75">
      <c r="C14" s="3"/>
      <c r="E14" s="3"/>
      <c r="F14" s="3"/>
      <c r="H14" s="3"/>
      <c r="I14" s="3"/>
      <c r="J14" s="3"/>
      <c r="K14" s="1"/>
      <c r="L14" s="2"/>
      <c r="O14" s="3"/>
      <c r="P14" s="3"/>
      <c r="Q14" s="3"/>
      <c r="R14" s="3"/>
    </row>
    <row r="15" spans="15:19" ht="12.75">
      <c r="O15" t="s">
        <v>98</v>
      </c>
      <c r="P15" t="s">
        <v>93</v>
      </c>
      <c r="Q15" t="s">
        <v>99</v>
      </c>
      <c r="R15" t="s">
        <v>96</v>
      </c>
      <c r="S15" s="31" t="s">
        <v>100</v>
      </c>
    </row>
    <row r="16" spans="1:20" ht="12.75">
      <c r="A16">
        <v>11</v>
      </c>
      <c r="B16" t="s">
        <v>126</v>
      </c>
      <c r="C16" s="3">
        <v>14605166.6666667</v>
      </c>
      <c r="D16">
        <v>9967495</v>
      </c>
      <c r="E16" s="3">
        <v>15759100</v>
      </c>
      <c r="F16" s="3">
        <v>1156850</v>
      </c>
      <c r="H16" s="3">
        <v>14602300</v>
      </c>
      <c r="I16" s="3">
        <v>14627400</v>
      </c>
      <c r="J16" s="3">
        <v>14585800</v>
      </c>
      <c r="K16" s="1">
        <f>+C16/1000000</f>
        <v>14.6051666666667</v>
      </c>
      <c r="L16" s="2">
        <f>+C16/D16</f>
        <v>1.4652795578695248</v>
      </c>
      <c r="M16">
        <v>0.5</v>
      </c>
      <c r="O16" s="2">
        <f>+SQRT(M16^2+N16^2)</f>
        <v>0.5</v>
      </c>
      <c r="P16">
        <v>4999.452</v>
      </c>
      <c r="Q16" s="2">
        <f>+D16/P16</f>
        <v>1993.7175114392537</v>
      </c>
      <c r="R16" s="2">
        <v>23.130067012440755</v>
      </c>
      <c r="S16" s="29">
        <f>+SQRT((R16/Q16)^2+(O16/L16)^2)*C16</f>
        <v>4986627.073016471</v>
      </c>
      <c r="T16" t="str">
        <f>+B16</f>
        <v>LBc2_near</v>
      </c>
    </row>
    <row r="17" spans="1:20" ht="12.75">
      <c r="A17">
        <v>10</v>
      </c>
      <c r="B17" t="s">
        <v>127</v>
      </c>
      <c r="C17" s="3">
        <v>9832636.66666667</v>
      </c>
      <c r="D17">
        <v>10435940</v>
      </c>
      <c r="E17" s="3">
        <v>12881300</v>
      </c>
      <c r="F17" s="3">
        <v>3047120</v>
      </c>
      <c r="H17" s="3">
        <v>9834180</v>
      </c>
      <c r="I17" s="3">
        <v>9838360</v>
      </c>
      <c r="J17" s="3">
        <v>9825370</v>
      </c>
      <c r="K17" s="1">
        <f>+C17/1000000</f>
        <v>9.83263666666667</v>
      </c>
      <c r="L17" s="2">
        <f>+C17/D17</f>
        <v>0.9421898426655069</v>
      </c>
      <c r="M17">
        <v>0.5</v>
      </c>
      <c r="O17" s="2">
        <f>+SQRT(M17^2+N17^2)</f>
        <v>0.5</v>
      </c>
      <c r="P17">
        <v>6302.447</v>
      </c>
      <c r="Q17" s="2">
        <f>+D17/P17</f>
        <v>1655.8552574896703</v>
      </c>
      <c r="R17" s="2">
        <v>23.130067012440755</v>
      </c>
      <c r="S17" s="29">
        <f>+SQRT((R17/Q17)^2+(O17/L17)^2)*C17</f>
        <v>5219777.349910892</v>
      </c>
      <c r="T17" t="str">
        <f>+B17</f>
        <v>LBc1_near</v>
      </c>
    </row>
    <row r="18" spans="1:20" ht="12.75">
      <c r="A18">
        <v>1</v>
      </c>
      <c r="B18" t="s">
        <v>128</v>
      </c>
      <c r="C18" s="3">
        <v>-16704300</v>
      </c>
      <c r="D18">
        <v>16655274</v>
      </c>
      <c r="E18" s="3">
        <v>347996</v>
      </c>
      <c r="F18" s="3">
        <v>17052000</v>
      </c>
      <c r="H18" s="3">
        <v>-16704000</v>
      </c>
      <c r="I18" s="3">
        <v>-16704300</v>
      </c>
      <c r="J18" s="3">
        <v>-16704600</v>
      </c>
      <c r="K18" s="1">
        <f>+C18/1000000</f>
        <v>-16.7043</v>
      </c>
      <c r="L18" s="2">
        <f>+C18/D18</f>
        <v>-1.0029435721081503</v>
      </c>
      <c r="M18">
        <v>0.5</v>
      </c>
      <c r="O18" s="2">
        <f>+SQRT(M18^2+N18^2)</f>
        <v>0.5</v>
      </c>
      <c r="P18" s="28">
        <v>4222.055</v>
      </c>
      <c r="Q18" s="2">
        <f>+D18/P18</f>
        <v>3944.8263937821744</v>
      </c>
      <c r="R18" s="2">
        <v>23.130067012440755</v>
      </c>
      <c r="S18" s="29">
        <f>+SQRT((R18/Q18)^2+(O18/L18)^2)*C18</f>
        <v>-8328212.953940358</v>
      </c>
      <c r="T18" t="str">
        <f>+B18</f>
        <v>CPDn_near</v>
      </c>
    </row>
    <row r="21" spans="2:12" ht="12.75">
      <c r="B21" t="s">
        <v>102</v>
      </c>
      <c r="C21" s="3">
        <f>+C4+C18</f>
        <v>-135091300</v>
      </c>
      <c r="D21">
        <f>+D4+D18</f>
        <v>115235610</v>
      </c>
      <c r="L21" s="2">
        <f>+C21/D21</f>
        <v>-1.172305158101736</v>
      </c>
    </row>
    <row r="24" spans="13:19" ht="12.75">
      <c r="M24" t="s">
        <v>65</v>
      </c>
      <c r="O24" t="s">
        <v>66</v>
      </c>
      <c r="R24" t="s">
        <v>59</v>
      </c>
      <c r="S24" t="s">
        <v>61</v>
      </c>
    </row>
    <row r="25" spans="1:16" ht="12.75">
      <c r="A25" s="31" t="s">
        <v>206</v>
      </c>
      <c r="C25" t="s">
        <v>0</v>
      </c>
      <c r="D25" t="s">
        <v>1</v>
      </c>
      <c r="E25" t="s">
        <v>2</v>
      </c>
      <c r="F25" t="s">
        <v>3</v>
      </c>
      <c r="G25" t="s">
        <v>4</v>
      </c>
      <c r="H25" t="s">
        <v>5</v>
      </c>
      <c r="I25" t="s">
        <v>6</v>
      </c>
      <c r="L25" s="4" t="s">
        <v>203</v>
      </c>
      <c r="M25" s="4">
        <v>1958</v>
      </c>
      <c r="N25" s="4">
        <v>1998</v>
      </c>
      <c r="O25" s="4">
        <v>1958</v>
      </c>
      <c r="P25" s="4">
        <v>1998</v>
      </c>
    </row>
    <row r="26" spans="1:20" ht="12.75">
      <c r="A26">
        <v>1</v>
      </c>
      <c r="B26" t="s">
        <v>129</v>
      </c>
      <c r="C26" s="3">
        <f aca="true" t="shared" si="7" ref="C26:I36">+C50</f>
        <v>-30268186.8055551</v>
      </c>
      <c r="D26" s="3">
        <f t="shared" si="7"/>
        <v>41350000</v>
      </c>
      <c r="E26" s="3">
        <f t="shared" si="7"/>
        <v>1928379.30670712</v>
      </c>
      <c r="F26" s="3">
        <f t="shared" si="7"/>
        <v>32192974.8407498</v>
      </c>
      <c r="G26" s="3">
        <f t="shared" si="7"/>
        <v>-30264595.5340424</v>
      </c>
      <c r="H26" s="3">
        <f t="shared" si="7"/>
        <v>-30273086.2184039</v>
      </c>
      <c r="I26" s="3">
        <f t="shared" si="7"/>
        <v>-30266878.6642191</v>
      </c>
      <c r="L26" s="2">
        <f>+C26/D26</f>
        <v>-0.731999680908225</v>
      </c>
      <c r="M26">
        <v>0.5</v>
      </c>
      <c r="N26">
        <v>0.5</v>
      </c>
      <c r="O26" s="3">
        <f>+D26*M26</f>
        <v>20675000</v>
      </c>
      <c r="P26" s="3">
        <f aca="true" t="shared" si="8" ref="P26:P36">+$D26*N26</f>
        <v>20675000</v>
      </c>
      <c r="R26" s="3">
        <f aca="true" t="shared" si="9" ref="R26:R36">SUM(O26:P26)</f>
        <v>41350000</v>
      </c>
      <c r="S26" s="3">
        <f aca="true" t="shared" si="10" ref="S26:S36">+SQRT(O26^2+P26^2)</f>
        <v>29238865.40206374</v>
      </c>
      <c r="T26" t="str">
        <f aca="true" t="shared" si="11" ref="T26:T36">+B26</f>
        <v>CPdn_off</v>
      </c>
    </row>
    <row r="27" spans="1:20" ht="12.75">
      <c r="A27">
        <v>4</v>
      </c>
      <c r="B27" t="s">
        <v>74</v>
      </c>
      <c r="C27" s="3">
        <f t="shared" si="7"/>
        <v>-25838772.9561818</v>
      </c>
      <c r="D27" s="3">
        <f t="shared" si="7"/>
        <v>130432187.5</v>
      </c>
      <c r="E27" s="3">
        <f t="shared" si="7"/>
        <v>10711589.0939807</v>
      </c>
      <c r="F27" s="3">
        <f t="shared" si="7"/>
        <v>36550775.1072928</v>
      </c>
      <c r="G27" s="3">
        <f t="shared" si="7"/>
        <v>-25839186.013312</v>
      </c>
      <c r="H27" s="3">
        <f t="shared" si="7"/>
        <v>-25834452.1951057</v>
      </c>
      <c r="I27" s="3">
        <f t="shared" si="7"/>
        <v>-25842680.6601277</v>
      </c>
      <c r="L27" s="2">
        <f aca="true" t="shared" si="12" ref="L27:L32">+C27/D27</f>
        <v>-0.1981012007191998</v>
      </c>
      <c r="M27">
        <v>0.5</v>
      </c>
      <c r="N27">
        <v>0.5</v>
      </c>
      <c r="O27" s="3">
        <f aca="true" t="shared" si="13" ref="O27:O32">+D27*M27</f>
        <v>65216093.75</v>
      </c>
      <c r="P27" s="3">
        <f t="shared" si="8"/>
        <v>65216093.75</v>
      </c>
      <c r="R27" s="3">
        <f t="shared" si="9"/>
        <v>130432187.5</v>
      </c>
      <c r="S27" s="3">
        <f t="shared" si="10"/>
        <v>92229484.26624525</v>
      </c>
      <c r="T27" t="str">
        <f t="shared" si="11"/>
        <v>CP_off</v>
      </c>
    </row>
    <row r="28" spans="1:20" ht="12.75">
      <c r="A28">
        <v>5</v>
      </c>
      <c r="B28" t="s">
        <v>76</v>
      </c>
      <c r="C28" s="3">
        <f t="shared" si="7"/>
        <v>-47071388.7968463</v>
      </c>
      <c r="D28" s="3">
        <f t="shared" si="7"/>
        <v>43465937.5000001</v>
      </c>
      <c r="E28" s="3">
        <f t="shared" si="7"/>
        <v>4981560.64949156</v>
      </c>
      <c r="F28" s="3">
        <f t="shared" si="7"/>
        <v>52049502.0173371</v>
      </c>
      <c r="G28" s="3">
        <f t="shared" si="7"/>
        <v>-47067941.3678453</v>
      </c>
      <c r="H28" s="3">
        <f t="shared" si="7"/>
        <v>-47074808.7706382</v>
      </c>
      <c r="I28" s="3">
        <f t="shared" si="7"/>
        <v>-47071416.2520553</v>
      </c>
      <c r="L28" s="2">
        <f t="shared" si="12"/>
        <v>-1.082948890653657</v>
      </c>
      <c r="M28">
        <v>0.5</v>
      </c>
      <c r="N28">
        <v>0.5</v>
      </c>
      <c r="O28" s="3">
        <f t="shared" si="13"/>
        <v>21732968.75000005</v>
      </c>
      <c r="P28" s="3">
        <f t="shared" si="8"/>
        <v>21732968.75000005</v>
      </c>
      <c r="R28" s="3">
        <f t="shared" si="9"/>
        <v>43465937.5000001</v>
      </c>
      <c r="S28" s="3">
        <f t="shared" si="10"/>
        <v>30735059.15688072</v>
      </c>
      <c r="T28" t="str">
        <f t="shared" si="11"/>
        <v>innerdelta</v>
      </c>
    </row>
    <row r="29" spans="1:20" ht="12.75">
      <c r="A29">
        <v>6</v>
      </c>
      <c r="B29" t="s">
        <v>77</v>
      </c>
      <c r="C29" s="3">
        <f t="shared" si="7"/>
        <v>45130233.3704763</v>
      </c>
      <c r="D29" s="3">
        <f t="shared" si="7"/>
        <v>18410312.5</v>
      </c>
      <c r="E29" s="3">
        <f t="shared" si="7"/>
        <v>45131410.393451</v>
      </c>
      <c r="F29" s="3">
        <f t="shared" si="7"/>
        <v>0</v>
      </c>
      <c r="G29" s="3">
        <f t="shared" si="7"/>
        <v>45131410.3934515</v>
      </c>
      <c r="H29" s="3">
        <f t="shared" si="7"/>
        <v>45120403.2571098</v>
      </c>
      <c r="I29" s="3">
        <f t="shared" si="7"/>
        <v>45138886.4608677</v>
      </c>
      <c r="L29" s="2">
        <f t="shared" si="12"/>
        <v>2.451356182600176</v>
      </c>
      <c r="M29">
        <v>0.5</v>
      </c>
      <c r="N29">
        <v>0.5</v>
      </c>
      <c r="O29" s="3">
        <f t="shared" si="13"/>
        <v>9205156.25</v>
      </c>
      <c r="P29" s="3">
        <f t="shared" si="8"/>
        <v>9205156.25</v>
      </c>
      <c r="R29" s="3">
        <f t="shared" si="9"/>
        <v>18410312.5</v>
      </c>
      <c r="S29" s="3">
        <f t="shared" si="10"/>
        <v>13018056.812513461</v>
      </c>
      <c r="T29" t="str">
        <f t="shared" si="11"/>
        <v>outerdelta</v>
      </c>
    </row>
    <row r="30" spans="1:20" ht="12.75">
      <c r="A30">
        <v>7</v>
      </c>
      <c r="B30" t="s">
        <v>132</v>
      </c>
      <c r="C30" s="3">
        <f t="shared" si="7"/>
        <v>22020775.9773163</v>
      </c>
      <c r="D30" s="3">
        <f t="shared" si="7"/>
        <v>24233437.5</v>
      </c>
      <c r="E30" s="3">
        <f t="shared" si="7"/>
        <v>22297593.1838643</v>
      </c>
      <c r="F30" s="3">
        <f t="shared" si="7"/>
        <v>276511.434458087</v>
      </c>
      <c r="G30" s="3">
        <f t="shared" si="7"/>
        <v>22021081.749406</v>
      </c>
      <c r="H30" s="3">
        <f t="shared" si="7"/>
        <v>22020595.7245384</v>
      </c>
      <c r="I30" s="3">
        <f t="shared" si="7"/>
        <v>22020650.4580047</v>
      </c>
      <c r="L30" s="2">
        <f t="shared" si="12"/>
        <v>0.9086938647196173</v>
      </c>
      <c r="M30">
        <v>0.5</v>
      </c>
      <c r="N30">
        <v>0.5</v>
      </c>
      <c r="O30" s="3">
        <f t="shared" si="13"/>
        <v>12116718.75</v>
      </c>
      <c r="P30" s="3">
        <f t="shared" si="8"/>
        <v>12116718.75</v>
      </c>
      <c r="R30" s="3">
        <f t="shared" si="9"/>
        <v>24233437.5</v>
      </c>
      <c r="S30" s="3">
        <f t="shared" si="10"/>
        <v>17135627.987710375</v>
      </c>
      <c r="T30" t="str">
        <f t="shared" si="11"/>
        <v>delta_north</v>
      </c>
    </row>
    <row r="31" spans="1:20" ht="12.75">
      <c r="A31">
        <v>8</v>
      </c>
      <c r="B31" t="s">
        <v>122</v>
      </c>
      <c r="C31" s="3">
        <f t="shared" si="7"/>
        <v>6573920.96226358</v>
      </c>
      <c r="D31" s="3">
        <f t="shared" si="7"/>
        <v>3007187.5</v>
      </c>
      <c r="E31" s="3">
        <f t="shared" si="7"/>
        <v>6666119.46513111</v>
      </c>
      <c r="F31" s="3">
        <f t="shared" si="7"/>
        <v>92924.1723032891</v>
      </c>
      <c r="G31" s="3">
        <f t="shared" si="7"/>
        <v>6573195.29282781</v>
      </c>
      <c r="H31" s="3">
        <f t="shared" si="7"/>
        <v>6574624.41131434</v>
      </c>
      <c r="I31" s="3">
        <f t="shared" si="7"/>
        <v>6573943.18264858</v>
      </c>
      <c r="L31" s="2">
        <f t="shared" si="12"/>
        <v>2.1860695291742136</v>
      </c>
      <c r="M31">
        <v>0.5</v>
      </c>
      <c r="N31">
        <v>0.5</v>
      </c>
      <c r="O31" s="3">
        <f t="shared" si="13"/>
        <v>1503593.75</v>
      </c>
      <c r="P31" s="3">
        <f t="shared" si="8"/>
        <v>1503593.75</v>
      </c>
      <c r="R31" s="3">
        <f t="shared" si="9"/>
        <v>3007187.5</v>
      </c>
      <c r="S31" s="3">
        <f t="shared" si="10"/>
        <v>2126402.6735494207</v>
      </c>
      <c r="T31" t="str">
        <f t="shared" si="11"/>
        <v>dispA</v>
      </c>
    </row>
    <row r="32" spans="1:20" ht="12.75">
      <c r="A32">
        <v>9</v>
      </c>
      <c r="B32" t="s">
        <v>123</v>
      </c>
      <c r="C32" s="3">
        <f t="shared" si="7"/>
        <v>45785325.7159667</v>
      </c>
      <c r="D32" s="3">
        <f t="shared" si="7"/>
        <v>9531562.5</v>
      </c>
      <c r="E32" s="3">
        <f t="shared" si="7"/>
        <v>45786801.263423</v>
      </c>
      <c r="F32" s="3">
        <f t="shared" si="7"/>
        <v>1922.89480725839</v>
      </c>
      <c r="G32" s="3">
        <f t="shared" si="7"/>
        <v>45784878.368616</v>
      </c>
      <c r="H32" s="3">
        <f t="shared" si="7"/>
        <v>45793369.857751</v>
      </c>
      <c r="I32" s="3">
        <f t="shared" si="7"/>
        <v>45777728.9215332</v>
      </c>
      <c r="L32" s="2">
        <f t="shared" si="12"/>
        <v>4.803548811222368</v>
      </c>
      <c r="M32">
        <v>0.5</v>
      </c>
      <c r="N32">
        <v>0.5</v>
      </c>
      <c r="O32" s="3">
        <f t="shared" si="13"/>
        <v>4765781.25</v>
      </c>
      <c r="P32" s="3">
        <f t="shared" si="8"/>
        <v>4765781.25</v>
      </c>
      <c r="R32" s="3">
        <f t="shared" si="9"/>
        <v>9531562.5</v>
      </c>
      <c r="S32" s="3">
        <f t="shared" si="10"/>
        <v>6739832.479053402</v>
      </c>
      <c r="T32" t="str">
        <f t="shared" si="11"/>
        <v>dispB</v>
      </c>
    </row>
    <row r="33" spans="1:20" ht="12.75">
      <c r="A33">
        <v>10</v>
      </c>
      <c r="B33" t="s">
        <v>124</v>
      </c>
      <c r="C33" s="3">
        <f t="shared" si="7"/>
        <v>3848443.95540526</v>
      </c>
      <c r="D33" s="3">
        <f t="shared" si="7"/>
        <v>2354062.5</v>
      </c>
      <c r="E33" s="3">
        <f t="shared" si="7"/>
        <v>3848918.24389544</v>
      </c>
      <c r="F33" s="3">
        <f t="shared" si="7"/>
        <v>0</v>
      </c>
      <c r="G33" s="3">
        <f t="shared" si="7"/>
        <v>3848918.24389544</v>
      </c>
      <c r="H33" s="3">
        <f t="shared" si="7"/>
        <v>3846379.27884798</v>
      </c>
      <c r="I33" s="3">
        <f t="shared" si="7"/>
        <v>3850034.34347235</v>
      </c>
      <c r="L33" s="2">
        <f>+C33/D33</f>
        <v>1.634809592101</v>
      </c>
      <c r="M33">
        <v>0.5</v>
      </c>
      <c r="N33">
        <v>0.5</v>
      </c>
      <c r="O33" s="3">
        <f>+D33*M33</f>
        <v>1177031.25</v>
      </c>
      <c r="P33" s="3">
        <f t="shared" si="8"/>
        <v>1177031.25</v>
      </c>
      <c r="R33" s="3">
        <f t="shared" si="9"/>
        <v>2354062.5</v>
      </c>
      <c r="S33" s="3">
        <f t="shared" si="10"/>
        <v>1664573.557086957</v>
      </c>
      <c r="T33" t="str">
        <f t="shared" si="11"/>
        <v>dispF</v>
      </c>
    </row>
    <row r="34" spans="1:20" ht="12.75">
      <c r="A34">
        <v>11</v>
      </c>
      <c r="B34" t="s">
        <v>125</v>
      </c>
      <c r="C34" s="3">
        <f t="shared" si="7"/>
        <v>-5132599.74701929</v>
      </c>
      <c r="D34" s="3">
        <f t="shared" si="7"/>
        <v>72538125</v>
      </c>
      <c r="E34" s="3">
        <f t="shared" si="7"/>
        <v>6475730.09430169</v>
      </c>
      <c r="F34" s="3">
        <f t="shared" si="7"/>
        <v>11607678.8892766</v>
      </c>
      <c r="G34" s="3">
        <f t="shared" si="7"/>
        <v>-5131948.79497481</v>
      </c>
      <c r="H34" s="3">
        <f t="shared" si="7"/>
        <v>-5133878.6812659</v>
      </c>
      <c r="I34" s="3">
        <f t="shared" si="7"/>
        <v>-5131971.76481718</v>
      </c>
      <c r="L34" s="2">
        <f>+C34/D34</f>
        <v>-0.07075727070446458</v>
      </c>
      <c r="M34">
        <v>0.5</v>
      </c>
      <c r="N34">
        <v>0.5</v>
      </c>
      <c r="O34" s="3">
        <f>+D34*M34</f>
        <v>36269062.5</v>
      </c>
      <c r="P34" s="3">
        <f t="shared" si="8"/>
        <v>36269062.5</v>
      </c>
      <c r="R34" s="3">
        <f t="shared" si="9"/>
        <v>72538125</v>
      </c>
      <c r="S34" s="3">
        <f t="shared" si="10"/>
        <v>51292200.08205743</v>
      </c>
      <c r="T34" t="str">
        <f t="shared" si="11"/>
        <v>off_north</v>
      </c>
    </row>
    <row r="35" spans="1:20" ht="12.75">
      <c r="A35">
        <v>14</v>
      </c>
      <c r="B35" t="s">
        <v>71</v>
      </c>
      <c r="C35" s="3">
        <f t="shared" si="7"/>
        <v>22635543.814939</v>
      </c>
      <c r="D35" s="3">
        <f t="shared" si="7"/>
        <v>21537812.5</v>
      </c>
      <c r="E35" s="3">
        <f t="shared" si="7"/>
        <v>22643599.4438789</v>
      </c>
      <c r="F35" s="3">
        <f t="shared" si="7"/>
        <v>13664.7650979059</v>
      </c>
      <c r="G35" s="3">
        <f t="shared" si="7"/>
        <v>22629934.6787809</v>
      </c>
      <c r="H35" s="3">
        <f t="shared" si="7"/>
        <v>22647481.2062401</v>
      </c>
      <c r="I35" s="3">
        <f t="shared" si="7"/>
        <v>22629215.5597961</v>
      </c>
      <c r="L35" s="2">
        <f>+C35/D35</f>
        <v>1.050967632620026</v>
      </c>
      <c r="M35">
        <v>0.5</v>
      </c>
      <c r="N35">
        <v>0.5</v>
      </c>
      <c r="O35" s="3">
        <f>+D35*M35</f>
        <v>10768906.25</v>
      </c>
      <c r="P35" s="3">
        <f t="shared" si="8"/>
        <v>10768906.25</v>
      </c>
      <c r="R35" s="3">
        <f t="shared" si="9"/>
        <v>21537812.5</v>
      </c>
      <c r="S35" s="3">
        <f t="shared" si="10"/>
        <v>15229533.270674389</v>
      </c>
      <c r="T35" t="str">
        <f t="shared" si="11"/>
        <v>LBc1_off</v>
      </c>
    </row>
    <row r="36" spans="1:20" ht="12.75">
      <c r="A36">
        <v>15</v>
      </c>
      <c r="B36" t="s">
        <v>72</v>
      </c>
      <c r="C36" s="3">
        <f t="shared" si="7"/>
        <v>13376726.9655118</v>
      </c>
      <c r="D36" s="3">
        <f t="shared" si="7"/>
        <v>15223750</v>
      </c>
      <c r="E36" s="3">
        <f t="shared" si="7"/>
        <v>13382727.1843603</v>
      </c>
      <c r="F36" s="3">
        <f t="shared" si="7"/>
        <v>7505.67876344778</v>
      </c>
      <c r="G36" s="3">
        <f t="shared" si="7"/>
        <v>13375221.5055969</v>
      </c>
      <c r="H36" s="3">
        <f t="shared" si="7"/>
        <v>13396500.5754978</v>
      </c>
      <c r="I36" s="3">
        <f t="shared" si="7"/>
        <v>13358458.8154407</v>
      </c>
      <c r="L36" s="2">
        <f>+C36/D36</f>
        <v>0.8786748971516085</v>
      </c>
      <c r="M36">
        <v>0.5</v>
      </c>
      <c r="N36">
        <v>0.5</v>
      </c>
      <c r="O36" s="3">
        <f>+D36*M36</f>
        <v>7611875</v>
      </c>
      <c r="P36" s="3">
        <f t="shared" si="8"/>
        <v>7611875</v>
      </c>
      <c r="R36" s="3">
        <f t="shared" si="9"/>
        <v>15223750</v>
      </c>
      <c r="S36" s="3">
        <f t="shared" si="10"/>
        <v>10764816.860088702</v>
      </c>
      <c r="T36" t="str">
        <f t="shared" si="11"/>
        <v>LBc2_off</v>
      </c>
    </row>
    <row r="37" spans="3:18" ht="12.75">
      <c r="C37" s="3"/>
      <c r="D37" s="3"/>
      <c r="E37" s="3"/>
      <c r="F37" s="3"/>
      <c r="G37" s="3"/>
      <c r="H37" s="3"/>
      <c r="I37" s="3"/>
      <c r="L37" s="2"/>
      <c r="O37" s="3"/>
      <c r="P37" s="3"/>
      <c r="Q37" s="3"/>
      <c r="R37" s="3"/>
    </row>
    <row r="38" spans="15:24" ht="12.75">
      <c r="O38" t="s">
        <v>98</v>
      </c>
      <c r="P38" t="s">
        <v>93</v>
      </c>
      <c r="Q38" t="s">
        <v>99</v>
      </c>
      <c r="R38" t="s">
        <v>96</v>
      </c>
      <c r="S38" s="31" t="s">
        <v>100</v>
      </c>
      <c r="V38" t="s">
        <v>162</v>
      </c>
      <c r="W38" t="s">
        <v>163</v>
      </c>
      <c r="X38" s="4" t="s">
        <v>164</v>
      </c>
    </row>
    <row r="39" spans="1:24" ht="12.75">
      <c r="A39">
        <v>12</v>
      </c>
      <c r="B39" t="s">
        <v>127</v>
      </c>
      <c r="C39" s="3">
        <f aca="true" t="shared" si="14" ref="C39:I41">+C63</f>
        <v>14099453.3986039</v>
      </c>
      <c r="D39" s="3">
        <f t="shared" si="14"/>
        <v>10435937.5</v>
      </c>
      <c r="E39" s="3">
        <f t="shared" si="14"/>
        <v>16322323.1998963</v>
      </c>
      <c r="F39" s="3">
        <f t="shared" si="14"/>
        <v>2223094.53028022</v>
      </c>
      <c r="G39" s="3">
        <f t="shared" si="14"/>
        <v>14099228.6696161</v>
      </c>
      <c r="H39" s="3">
        <f t="shared" si="14"/>
        <v>14105795.9316076</v>
      </c>
      <c r="I39" s="3">
        <f t="shared" si="14"/>
        <v>14093335.5945881</v>
      </c>
      <c r="L39" s="2">
        <f>+C39/D39</f>
        <v>1.351048087304461</v>
      </c>
      <c r="M39">
        <v>0.5</v>
      </c>
      <c r="N39">
        <v>0.5</v>
      </c>
      <c r="O39" s="2">
        <f>+SQRT(M39^2+N39^2)</f>
        <v>0.7071067811865476</v>
      </c>
      <c r="P39">
        <f>+P17</f>
        <v>6302.447</v>
      </c>
      <c r="Q39" s="2">
        <f>+D39/P39</f>
        <v>1655.8548608183455</v>
      </c>
      <c r="R39" s="2">
        <v>23.130067012440755</v>
      </c>
      <c r="S39" s="29">
        <f>+ABS(SQRT((R39/Q39)^2+(O39/L39)^2)*C39)</f>
        <v>7381949.960403775</v>
      </c>
      <c r="T39" t="str">
        <f>+B39</f>
        <v>LBc1_near</v>
      </c>
      <c r="V39" s="3">
        <f>+O39*D39</f>
        <v>7379322.174288986</v>
      </c>
      <c r="W39" s="2">
        <f>+V39/'sum 1958-2000'!O10</f>
        <v>8.116605727198058</v>
      </c>
      <c r="X39" s="4">
        <f>+W39/2+W40/2</f>
        <v>7.250059303827713</v>
      </c>
    </row>
    <row r="40" spans="1:23" ht="12.75">
      <c r="A40">
        <v>13</v>
      </c>
      <c r="B40" t="s">
        <v>126</v>
      </c>
      <c r="C40" s="3">
        <f t="shared" si="14"/>
        <v>17712026.0301625</v>
      </c>
      <c r="D40" s="3">
        <f t="shared" si="14"/>
        <v>9967500</v>
      </c>
      <c r="E40" s="3">
        <f t="shared" si="14"/>
        <v>19481713.056948</v>
      </c>
      <c r="F40" s="3">
        <f t="shared" si="14"/>
        <v>1773903.83199606</v>
      </c>
      <c r="G40" s="3">
        <f t="shared" si="14"/>
        <v>17707809.2249519</v>
      </c>
      <c r="H40" s="3">
        <f t="shared" si="14"/>
        <v>17736152.9845313</v>
      </c>
      <c r="I40" s="3">
        <f t="shared" si="14"/>
        <v>17692115.8810045</v>
      </c>
      <c r="L40" s="2">
        <f>+C40/D40</f>
        <v>1.7769777808038625</v>
      </c>
      <c r="M40">
        <v>0.5</v>
      </c>
      <c r="N40">
        <v>0.5</v>
      </c>
      <c r="O40" s="2">
        <f>+SQRT(M40^2+N40^2)</f>
        <v>0.7071067811865476</v>
      </c>
      <c r="P40">
        <f>+P16</f>
        <v>4999.452</v>
      </c>
      <c r="Q40" s="2">
        <f>+D40/P40</f>
        <v>1993.7185115488658</v>
      </c>
      <c r="R40" s="2">
        <v>23.130067012440755</v>
      </c>
      <c r="S40" s="29">
        <f>+ABS(SQRT((R40/Q40)^2+(O40/L40)^2)*C40)</f>
        <v>7051081.650151742</v>
      </c>
      <c r="T40" t="str">
        <f>+B40</f>
        <v>LBc2_near</v>
      </c>
      <c r="V40" s="3">
        <f>+O40*D40</f>
        <v>7048086.841476913</v>
      </c>
      <c r="W40" s="2">
        <f>+V40/'sum 1958-2000'!O9</f>
        <v>6.383512880457367</v>
      </c>
    </row>
    <row r="41" spans="1:20" ht="12.75">
      <c r="A41">
        <v>2</v>
      </c>
      <c r="B41" t="s">
        <v>130</v>
      </c>
      <c r="C41" s="3">
        <f t="shared" si="14"/>
        <v>8037580.7105102</v>
      </c>
      <c r="D41" s="3">
        <f t="shared" si="14"/>
        <v>33927812.5000001</v>
      </c>
      <c r="E41" s="3">
        <f t="shared" si="14"/>
        <v>12372366.5497846</v>
      </c>
      <c r="F41" s="3">
        <f t="shared" si="14"/>
        <v>4330803.76731025</v>
      </c>
      <c r="G41" s="3">
        <f t="shared" si="14"/>
        <v>8041562.78247431</v>
      </c>
      <c r="H41" s="3">
        <f t="shared" si="14"/>
        <v>8034139.45588689</v>
      </c>
      <c r="I41" s="3">
        <f t="shared" si="14"/>
        <v>8037039.89316939</v>
      </c>
      <c r="L41" s="2">
        <f>+C41/D41</f>
        <v>0.23690241481115756</v>
      </c>
      <c r="M41">
        <v>0.5</v>
      </c>
      <c r="N41">
        <v>0.5</v>
      </c>
      <c r="O41" s="2">
        <f>+SQRT(M41^2+N41^2)</f>
        <v>0.7071067811865476</v>
      </c>
      <c r="P41" s="56">
        <f>+'sum 1958-2000'!B14+'sum 1958-2000'!B3+'sum 1958-2000'!B4</f>
        <v>13255.5</v>
      </c>
      <c r="Q41" s="2">
        <f>+D41/P41</f>
        <v>2559.5271773980685</v>
      </c>
      <c r="R41" s="2">
        <v>23.130067012440755</v>
      </c>
      <c r="S41" s="29">
        <f>+ABS(SQRT((R41/Q41)^2+(O41/L41)^2)*C41)</f>
        <v>23990696.244107418</v>
      </c>
      <c r="T41" t="str">
        <f>+B41</f>
        <v>CP_near</v>
      </c>
    </row>
    <row r="43" spans="3:19" ht="12.75">
      <c r="C43" s="3"/>
      <c r="D43" s="3"/>
      <c r="E43" s="3"/>
      <c r="F43" s="3"/>
      <c r="G43" s="3"/>
      <c r="H43" s="3"/>
      <c r="I43" s="3"/>
      <c r="L43" s="2"/>
      <c r="N43" s="75"/>
      <c r="O43" s="2"/>
      <c r="P43" s="56"/>
      <c r="Q43" s="2"/>
      <c r="R43" s="2"/>
      <c r="S43" s="29"/>
    </row>
    <row r="44" spans="1:20" ht="12.75">
      <c r="A44">
        <v>1</v>
      </c>
      <c r="B44" t="s">
        <v>186</v>
      </c>
      <c r="C44" s="3">
        <f aca="true" t="shared" si="15" ref="C44:I47">+C68</f>
        <v>337201.490789303</v>
      </c>
      <c r="D44" s="3">
        <f t="shared" si="15"/>
        <v>9269687.5</v>
      </c>
      <c r="E44" s="3">
        <f t="shared" si="15"/>
        <v>2377488.25316343</v>
      </c>
      <c r="F44" s="3">
        <f t="shared" si="15"/>
        <v>2038910.59055258</v>
      </c>
      <c r="G44" s="3">
        <f t="shared" si="15"/>
        <v>338577.662610839</v>
      </c>
      <c r="H44" s="3">
        <f t="shared" si="15"/>
        <v>336353.997220162</v>
      </c>
      <c r="I44" s="3">
        <f t="shared" si="15"/>
        <v>336672.812536909</v>
      </c>
      <c r="L44" s="2">
        <f>+C44/D44</f>
        <v>0.03637679164365605</v>
      </c>
      <c r="M44">
        <v>0.5</v>
      </c>
      <c r="N44">
        <v>0.5</v>
      </c>
      <c r="O44" s="2">
        <f>+SQRT(M44^2+N44^2)</f>
        <v>0.7071067811865476</v>
      </c>
      <c r="P44" s="19">
        <v>4516</v>
      </c>
      <c r="Q44" s="2">
        <f>+D44/P44</f>
        <v>2052.6323073516387</v>
      </c>
      <c r="R44" s="2">
        <v>23.130067012440755</v>
      </c>
      <c r="S44" s="29">
        <f>+ABS(SQRT((R44/Q44)^2+(O44/L44)^2)*C44)</f>
        <v>6554659.992092729</v>
      </c>
      <c r="T44" t="str">
        <f>+B44</f>
        <v>CPdn_near</v>
      </c>
    </row>
    <row r="45" spans="1:20" ht="12.75">
      <c r="A45">
        <v>2</v>
      </c>
      <c r="B45" t="s">
        <v>184</v>
      </c>
      <c r="C45" s="3">
        <f t="shared" si="15"/>
        <v>2516646.54835955</v>
      </c>
      <c r="D45" s="3">
        <f t="shared" si="15"/>
        <v>12589375</v>
      </c>
      <c r="E45" s="3">
        <f t="shared" si="15"/>
        <v>3990760.78193036</v>
      </c>
      <c r="F45" s="3">
        <f t="shared" si="15"/>
        <v>1473326.62634567</v>
      </c>
      <c r="G45" s="3">
        <f t="shared" si="15"/>
        <v>2517434.15558468</v>
      </c>
      <c r="H45" s="3">
        <f t="shared" si="15"/>
        <v>2514859.15843453</v>
      </c>
      <c r="I45" s="3">
        <f t="shared" si="15"/>
        <v>2517646.33105944</v>
      </c>
      <c r="L45" s="2">
        <f>+C45/D45</f>
        <v>0.19990242155464827</v>
      </c>
      <c r="M45">
        <v>0.5</v>
      </c>
      <c r="N45">
        <v>0.5</v>
      </c>
      <c r="O45" s="2">
        <f>+SQRT(M45^2+N45^2)</f>
        <v>0.7071067811865476</v>
      </c>
      <c r="P45" s="19">
        <v>4329.3</v>
      </c>
      <c r="Q45" s="2">
        <f>+D45/P45</f>
        <v>2907.9470122190655</v>
      </c>
      <c r="R45" s="2">
        <v>23.130067012440755</v>
      </c>
      <c r="S45" s="29">
        <f>+ABS(SQRT((R45/Q45)^2+(O45/L45)^2)*C45)</f>
        <v>8902054.939774731</v>
      </c>
      <c r="T45" t="str">
        <f>+B45</f>
        <v>CPc5_near</v>
      </c>
    </row>
    <row r="46" spans="1:20" ht="12.75">
      <c r="A46">
        <v>3</v>
      </c>
      <c r="B46" t="s">
        <v>185</v>
      </c>
      <c r="C46" s="3">
        <f t="shared" si="15"/>
        <v>5183836.82397866</v>
      </c>
      <c r="D46" s="3">
        <f t="shared" si="15"/>
        <v>11930312.5</v>
      </c>
      <c r="E46" s="3">
        <f t="shared" si="15"/>
        <v>6004326.58785124</v>
      </c>
      <c r="F46" s="3">
        <f t="shared" si="15"/>
        <v>818676.572541795</v>
      </c>
      <c r="G46" s="3">
        <f t="shared" si="15"/>
        <v>5185650.01530946</v>
      </c>
      <c r="H46" s="3">
        <f t="shared" si="15"/>
        <v>5183014.34559279</v>
      </c>
      <c r="I46" s="3">
        <f t="shared" si="15"/>
        <v>5182846.11103373</v>
      </c>
      <c r="L46" s="2">
        <f>+C46/D46</f>
        <v>0.4345097267132491</v>
      </c>
      <c r="M46">
        <v>0.5</v>
      </c>
      <c r="N46">
        <v>0.5</v>
      </c>
      <c r="O46" s="2">
        <f>+SQRT(M46^2+N46^2)</f>
        <v>0.7071067811865476</v>
      </c>
      <c r="P46" s="19">
        <v>4410.2</v>
      </c>
      <c r="Q46" s="2">
        <f>+D46/P46</f>
        <v>2705.1635980227657</v>
      </c>
      <c r="R46" s="2">
        <v>23.130067012440755</v>
      </c>
      <c r="S46" s="29">
        <f>+ABS(SQRT((R46/Q46)^2+(O46/L46)^2)*C46)</f>
        <v>8436121.309713062</v>
      </c>
      <c r="T46" t="str">
        <f>+B46</f>
        <v>CPc4_near</v>
      </c>
    </row>
    <row r="47" spans="1:20" ht="12.75">
      <c r="A47">
        <v>3</v>
      </c>
      <c r="B47" t="s">
        <v>131</v>
      </c>
      <c r="C47" s="3">
        <f t="shared" si="15"/>
        <v>13554142.326328</v>
      </c>
      <c r="D47" s="3">
        <f t="shared" si="15"/>
        <v>13313125</v>
      </c>
      <c r="E47" s="3">
        <f t="shared" si="15"/>
        <v>13682539.8863362</v>
      </c>
      <c r="F47" s="3">
        <f t="shared" si="15"/>
        <v>131532.151987924</v>
      </c>
      <c r="G47" s="3">
        <f t="shared" si="15"/>
        <v>13551007.7343482</v>
      </c>
      <c r="H47" s="3">
        <f t="shared" si="15"/>
        <v>13558179.6814501</v>
      </c>
      <c r="I47" s="3">
        <f t="shared" si="15"/>
        <v>13553239.5631857</v>
      </c>
      <c r="L47" s="2">
        <f>+C47/D47</f>
        <v>1.0181037379524343</v>
      </c>
      <c r="M47">
        <v>0.5</v>
      </c>
      <c r="N47">
        <v>0.5</v>
      </c>
      <c r="O47" s="2">
        <f>+SQRT(M47^2+N47^2)</f>
        <v>0.7071067811865476</v>
      </c>
      <c r="P47" s="56">
        <f>+'sum 1958-2000'!B5</f>
        <v>5131.8</v>
      </c>
      <c r="Q47" s="2">
        <f>+D47/P47</f>
        <v>2594.240812190654</v>
      </c>
      <c r="R47" s="2">
        <v>23.130067012440755</v>
      </c>
      <c r="S47" s="29">
        <f>+ABS(SQRT((R47/Q47)^2+(O47/L47)^2)*C47)</f>
        <v>9414576.613774763</v>
      </c>
      <c r="T47" t="str">
        <f>+B47</f>
        <v>CPc3_near</v>
      </c>
    </row>
    <row r="48" spans="3:17" ht="12.75">
      <c r="C48" s="3"/>
      <c r="D48" s="3"/>
      <c r="E48" s="3"/>
      <c r="F48" s="3"/>
      <c r="G48" s="3"/>
      <c r="H48" s="3"/>
      <c r="I48" s="3"/>
      <c r="L48" s="2"/>
      <c r="O48" s="2"/>
      <c r="P48" s="19"/>
      <c r="Q48" s="2"/>
    </row>
    <row r="49" spans="1:17" ht="12.75">
      <c r="A49" s="110">
        <v>37224</v>
      </c>
      <c r="B49" t="s">
        <v>1</v>
      </c>
      <c r="C49" t="s">
        <v>2</v>
      </c>
      <c r="D49" t="s">
        <v>3</v>
      </c>
      <c r="E49" t="s">
        <v>4</v>
      </c>
      <c r="F49" t="s">
        <v>5</v>
      </c>
      <c r="G49" t="s">
        <v>6</v>
      </c>
      <c r="L49" t="s">
        <v>12</v>
      </c>
      <c r="M49" s="4" t="str">
        <f>+L25</f>
        <v>h_old</v>
      </c>
      <c r="N49" t="s">
        <v>204</v>
      </c>
      <c r="O49" t="s">
        <v>151</v>
      </c>
      <c r="P49" s="19"/>
      <c r="Q49" s="2"/>
    </row>
    <row r="50" spans="1:17" ht="12.75">
      <c r="A50">
        <v>1</v>
      </c>
      <c r="B50" t="s">
        <v>129</v>
      </c>
      <c r="C50" s="3">
        <v>-30268186.8055551</v>
      </c>
      <c r="D50" s="3">
        <v>41350000</v>
      </c>
      <c r="E50" s="3">
        <v>1928379.30670712</v>
      </c>
      <c r="F50" s="3">
        <v>32192974.8407498</v>
      </c>
      <c r="G50" s="3">
        <v>-30264595.5340424</v>
      </c>
      <c r="H50" s="3">
        <v>-30273086.2184039</v>
      </c>
      <c r="I50" s="3">
        <v>-30266878.6642191</v>
      </c>
      <c r="L50" s="2">
        <f aca="true" t="shared" si="16" ref="L50:L60">+C50/D50</f>
        <v>-0.731999680908225</v>
      </c>
      <c r="M50" s="51">
        <f>+L78</f>
        <v>-0.7814163940662636</v>
      </c>
      <c r="N50" s="2">
        <f>+L50-M50</f>
        <v>0.04941671315803864</v>
      </c>
      <c r="O50" s="2">
        <f aca="true" t="shared" si="17" ref="O50:O60">+(M50-L50)/M50*100</f>
        <v>6.323992372477423</v>
      </c>
      <c r="P50" s="19"/>
      <c r="Q50" s="2"/>
    </row>
    <row r="51" spans="1:15" ht="12.75">
      <c r="A51">
        <v>4</v>
      </c>
      <c r="B51" t="s">
        <v>74</v>
      </c>
      <c r="C51" s="3">
        <v>-25838772.9561818</v>
      </c>
      <c r="D51" s="3">
        <v>130432187.5</v>
      </c>
      <c r="E51" s="3">
        <v>10711589.0939807</v>
      </c>
      <c r="F51" s="3">
        <v>36550775.1072928</v>
      </c>
      <c r="G51" s="3">
        <v>-25839186.013312</v>
      </c>
      <c r="H51" s="3">
        <v>-25834452.1951057</v>
      </c>
      <c r="I51" s="3">
        <v>-25842680.6601277</v>
      </c>
      <c r="L51" s="2">
        <f t="shared" si="16"/>
        <v>-0.1981012007191998</v>
      </c>
      <c r="M51" s="51">
        <f aca="true" t="shared" si="18" ref="M51:M60">+L79</f>
        <v>-0.22857392782680425</v>
      </c>
      <c r="N51" s="2">
        <f>+L51-M51</f>
        <v>0.030472727107604458</v>
      </c>
      <c r="O51" s="2">
        <f t="shared" si="17"/>
        <v>13.331672337841763</v>
      </c>
    </row>
    <row r="52" spans="1:15" ht="12.75">
      <c r="A52">
        <v>5</v>
      </c>
      <c r="B52" t="s">
        <v>76</v>
      </c>
      <c r="C52" s="3">
        <v>-47071388.7968463</v>
      </c>
      <c r="D52" s="3">
        <v>43465937.5000001</v>
      </c>
      <c r="E52" s="3">
        <v>4981560.64949156</v>
      </c>
      <c r="F52" s="3">
        <v>52049502.0173371</v>
      </c>
      <c r="G52" s="3">
        <v>-47067941.3678453</v>
      </c>
      <c r="H52" s="3">
        <v>-47074808.7706382</v>
      </c>
      <c r="I52" s="3">
        <v>-47071416.2520553</v>
      </c>
      <c r="L52" s="2">
        <f t="shared" si="16"/>
        <v>-1.082948890653657</v>
      </c>
      <c r="M52" s="51">
        <f t="shared" si="18"/>
        <v>-1.2084632713188252</v>
      </c>
      <c r="N52" s="2">
        <f>+L52-M52</f>
        <v>0.12551438066516818</v>
      </c>
      <c r="O52" s="2">
        <f t="shared" si="17"/>
        <v>10.386280133130674</v>
      </c>
    </row>
    <row r="53" spans="1:15" ht="12.75">
      <c r="A53">
        <v>6</v>
      </c>
      <c r="B53" t="s">
        <v>77</v>
      </c>
      <c r="C53" s="3">
        <v>45130233.3704763</v>
      </c>
      <c r="D53" s="3">
        <v>18410312.5</v>
      </c>
      <c r="E53" s="3">
        <v>45131410.393451</v>
      </c>
      <c r="F53" s="3">
        <v>0</v>
      </c>
      <c r="G53" s="3">
        <v>45131410.3934515</v>
      </c>
      <c r="H53" s="3">
        <v>45120403.2571098</v>
      </c>
      <c r="I53" s="3">
        <v>45138886.4608677</v>
      </c>
      <c r="L53" s="2">
        <f t="shared" si="16"/>
        <v>2.451356182600176</v>
      </c>
      <c r="M53" s="51">
        <f t="shared" si="18"/>
        <v>2.1732281199484094</v>
      </c>
      <c r="N53" s="2">
        <f aca="true" t="shared" si="19" ref="N53:N65">+L53-M53</f>
        <v>0.2781280626517666</v>
      </c>
      <c r="O53" s="2">
        <f t="shared" si="17"/>
        <v>-12.797923057353461</v>
      </c>
    </row>
    <row r="54" spans="1:15" ht="12.75">
      <c r="A54">
        <v>7</v>
      </c>
      <c r="B54" t="s">
        <v>132</v>
      </c>
      <c r="C54" s="3">
        <v>22020775.9773163</v>
      </c>
      <c r="D54" s="3">
        <v>24233437.5</v>
      </c>
      <c r="E54" s="3">
        <v>22297593.1838643</v>
      </c>
      <c r="F54" s="3">
        <v>276511.434458087</v>
      </c>
      <c r="G54" s="3">
        <v>22021081.749406</v>
      </c>
      <c r="H54" s="3">
        <v>22020595.7245384</v>
      </c>
      <c r="I54" s="3">
        <v>22020650.4580047</v>
      </c>
      <c r="L54" s="2">
        <f t="shared" si="16"/>
        <v>0.9086938647196173</v>
      </c>
      <c r="M54" s="51">
        <f t="shared" si="18"/>
        <v>0.6142491901260521</v>
      </c>
      <c r="N54" s="2">
        <f t="shared" si="19"/>
        <v>0.29444467459356527</v>
      </c>
      <c r="O54" s="2">
        <f t="shared" si="17"/>
        <v>-47.935704161553936</v>
      </c>
    </row>
    <row r="55" spans="1:15" ht="12.75">
      <c r="A55">
        <v>8</v>
      </c>
      <c r="B55" t="s">
        <v>122</v>
      </c>
      <c r="C55" s="3">
        <v>6573920.96226358</v>
      </c>
      <c r="D55" s="3">
        <v>3007187.5</v>
      </c>
      <c r="E55" s="3">
        <v>6666119.46513111</v>
      </c>
      <c r="F55" s="3">
        <v>92924.1723032891</v>
      </c>
      <c r="G55" s="3">
        <v>6573195.29282781</v>
      </c>
      <c r="H55" s="3">
        <v>6574624.41131434</v>
      </c>
      <c r="I55" s="3">
        <v>6573943.18264858</v>
      </c>
      <c r="L55" s="2">
        <f t="shared" si="16"/>
        <v>2.1860695291742136</v>
      </c>
      <c r="M55" s="51">
        <f t="shared" si="18"/>
        <v>2.165449155882285</v>
      </c>
      <c r="N55" s="2">
        <f t="shared" si="19"/>
        <v>0.020620373291928562</v>
      </c>
      <c r="O55" s="2">
        <f t="shared" si="17"/>
        <v>-0.9522446295224628</v>
      </c>
    </row>
    <row r="56" spans="1:15" ht="12.75">
      <c r="A56">
        <v>9</v>
      </c>
      <c r="B56" t="s">
        <v>123</v>
      </c>
      <c r="C56" s="3">
        <v>45785325.7159667</v>
      </c>
      <c r="D56" s="3">
        <v>9531562.5</v>
      </c>
      <c r="E56" s="3">
        <v>45786801.263423</v>
      </c>
      <c r="F56" s="3">
        <v>1922.89480725839</v>
      </c>
      <c r="G56" s="3">
        <v>45784878.368616</v>
      </c>
      <c r="H56" s="3">
        <v>45793369.857751</v>
      </c>
      <c r="I56" s="3">
        <v>45777728.9215332</v>
      </c>
      <c r="L56" s="2">
        <f t="shared" si="16"/>
        <v>4.803548811222368</v>
      </c>
      <c r="M56" s="51">
        <f t="shared" si="18"/>
        <v>4.508557959821163</v>
      </c>
      <c r="N56" s="2">
        <f t="shared" si="19"/>
        <v>0.29499085140120496</v>
      </c>
      <c r="O56" s="2">
        <f t="shared" si="17"/>
        <v>-6.542909152550988</v>
      </c>
    </row>
    <row r="57" spans="1:15" ht="12.75">
      <c r="A57">
        <v>10</v>
      </c>
      <c r="B57" t="s">
        <v>124</v>
      </c>
      <c r="C57" s="3">
        <v>3848443.95540526</v>
      </c>
      <c r="D57" s="3">
        <v>2354062.5</v>
      </c>
      <c r="E57" s="3">
        <v>3848918.24389544</v>
      </c>
      <c r="F57" s="3">
        <v>0</v>
      </c>
      <c r="G57" s="3">
        <v>3848918.24389544</v>
      </c>
      <c r="H57" s="3">
        <v>3846379.27884798</v>
      </c>
      <c r="I57" s="3">
        <v>3850034.34347235</v>
      </c>
      <c r="L57" s="2">
        <f t="shared" si="16"/>
        <v>1.634809592101</v>
      </c>
      <c r="M57" s="51">
        <f t="shared" si="18"/>
        <v>1.3378634880191245</v>
      </c>
      <c r="N57" s="2">
        <f t="shared" si="19"/>
        <v>0.2969461040818755</v>
      </c>
      <c r="O57" s="2">
        <f t="shared" si="17"/>
        <v>-22.195545864065817</v>
      </c>
    </row>
    <row r="58" spans="1:15" ht="12.75">
      <c r="A58">
        <v>11</v>
      </c>
      <c r="B58" t="s">
        <v>136</v>
      </c>
      <c r="C58" s="3">
        <v>-5132599.74701929</v>
      </c>
      <c r="D58" s="3">
        <v>72538125</v>
      </c>
      <c r="E58" s="3">
        <v>6475730.09430169</v>
      </c>
      <c r="F58" s="3">
        <v>11607678.8892766</v>
      </c>
      <c r="G58" s="3">
        <v>-5131948.79497481</v>
      </c>
      <c r="H58" s="3">
        <v>-5133878.6812659</v>
      </c>
      <c r="I58" s="3">
        <v>-5131971.76481718</v>
      </c>
      <c r="L58" s="2">
        <f t="shared" si="16"/>
        <v>-0.07075727070446458</v>
      </c>
      <c r="M58" s="51">
        <f t="shared" si="18"/>
        <v>-0.36262743064618314</v>
      </c>
      <c r="N58" s="2">
        <f t="shared" si="19"/>
        <v>0.29187015994171855</v>
      </c>
      <c r="O58" s="2">
        <f t="shared" si="17"/>
        <v>80.4876121537803</v>
      </c>
    </row>
    <row r="59" spans="1:15" ht="12.75">
      <c r="A59">
        <v>14</v>
      </c>
      <c r="B59" t="s">
        <v>71</v>
      </c>
      <c r="C59" s="3">
        <v>22635543.814939</v>
      </c>
      <c r="D59" s="3">
        <v>21537812.5</v>
      </c>
      <c r="E59" s="3">
        <v>22643599.4438789</v>
      </c>
      <c r="F59" s="3">
        <v>13664.7650979059</v>
      </c>
      <c r="G59" s="3">
        <v>22629934.6787809</v>
      </c>
      <c r="H59" s="3">
        <v>22647481.2062401</v>
      </c>
      <c r="I59" s="3">
        <v>22629215.5597961</v>
      </c>
      <c r="L59" s="2">
        <f t="shared" si="16"/>
        <v>1.050967632620026</v>
      </c>
      <c r="M59" s="51">
        <f t="shared" si="18"/>
        <v>0.7566873542572488</v>
      </c>
      <c r="N59" s="2">
        <f t="shared" si="19"/>
        <v>0.29428027836277715</v>
      </c>
      <c r="O59" s="2">
        <f t="shared" si="17"/>
        <v>-38.89060345823244</v>
      </c>
    </row>
    <row r="60" spans="1:15" ht="12.75">
      <c r="A60">
        <v>15</v>
      </c>
      <c r="B60" t="s">
        <v>72</v>
      </c>
      <c r="C60" s="3">
        <v>13376726.9655118</v>
      </c>
      <c r="D60" s="3">
        <v>15223750</v>
      </c>
      <c r="E60" s="3">
        <v>13382727.1843603</v>
      </c>
      <c r="F60" s="3">
        <v>7505.67876344778</v>
      </c>
      <c r="G60" s="3">
        <v>13375221.5055969</v>
      </c>
      <c r="H60" s="3">
        <v>13396500.5754978</v>
      </c>
      <c r="I60" s="3">
        <v>13358458.8154407</v>
      </c>
      <c r="L60" s="2">
        <f t="shared" si="16"/>
        <v>0.8786748971516085</v>
      </c>
      <c r="M60" s="51">
        <f t="shared" si="18"/>
        <v>0.5845513063005061</v>
      </c>
      <c r="N60" s="2">
        <f t="shared" si="19"/>
        <v>0.2941235908511024</v>
      </c>
      <c r="O60" s="2">
        <f t="shared" si="17"/>
        <v>-50.31612925690724</v>
      </c>
    </row>
    <row r="61" spans="3:15" ht="12.75">
      <c r="C61" s="3"/>
      <c r="D61" s="3"/>
      <c r="E61" s="3"/>
      <c r="F61" s="3"/>
      <c r="G61" s="3"/>
      <c r="H61" s="3"/>
      <c r="I61" s="3"/>
      <c r="L61" s="2"/>
      <c r="M61" s="51"/>
      <c r="N61" s="2"/>
      <c r="O61" s="2"/>
    </row>
    <row r="62" spans="3:15" ht="12.75">
      <c r="C62" s="3"/>
      <c r="D62" s="3"/>
      <c r="E62" s="3"/>
      <c r="F62" s="3"/>
      <c r="G62" s="3"/>
      <c r="H62" s="3"/>
      <c r="I62" s="3"/>
      <c r="M62" s="51"/>
      <c r="N62" s="2"/>
      <c r="O62" s="2"/>
    </row>
    <row r="63" spans="1:15" ht="12.75">
      <c r="A63">
        <v>12</v>
      </c>
      <c r="B63" t="s">
        <v>127</v>
      </c>
      <c r="C63" s="3">
        <v>14099453.3986039</v>
      </c>
      <c r="D63" s="3">
        <v>10435937.5</v>
      </c>
      <c r="E63" s="3">
        <v>16322323.1998963</v>
      </c>
      <c r="F63" s="3">
        <v>2223094.53028022</v>
      </c>
      <c r="G63" s="3">
        <v>14099228.6696161</v>
      </c>
      <c r="H63" s="3">
        <v>14105795.9316076</v>
      </c>
      <c r="I63" s="3">
        <v>14093335.5945881</v>
      </c>
      <c r="L63" s="2">
        <f>+C63/D63</f>
        <v>1.351048087304461</v>
      </c>
      <c r="M63" s="51">
        <f>+L91</f>
        <v>0.9364039948635079</v>
      </c>
      <c r="N63" s="2">
        <f t="shared" si="19"/>
        <v>0.4146440924409531</v>
      </c>
      <c r="O63" s="2">
        <f>+(M63-L63)/M63*100</f>
        <v>-44.280470258074075</v>
      </c>
    </row>
    <row r="64" spans="1:15" ht="12.75">
      <c r="A64">
        <v>13</v>
      </c>
      <c r="B64" t="s">
        <v>126</v>
      </c>
      <c r="C64" s="3">
        <v>17712026.0301625</v>
      </c>
      <c r="D64" s="3">
        <v>9967500</v>
      </c>
      <c r="E64" s="3">
        <v>19481713.056948</v>
      </c>
      <c r="F64" s="3">
        <v>1773903.83199606</v>
      </c>
      <c r="G64" s="3">
        <v>17707809.2249519</v>
      </c>
      <c r="H64" s="3">
        <v>17736152.9845313</v>
      </c>
      <c r="I64" s="3">
        <v>17692115.8810045</v>
      </c>
      <c r="L64" s="2">
        <f>+C64/D64</f>
        <v>1.7769777808038625</v>
      </c>
      <c r="M64" s="51">
        <f>+L92</f>
        <v>1.389977678429496</v>
      </c>
      <c r="N64" s="2">
        <f t="shared" si="19"/>
        <v>0.38700010237436655</v>
      </c>
      <c r="O64" s="2">
        <f>+(M64-L64)/M64*100</f>
        <v>-27.842181092550288</v>
      </c>
    </row>
    <row r="65" spans="1:15" ht="12.75">
      <c r="A65">
        <v>2</v>
      </c>
      <c r="B65" t="s">
        <v>130</v>
      </c>
      <c r="C65" s="3">
        <v>8037580.7105102</v>
      </c>
      <c r="D65" s="3">
        <v>33927812.5000001</v>
      </c>
      <c r="E65" s="3">
        <v>12372366.5497846</v>
      </c>
      <c r="F65" s="3">
        <v>4330803.76731025</v>
      </c>
      <c r="G65" s="3">
        <v>8041562.78247431</v>
      </c>
      <c r="H65" s="3">
        <v>8034139.45588689</v>
      </c>
      <c r="I65" s="3">
        <v>8037039.89316939</v>
      </c>
      <c r="J65" s="3"/>
      <c r="L65" s="2">
        <f>+C65/D65</f>
        <v>0.23690241481115756</v>
      </c>
      <c r="M65" s="51">
        <f>+L93</f>
        <v>0.13866425794248774</v>
      </c>
      <c r="N65" s="2">
        <f t="shared" si="19"/>
        <v>0.09823815686866982</v>
      </c>
      <c r="O65" s="2">
        <f>+(M65-L65)/M65*100</f>
        <v>-70.84605530389453</v>
      </c>
    </row>
    <row r="66" spans="3:13" ht="12.75">
      <c r="C66" s="3"/>
      <c r="D66" s="3"/>
      <c r="E66" s="3"/>
      <c r="F66" s="3"/>
      <c r="G66" s="3"/>
      <c r="H66" s="3"/>
      <c r="I66" s="3"/>
      <c r="M66" s="51"/>
    </row>
    <row r="67" spans="3:15" ht="12.75">
      <c r="C67" s="3"/>
      <c r="D67" s="3"/>
      <c r="E67" s="3"/>
      <c r="F67" s="3"/>
      <c r="G67" s="3"/>
      <c r="H67" s="3"/>
      <c r="I67" s="3"/>
      <c r="L67" s="2"/>
      <c r="M67" s="51"/>
      <c r="O67" s="2"/>
    </row>
    <row r="68" spans="1:15" ht="12.75">
      <c r="A68">
        <v>16</v>
      </c>
      <c r="B68" t="s">
        <v>186</v>
      </c>
      <c r="C68" s="3">
        <v>337201.490789303</v>
      </c>
      <c r="D68" s="3">
        <v>9269687.5</v>
      </c>
      <c r="E68" s="3">
        <v>2377488.25316343</v>
      </c>
      <c r="F68" s="3">
        <v>2038910.59055258</v>
      </c>
      <c r="G68" s="3">
        <v>338577.662610839</v>
      </c>
      <c r="H68" s="3">
        <v>336353.997220162</v>
      </c>
      <c r="I68" s="3">
        <v>336672.812536909</v>
      </c>
      <c r="J68" s="3"/>
      <c r="L68" s="2">
        <f>+C68/D68</f>
        <v>0.03637679164365605</v>
      </c>
      <c r="M68" s="51">
        <f>+L96</f>
        <v>-0.0755719814881946</v>
      </c>
      <c r="N68" s="2">
        <f>+L68-M68</f>
        <v>0.11194877313185066</v>
      </c>
      <c r="O68" s="2">
        <f>+(M68-L68)/M68*100</f>
        <v>148.135288935541</v>
      </c>
    </row>
    <row r="69" spans="1:15" ht="12.75">
      <c r="A69">
        <v>17</v>
      </c>
      <c r="B69" t="s">
        <v>184</v>
      </c>
      <c r="C69" s="3">
        <v>2516646.54835955</v>
      </c>
      <c r="D69" s="3">
        <v>12589375</v>
      </c>
      <c r="E69" s="3">
        <v>3990760.78193036</v>
      </c>
      <c r="F69" s="3">
        <v>1473326.62634567</v>
      </c>
      <c r="G69" s="3">
        <v>2517434.15558468</v>
      </c>
      <c r="H69" s="3">
        <v>2514859.15843453</v>
      </c>
      <c r="I69" s="3">
        <v>2517646.33105944</v>
      </c>
      <c r="L69" s="2">
        <f>+C69/D69</f>
        <v>0.19990242155464827</v>
      </c>
      <c r="M69" s="51">
        <f>+L97</f>
        <v>0.12251078353198153</v>
      </c>
      <c r="N69" s="2">
        <f>+L69-M69</f>
        <v>0.07739163802266674</v>
      </c>
      <c r="O69" s="2">
        <f>+(M69-L69)/M69*100</f>
        <v>-63.171286470846546</v>
      </c>
    </row>
    <row r="70" spans="1:15" ht="12.75">
      <c r="A70">
        <v>18</v>
      </c>
      <c r="B70" t="s">
        <v>185</v>
      </c>
      <c r="C70" s="3">
        <v>5183836.82397866</v>
      </c>
      <c r="D70" s="3">
        <v>11930312.5</v>
      </c>
      <c r="E70" s="3">
        <v>6004326.58785124</v>
      </c>
      <c r="F70" s="3">
        <v>818676.572541795</v>
      </c>
      <c r="G70" s="3">
        <v>5185650.01530946</v>
      </c>
      <c r="H70" s="3">
        <v>5183014.34559279</v>
      </c>
      <c r="I70" s="3">
        <v>5182846.11103373</v>
      </c>
      <c r="L70" s="2">
        <f>+C70/D70</f>
        <v>0.4345097267132491</v>
      </c>
      <c r="M70" s="51">
        <f>+L98</f>
        <v>0.32378606987748476</v>
      </c>
      <c r="N70" s="2">
        <f>+L70-M70</f>
        <v>0.11072365683576435</v>
      </c>
      <c r="O70" s="2">
        <f>+(M70-L70)/M70*100</f>
        <v>-34.19654739243734</v>
      </c>
    </row>
    <row r="71" spans="1:15" ht="12.75">
      <c r="A71">
        <v>3</v>
      </c>
      <c r="B71" t="s">
        <v>131</v>
      </c>
      <c r="C71" s="3">
        <v>13554142.326328</v>
      </c>
      <c r="D71" s="3">
        <v>13313125</v>
      </c>
      <c r="E71" s="3">
        <v>13682539.8863362</v>
      </c>
      <c r="F71" s="3">
        <v>131532.151987924</v>
      </c>
      <c r="G71" s="3">
        <v>13551007.7343482</v>
      </c>
      <c r="H71" s="3">
        <v>13558179.6814501</v>
      </c>
      <c r="I71" s="3">
        <v>13553239.5631857</v>
      </c>
      <c r="L71" s="2">
        <f>+C71/D71</f>
        <v>1.0181037379524343</v>
      </c>
      <c r="M71" s="51">
        <f>+L99</f>
        <v>0.9467875000438064</v>
      </c>
      <c r="N71" s="2">
        <f>+L71-M71</f>
        <v>0.07131623790862784</v>
      </c>
      <c r="O71" s="2">
        <f>+(M71-L71)/M71*100</f>
        <v>-7.532443965021524</v>
      </c>
    </row>
    <row r="72" spans="3:15" ht="12.75">
      <c r="C72" s="3"/>
      <c r="D72" s="3"/>
      <c r="E72" s="3"/>
      <c r="F72" s="3"/>
      <c r="G72" s="3"/>
      <c r="H72" s="3"/>
      <c r="I72" s="3"/>
      <c r="L72" s="2"/>
      <c r="M72" s="51"/>
      <c r="N72" s="2"/>
      <c r="O72" s="2"/>
    </row>
    <row r="73" spans="3:17" ht="12.75">
      <c r="C73" s="3"/>
      <c r="D73" s="3"/>
      <c r="E73" s="3"/>
      <c r="F73" s="3"/>
      <c r="G73" s="3"/>
      <c r="H73" s="3"/>
      <c r="I73" s="3"/>
      <c r="L73" s="2"/>
      <c r="M73" s="51"/>
      <c r="N73" s="2"/>
      <c r="O73" s="2"/>
      <c r="P73" s="19"/>
      <c r="Q73" s="2"/>
    </row>
    <row r="74" spans="3:17" ht="12.75">
      <c r="C74" s="3"/>
      <c r="D74" s="3"/>
      <c r="E74" s="3"/>
      <c r="F74" s="3"/>
      <c r="G74" s="3"/>
      <c r="H74" s="3"/>
      <c r="I74" s="3"/>
      <c r="L74" s="2"/>
      <c r="O74" s="2"/>
      <c r="P74" s="19"/>
      <c r="Q74" s="2"/>
    </row>
    <row r="75" spans="3:19" s="36" customFormat="1" ht="13.5" thickBot="1">
      <c r="C75" s="104"/>
      <c r="D75" s="104"/>
      <c r="E75" s="104"/>
      <c r="F75" s="104"/>
      <c r="G75" s="104"/>
      <c r="H75" s="104"/>
      <c r="I75" s="104"/>
      <c r="L75" s="105"/>
      <c r="N75" s="106"/>
      <c r="O75" s="105"/>
      <c r="P75" s="107"/>
      <c r="Q75" s="105"/>
      <c r="R75" s="105"/>
      <c r="S75" s="108"/>
    </row>
    <row r="76" spans="3:19" s="16" customFormat="1" ht="12.75">
      <c r="C76" s="32"/>
      <c r="D76" s="32"/>
      <c r="E76" s="32"/>
      <c r="F76" s="32"/>
      <c r="G76" s="32"/>
      <c r="H76" s="32"/>
      <c r="I76" s="32"/>
      <c r="L76" s="113"/>
      <c r="N76" s="114"/>
      <c r="O76" s="113"/>
      <c r="P76" s="115"/>
      <c r="Q76" s="113"/>
      <c r="R76" s="113"/>
      <c r="S76" s="116"/>
    </row>
    <row r="77" spans="1:19" ht="12.75">
      <c r="A77" s="110">
        <v>37134</v>
      </c>
      <c r="B77" t="s">
        <v>1</v>
      </c>
      <c r="C77" t="s">
        <v>2</v>
      </c>
      <c r="D77" t="s">
        <v>3</v>
      </c>
      <c r="E77" t="s">
        <v>4</v>
      </c>
      <c r="F77" t="s">
        <v>5</v>
      </c>
      <c r="G77" t="s">
        <v>6</v>
      </c>
      <c r="L77" t="s">
        <v>12</v>
      </c>
      <c r="M77" s="4"/>
      <c r="P77" s="19"/>
      <c r="Q77" s="2"/>
      <c r="R77" s="2"/>
      <c r="S77" s="29"/>
    </row>
    <row r="78" spans="1:17" ht="12.75">
      <c r="A78">
        <v>1</v>
      </c>
      <c r="B78" t="s">
        <v>129</v>
      </c>
      <c r="C78" s="3">
        <v>-32311567.89464</v>
      </c>
      <c r="D78" s="3">
        <v>41350000</v>
      </c>
      <c r="E78" s="3">
        <v>883856.45064331</v>
      </c>
      <c r="F78" s="3">
        <v>33192917.2682271</v>
      </c>
      <c r="G78" s="3">
        <v>-32309060.8175838</v>
      </c>
      <c r="H78" s="3">
        <v>-32312409.569964</v>
      </c>
      <c r="I78" s="3">
        <v>-32313233.2963722</v>
      </c>
      <c r="L78" s="2">
        <f>+C78/D78</f>
        <v>-0.7814163940662636</v>
      </c>
      <c r="M78" s="51"/>
      <c r="N78" s="2"/>
      <c r="O78" s="2"/>
      <c r="P78" s="19"/>
      <c r="Q78" s="2"/>
    </row>
    <row r="79" spans="1:17" ht="12.75">
      <c r="A79">
        <v>4</v>
      </c>
      <c r="B79" t="s">
        <v>74</v>
      </c>
      <c r="C79" s="3">
        <v>-29813397.4119172</v>
      </c>
      <c r="D79" s="3">
        <v>130432187.5</v>
      </c>
      <c r="E79" s="3">
        <v>9296381.60961751</v>
      </c>
      <c r="F79" s="3">
        <v>39110006.3848528</v>
      </c>
      <c r="G79" s="3">
        <v>-29813624.7752354</v>
      </c>
      <c r="H79" s="3">
        <v>-29809518.253653</v>
      </c>
      <c r="I79" s="3">
        <v>-29817049.2068632</v>
      </c>
      <c r="L79" s="2">
        <f aca="true" t="shared" si="20" ref="L79:L84">+C79/D79</f>
        <v>-0.22857392782680425</v>
      </c>
      <c r="M79" s="51"/>
      <c r="N79" s="2"/>
      <c r="O79" s="2"/>
      <c r="P79" s="19"/>
      <c r="Q79" s="2"/>
    </row>
    <row r="80" spans="1:17" ht="12.75">
      <c r="A80">
        <v>5</v>
      </c>
      <c r="B80" t="s">
        <v>76</v>
      </c>
      <c r="C80" s="3">
        <v>-52526989.0221896</v>
      </c>
      <c r="D80" s="3">
        <v>43465937.5</v>
      </c>
      <c r="E80" s="3">
        <v>4020003.11349439</v>
      </c>
      <c r="F80" s="3">
        <v>56542208.3451579</v>
      </c>
      <c r="G80" s="3">
        <v>-52522205.2316641</v>
      </c>
      <c r="H80" s="3">
        <v>-52531528.9357387</v>
      </c>
      <c r="I80" s="3">
        <v>-52527232.8991661</v>
      </c>
      <c r="L80" s="2">
        <f t="shared" si="20"/>
        <v>-1.2084632713188252</v>
      </c>
      <c r="M80" s="51"/>
      <c r="N80" s="2"/>
      <c r="O80" s="2"/>
      <c r="P80" s="19"/>
      <c r="Q80" s="2"/>
    </row>
    <row r="81" spans="1:17" ht="12.75">
      <c r="A81">
        <v>6</v>
      </c>
      <c r="B81" t="s">
        <v>77</v>
      </c>
      <c r="C81" s="3">
        <v>40009808.8220377</v>
      </c>
      <c r="D81" s="3">
        <v>18410312.5</v>
      </c>
      <c r="E81" s="3">
        <v>40011144.57097</v>
      </c>
      <c r="F81" s="3">
        <v>312.236778258686</v>
      </c>
      <c r="G81" s="3">
        <v>40010832.3341917</v>
      </c>
      <c r="H81" s="3">
        <v>40001334.3332825</v>
      </c>
      <c r="I81" s="3">
        <v>40017259.7986389</v>
      </c>
      <c r="L81" s="2">
        <f t="shared" si="20"/>
        <v>2.1732281199484094</v>
      </c>
      <c r="M81" s="51"/>
      <c r="N81" s="2"/>
      <c r="O81" s="2"/>
      <c r="P81" s="19"/>
      <c r="Q81" s="2"/>
    </row>
    <row r="82" spans="1:17" ht="12.75">
      <c r="A82">
        <v>7</v>
      </c>
      <c r="B82" t="s">
        <v>132</v>
      </c>
      <c r="C82" s="3">
        <v>14885369.3583453</v>
      </c>
      <c r="D82" s="3">
        <v>24233437.5</v>
      </c>
      <c r="E82" s="3">
        <v>15658625.6369984</v>
      </c>
      <c r="F82" s="3">
        <v>772993.513497163</v>
      </c>
      <c r="G82" s="3">
        <v>14885632.1235013</v>
      </c>
      <c r="H82" s="3">
        <v>14885065.5249682</v>
      </c>
      <c r="I82" s="3">
        <v>14885410.4265664</v>
      </c>
      <c r="L82" s="2">
        <f t="shared" si="20"/>
        <v>0.6142491901260521</v>
      </c>
      <c r="M82" s="51"/>
      <c r="N82" s="2"/>
      <c r="O82" s="2"/>
      <c r="P82" s="19"/>
      <c r="Q82" s="2"/>
    </row>
    <row r="83" spans="1:17" ht="12.75">
      <c r="A83">
        <v>8</v>
      </c>
      <c r="B83" t="s">
        <v>122</v>
      </c>
      <c r="C83" s="3">
        <v>6511911.63345476</v>
      </c>
      <c r="D83" s="3">
        <v>3007187.5</v>
      </c>
      <c r="E83" s="3">
        <v>6609482.60320158</v>
      </c>
      <c r="F83" s="3">
        <v>98286.4665783648</v>
      </c>
      <c r="G83" s="3">
        <v>6511196.13662323</v>
      </c>
      <c r="H83" s="3">
        <v>6512608.58410032</v>
      </c>
      <c r="I83" s="3">
        <v>6511930.17964074</v>
      </c>
      <c r="L83" s="2">
        <f t="shared" si="20"/>
        <v>2.165449155882285</v>
      </c>
      <c r="M83" s="51"/>
      <c r="N83" s="2"/>
      <c r="O83" s="2"/>
      <c r="P83" s="19"/>
      <c r="Q83" s="2"/>
    </row>
    <row r="84" spans="1:17" ht="12.75">
      <c r="A84">
        <v>9</v>
      </c>
      <c r="B84" t="s">
        <v>123</v>
      </c>
      <c r="C84" s="3">
        <v>42973601.9789079</v>
      </c>
      <c r="D84" s="3">
        <v>9531562.5</v>
      </c>
      <c r="E84" s="3">
        <v>42979705.9098309</v>
      </c>
      <c r="F84" s="3">
        <v>6559.65036464856</v>
      </c>
      <c r="G84" s="3">
        <v>42973146.2594663</v>
      </c>
      <c r="H84" s="3">
        <v>42981416.3842288</v>
      </c>
      <c r="I84" s="3">
        <v>42966243.2930286</v>
      </c>
      <c r="L84" s="2">
        <f t="shared" si="20"/>
        <v>4.508557959821163</v>
      </c>
      <c r="M84" s="51"/>
      <c r="N84" s="2"/>
      <c r="O84" s="2"/>
      <c r="P84" s="19"/>
      <c r="Q84" s="2"/>
    </row>
    <row r="85" spans="1:17" ht="12.75">
      <c r="A85">
        <v>10</v>
      </c>
      <c r="B85" t="s">
        <v>124</v>
      </c>
      <c r="C85" s="3">
        <v>3149414.26726502</v>
      </c>
      <c r="D85" s="3">
        <v>2354062.5</v>
      </c>
      <c r="E85" s="3">
        <v>3152714.63079326</v>
      </c>
      <c r="F85" s="3">
        <v>2974.05069640818</v>
      </c>
      <c r="G85" s="3">
        <v>3149740.58009685</v>
      </c>
      <c r="H85" s="3">
        <v>3148063.5875806</v>
      </c>
      <c r="I85" s="3">
        <v>3150438.63411761</v>
      </c>
      <c r="L85" s="2">
        <f>+C85/D85</f>
        <v>1.3378634880191245</v>
      </c>
      <c r="M85" s="51"/>
      <c r="N85" s="2"/>
      <c r="O85" s="2"/>
      <c r="P85" s="19"/>
      <c r="Q85" s="2"/>
    </row>
    <row r="86" spans="1:17" ht="12.75">
      <c r="A86">
        <v>11</v>
      </c>
      <c r="B86" t="s">
        <v>136</v>
      </c>
      <c r="C86" s="3">
        <v>-26304313.8926417</v>
      </c>
      <c r="D86" s="3">
        <v>72538125.0000001</v>
      </c>
      <c r="E86" s="3">
        <v>1594418.90405701</v>
      </c>
      <c r="F86" s="3">
        <v>27897820.1527144</v>
      </c>
      <c r="G86" s="3">
        <v>-26303401.2486571</v>
      </c>
      <c r="H86" s="3">
        <v>-26310083.9635599</v>
      </c>
      <c r="I86" s="3">
        <v>-26299456.465708</v>
      </c>
      <c r="L86" s="2">
        <f>+C86/D86</f>
        <v>-0.36262743064618314</v>
      </c>
      <c r="M86" s="51"/>
      <c r="N86" s="2"/>
      <c r="O86" s="2"/>
      <c r="P86" s="19"/>
      <c r="Q86" s="2"/>
    </row>
    <row r="87" spans="1:17" ht="12.75">
      <c r="A87">
        <v>14</v>
      </c>
      <c r="B87" t="s">
        <v>71</v>
      </c>
      <c r="C87" s="3">
        <v>16297390.3571137</v>
      </c>
      <c r="D87" s="3">
        <v>21537812.5</v>
      </c>
      <c r="E87" s="3">
        <v>16503425.4096213</v>
      </c>
      <c r="F87" s="3">
        <v>210048.15874211</v>
      </c>
      <c r="G87" s="3">
        <v>16293377.2508791</v>
      </c>
      <c r="H87" s="3">
        <v>16305922.595326</v>
      </c>
      <c r="I87" s="3">
        <v>16292871.2251361</v>
      </c>
      <c r="L87" s="2">
        <f>+C87/D87</f>
        <v>0.7566873542572488</v>
      </c>
      <c r="M87" s="51"/>
      <c r="N87" s="2"/>
      <c r="O87" s="2"/>
      <c r="P87" s="19"/>
      <c r="Q87" s="2"/>
    </row>
    <row r="88" spans="1:17" ht="12.75">
      <c r="A88">
        <v>15</v>
      </c>
      <c r="B88" t="s">
        <v>72</v>
      </c>
      <c r="C88" s="3">
        <v>8899062.94929233</v>
      </c>
      <c r="D88" s="3">
        <v>15223750</v>
      </c>
      <c r="E88" s="3">
        <v>9084798.8143039</v>
      </c>
      <c r="F88" s="3">
        <v>186731.683556045</v>
      </c>
      <c r="G88" s="3">
        <v>8898067.13074782</v>
      </c>
      <c r="H88" s="3">
        <v>8912023.96203487</v>
      </c>
      <c r="I88" s="3">
        <v>8887097.7550943</v>
      </c>
      <c r="L88" s="2">
        <f>+C88/D88</f>
        <v>0.5845513063005061</v>
      </c>
      <c r="M88" s="51"/>
      <c r="N88" s="2"/>
      <c r="O88" s="2"/>
      <c r="P88" s="19"/>
      <c r="Q88" s="2"/>
    </row>
    <row r="89" spans="12:17" ht="12.75">
      <c r="L89" s="2"/>
      <c r="M89" s="51"/>
      <c r="N89" s="2"/>
      <c r="O89" s="2"/>
      <c r="P89" s="19"/>
      <c r="Q89" s="2"/>
    </row>
    <row r="90" spans="13:17" ht="12.75">
      <c r="M90" s="51"/>
      <c r="N90" s="2"/>
      <c r="O90" s="2"/>
      <c r="P90" s="19"/>
      <c r="Q90" s="2"/>
    </row>
    <row r="91" spans="1:17" ht="12.75">
      <c r="A91">
        <v>12</v>
      </c>
      <c r="B91" t="s">
        <v>127</v>
      </c>
      <c r="C91" s="3">
        <v>9772253.56514589</v>
      </c>
      <c r="D91" s="3">
        <v>10435937.5</v>
      </c>
      <c r="E91" s="3">
        <v>12754391.1879285</v>
      </c>
      <c r="F91" s="3">
        <v>2982851.84446867</v>
      </c>
      <c r="G91" s="3">
        <v>9771539.34345984</v>
      </c>
      <c r="H91" s="3">
        <v>9778613.92274238</v>
      </c>
      <c r="I91" s="3">
        <v>9766607.42923546</v>
      </c>
      <c r="L91" s="2">
        <f>+C91/D91</f>
        <v>0.9364039948635079</v>
      </c>
      <c r="M91" s="51"/>
      <c r="N91" s="2"/>
      <c r="O91" s="2"/>
      <c r="P91" s="19"/>
      <c r="Q91" s="2"/>
    </row>
    <row r="92" spans="1:17" ht="12.75">
      <c r="A92">
        <v>13</v>
      </c>
      <c r="B92" t="s">
        <v>126</v>
      </c>
      <c r="C92" s="3">
        <v>13854602.509746</v>
      </c>
      <c r="D92" s="3">
        <v>9967500</v>
      </c>
      <c r="E92" s="3">
        <v>16085027.6491129</v>
      </c>
      <c r="F92" s="3">
        <v>2233947.43451984</v>
      </c>
      <c r="G92" s="3">
        <v>13851080.2145931</v>
      </c>
      <c r="H92" s="3">
        <v>13873282.5909211</v>
      </c>
      <c r="I92" s="3">
        <v>13839444.7237236</v>
      </c>
      <c r="L92" s="2">
        <f>+C92/D92</f>
        <v>1.389977678429496</v>
      </c>
      <c r="M92" s="51"/>
      <c r="N92" s="2"/>
      <c r="O92" s="2"/>
      <c r="P92" s="19"/>
      <c r="Q92" s="2"/>
    </row>
    <row r="93" spans="1:17" ht="12.75">
      <c r="A93">
        <v>2</v>
      </c>
      <c r="B93" t="s">
        <v>130</v>
      </c>
      <c r="C93" s="3">
        <v>4704574.94392436</v>
      </c>
      <c r="D93" s="3">
        <v>33927812.5</v>
      </c>
      <c r="E93" s="3">
        <v>10314377.6791045</v>
      </c>
      <c r="F93" s="3">
        <v>5606059.99474738</v>
      </c>
      <c r="G93" s="3">
        <v>4708317.68435715</v>
      </c>
      <c r="H93" s="3">
        <v>4701390.86724932</v>
      </c>
      <c r="I93" s="3">
        <v>4704016.2801666</v>
      </c>
      <c r="J93" s="3"/>
      <c r="L93" s="2">
        <f>+C93/D93</f>
        <v>0.13866425794248774</v>
      </c>
      <c r="M93" s="51"/>
      <c r="N93" s="2"/>
      <c r="O93" s="2"/>
      <c r="P93" s="19"/>
      <c r="Q93" s="2"/>
    </row>
    <row r="94" spans="13:17" ht="12.75">
      <c r="M94" s="51"/>
      <c r="P94" s="19"/>
      <c r="Q94" s="2"/>
    </row>
    <row r="95" spans="12:17" ht="12.75">
      <c r="L95" s="2"/>
      <c r="M95" s="51"/>
      <c r="O95" s="2"/>
      <c r="P95" s="19"/>
      <c r="Q95" s="2"/>
    </row>
    <row r="96" spans="1:17" ht="12.75">
      <c r="A96">
        <v>16</v>
      </c>
      <c r="B96" t="s">
        <v>186</v>
      </c>
      <c r="C96" s="3">
        <v>-700528.652151349</v>
      </c>
      <c r="D96" s="3">
        <v>9269687.5</v>
      </c>
      <c r="E96" s="3">
        <v>1837613.58174598</v>
      </c>
      <c r="F96" s="3">
        <v>2536772.47649164</v>
      </c>
      <c r="G96" s="3">
        <v>-699158.894745671</v>
      </c>
      <c r="H96" s="3">
        <v>-701514.61159269</v>
      </c>
      <c r="I96" s="3">
        <v>-700912.450115686</v>
      </c>
      <c r="J96" s="3"/>
      <c r="L96" s="2">
        <f>+C96/D96</f>
        <v>-0.0755719814881946</v>
      </c>
      <c r="M96" s="51"/>
      <c r="N96" s="2"/>
      <c r="O96" s="2"/>
      <c r="P96" s="19"/>
      <c r="Q96" s="2"/>
    </row>
    <row r="97" spans="1:17" ht="12.75">
      <c r="A97">
        <v>17</v>
      </c>
      <c r="B97" t="s">
        <v>184</v>
      </c>
      <c r="C97" s="3">
        <v>1542334.19542794</v>
      </c>
      <c r="D97" s="3">
        <v>12589375</v>
      </c>
      <c r="E97" s="3">
        <v>3418952.26066192</v>
      </c>
      <c r="F97" s="3">
        <v>1875517.72006418</v>
      </c>
      <c r="G97" s="3">
        <v>1543434.54059774</v>
      </c>
      <c r="H97" s="3">
        <v>1540538.17573351</v>
      </c>
      <c r="I97" s="3">
        <v>1543029.86995258</v>
      </c>
      <c r="L97" s="2">
        <f>+C97/D97</f>
        <v>0.12251078353198153</v>
      </c>
      <c r="M97" s="51"/>
      <c r="N97" s="2"/>
      <c r="O97" s="2"/>
      <c r="P97" s="19"/>
      <c r="Q97" s="2"/>
    </row>
    <row r="98" spans="1:19" ht="12.75">
      <c r="A98">
        <v>18</v>
      </c>
      <c r="B98" t="s">
        <v>185</v>
      </c>
      <c r="C98" s="3">
        <v>3862868.99678523</v>
      </c>
      <c r="D98" s="3">
        <v>11930312.5</v>
      </c>
      <c r="E98" s="3">
        <v>5057967.43926629</v>
      </c>
      <c r="F98" s="3">
        <v>1193830.68302562</v>
      </c>
      <c r="G98" s="3">
        <v>3864136.75624067</v>
      </c>
      <c r="H98" s="3">
        <v>3862451.49665124</v>
      </c>
      <c r="I98" s="3">
        <v>3862018.73746379</v>
      </c>
      <c r="L98" s="2">
        <f>+C98/D98</f>
        <v>0.32378606987748476</v>
      </c>
      <c r="M98" s="51"/>
      <c r="N98" s="2"/>
      <c r="O98" s="2"/>
      <c r="P98" s="19"/>
      <c r="Q98" s="2"/>
      <c r="R98" s="2"/>
      <c r="S98" s="29"/>
    </row>
    <row r="99" spans="1:19" ht="12.75">
      <c r="A99">
        <v>3</v>
      </c>
      <c r="B99" t="s">
        <v>131</v>
      </c>
      <c r="C99" s="3">
        <v>12604700.3365207</v>
      </c>
      <c r="D99" s="3">
        <v>13313125</v>
      </c>
      <c r="E99" s="3">
        <v>12787212.3782053</v>
      </c>
      <c r="F99" s="3">
        <v>185224.02521931</v>
      </c>
      <c r="G99" s="3">
        <v>12601988.352986</v>
      </c>
      <c r="H99" s="3">
        <v>12608328.6421195</v>
      </c>
      <c r="I99" s="3">
        <v>12603784.0144565</v>
      </c>
      <c r="L99" s="2">
        <f>+C99/D99</f>
        <v>0.9467875000438064</v>
      </c>
      <c r="M99" s="51"/>
      <c r="N99" s="2"/>
      <c r="O99" s="2"/>
      <c r="P99" s="19"/>
      <c r="Q99" s="2"/>
      <c r="R99" s="2"/>
      <c r="S99" s="29"/>
    </row>
    <row r="100" spans="3:19" ht="12.75">
      <c r="C100" s="3"/>
      <c r="D100" s="3"/>
      <c r="E100" s="3"/>
      <c r="F100" s="3"/>
      <c r="G100" s="3"/>
      <c r="H100" s="3"/>
      <c r="I100" s="3"/>
      <c r="L100" s="2"/>
      <c r="M100" s="51"/>
      <c r="N100" s="2"/>
      <c r="O100" s="2"/>
      <c r="P100" s="19"/>
      <c r="Q100" s="2"/>
      <c r="R100" s="2"/>
      <c r="S100" s="29"/>
    </row>
    <row r="101" spans="3:22" ht="12.75">
      <c r="C101" s="3"/>
      <c r="D101" s="3"/>
      <c r="E101" s="3"/>
      <c r="F101" s="3"/>
      <c r="G101" s="3"/>
      <c r="H101" s="3"/>
      <c r="I101" s="3"/>
      <c r="M101" t="s">
        <v>65</v>
      </c>
      <c r="O101" t="s">
        <v>66</v>
      </c>
      <c r="R101" t="s">
        <v>59</v>
      </c>
      <c r="S101" t="s">
        <v>61</v>
      </c>
      <c r="V101" s="4" t="s">
        <v>120</v>
      </c>
    </row>
    <row r="102" spans="1:40" ht="12.75">
      <c r="A102" s="5" t="s">
        <v>179</v>
      </c>
      <c r="C102" t="s">
        <v>0</v>
      </c>
      <c r="D102" t="s">
        <v>1</v>
      </c>
      <c r="E102" t="s">
        <v>2</v>
      </c>
      <c r="F102" t="s">
        <v>3</v>
      </c>
      <c r="G102" t="s">
        <v>4</v>
      </c>
      <c r="H102" t="s">
        <v>5</v>
      </c>
      <c r="I102" t="s">
        <v>6</v>
      </c>
      <c r="L102" s="5" t="s">
        <v>12</v>
      </c>
      <c r="M102" s="5">
        <v>1958</v>
      </c>
      <c r="N102" s="5">
        <v>1998</v>
      </c>
      <c r="O102" s="5">
        <v>1958</v>
      </c>
      <c r="P102" s="5">
        <v>1998</v>
      </c>
      <c r="AH102" t="s">
        <v>65</v>
      </c>
      <c r="AJ102" t="s">
        <v>66</v>
      </c>
      <c r="AM102" t="s">
        <v>59</v>
      </c>
      <c r="AN102" t="s">
        <v>61</v>
      </c>
    </row>
    <row r="103" spans="1:37" ht="12.75">
      <c r="A103">
        <v>1</v>
      </c>
      <c r="B103" t="s">
        <v>129</v>
      </c>
      <c r="C103" s="3">
        <v>-49049861.1324511</v>
      </c>
      <c r="D103" s="3">
        <v>41350000</v>
      </c>
      <c r="E103" s="3">
        <v>1321984.7742556</v>
      </c>
      <c r="F103" s="3">
        <v>50368799.1114298</v>
      </c>
      <c r="G103" s="3">
        <v>-49046814.3371743</v>
      </c>
      <c r="H103" s="3">
        <v>-49054199.2826266</v>
      </c>
      <c r="I103" s="3">
        <v>-49048569.7775525</v>
      </c>
      <c r="L103" s="2">
        <f>+C103/D103</f>
        <v>-1.1862118774474268</v>
      </c>
      <c r="M103">
        <v>0.5</v>
      </c>
      <c r="N103">
        <v>0.5</v>
      </c>
      <c r="O103" s="3">
        <f>+D103*M103</f>
        <v>20675000</v>
      </c>
      <c r="P103" s="3">
        <f aca="true" t="shared" si="21" ref="P103:P113">+$D103*N103</f>
        <v>20675000</v>
      </c>
      <c r="R103" s="3">
        <f aca="true" t="shared" si="22" ref="R103:R113">SUM(O103:P103)</f>
        <v>41350000</v>
      </c>
      <c r="S103" s="3">
        <f>+SQRT(O103^2+P103^2)</f>
        <v>29238865.40206374</v>
      </c>
      <c r="T103" t="str">
        <f aca="true" t="shared" si="23" ref="T103:T113">+B103</f>
        <v>CPdn_off</v>
      </c>
      <c r="X103" t="s">
        <v>0</v>
      </c>
      <c r="Y103" t="s">
        <v>1</v>
      </c>
      <c r="Z103" t="s">
        <v>2</v>
      </c>
      <c r="AA103" t="s">
        <v>3</v>
      </c>
      <c r="AB103" t="s">
        <v>4</v>
      </c>
      <c r="AC103" t="s">
        <v>5</v>
      </c>
      <c r="AD103" t="s">
        <v>6</v>
      </c>
      <c r="AG103" s="4" t="s">
        <v>203</v>
      </c>
      <c r="AH103" s="4">
        <v>1958</v>
      </c>
      <c r="AI103" s="4">
        <v>1998</v>
      </c>
      <c r="AJ103" s="4">
        <v>1958</v>
      </c>
      <c r="AK103" s="4">
        <v>1998</v>
      </c>
    </row>
    <row r="104" spans="1:41" ht="12.75">
      <c r="A104">
        <v>4</v>
      </c>
      <c r="B104" t="s">
        <v>74</v>
      </c>
      <c r="C104" s="3">
        <v>-83114947.6742543</v>
      </c>
      <c r="D104" s="3">
        <v>130432187.5</v>
      </c>
      <c r="E104" s="3">
        <v>1750812.14035482</v>
      </c>
      <c r="F104" s="3">
        <v>84866539.3025495</v>
      </c>
      <c r="G104" s="3">
        <v>-83115727.1621963</v>
      </c>
      <c r="H104" s="3">
        <v>-83108872.9720306</v>
      </c>
      <c r="I104" s="3">
        <v>-83120242.8885359</v>
      </c>
      <c r="L104" s="2">
        <f aca="true" t="shared" si="24" ref="L104:L109">+C104/D104</f>
        <v>-0.6372272770036483</v>
      </c>
      <c r="M104">
        <v>0.5</v>
      </c>
      <c r="N104">
        <v>0.5</v>
      </c>
      <c r="O104" s="3">
        <f aca="true" t="shared" si="25" ref="O104:O109">+D104*M104</f>
        <v>65216093.75</v>
      </c>
      <c r="P104" s="3">
        <f t="shared" si="21"/>
        <v>65216093.75</v>
      </c>
      <c r="R104" s="3">
        <f t="shared" si="22"/>
        <v>130432187.5</v>
      </c>
      <c r="S104" s="3">
        <f aca="true" t="shared" si="26" ref="S104:S113">+SQRT(O104^2+P104^2)</f>
        <v>92229484.26624525</v>
      </c>
      <c r="T104" t="str">
        <f t="shared" si="23"/>
        <v>CP_off</v>
      </c>
      <c r="V104">
        <v>1</v>
      </c>
      <c r="W104" t="s">
        <v>129</v>
      </c>
      <c r="X104" s="3">
        <v>-42819029.4410782</v>
      </c>
      <c r="Y104" s="3">
        <v>41349999.9999999</v>
      </c>
      <c r="Z104" s="3">
        <v>1421691.9658683</v>
      </c>
      <c r="AA104" s="3">
        <v>44237103.1580579</v>
      </c>
      <c r="AB104" s="3">
        <v>-42815411.1921895</v>
      </c>
      <c r="AC104" s="3">
        <v>-42823734.4477759</v>
      </c>
      <c r="AD104" s="3">
        <v>-42817942.6832692</v>
      </c>
      <c r="AG104" s="2">
        <f>+X104/Y104</f>
        <v>-1.035526709578677</v>
      </c>
      <c r="AH104">
        <v>0.5</v>
      </c>
      <c r="AI104">
        <v>0.5</v>
      </c>
      <c r="AJ104" s="3">
        <f>+Y104*AH104</f>
        <v>20674999.99999995</v>
      </c>
      <c r="AK104" s="3">
        <f aca="true" t="shared" si="27" ref="AK104:AK114">+$D104*AI104</f>
        <v>65216093.75</v>
      </c>
      <c r="AM104" s="3">
        <f aca="true" t="shared" si="28" ref="AM104:AM114">SUM(AJ104:AK104)</f>
        <v>85891093.74999996</v>
      </c>
      <c r="AN104" s="3">
        <f aca="true" t="shared" si="29" ref="AN104:AN114">+SQRT(AJ104^2+AK104^2)</f>
        <v>68414870.52541126</v>
      </c>
      <c r="AO104" t="str">
        <f aca="true" t="shared" si="30" ref="AO104:AO114">+W104</f>
        <v>CPdn_off</v>
      </c>
    </row>
    <row r="105" spans="1:41" ht="12.75">
      <c r="A105">
        <v>5</v>
      </c>
      <c r="B105" t="s">
        <v>76</v>
      </c>
      <c r="C105" s="3">
        <v>-62879580.6220513</v>
      </c>
      <c r="D105" s="3">
        <v>43465937.4999998</v>
      </c>
      <c r="E105" s="3">
        <v>2685274.49877844</v>
      </c>
      <c r="F105" s="3">
        <v>65558055.3888078</v>
      </c>
      <c r="G105" s="3">
        <v>-62872780.8900289</v>
      </c>
      <c r="H105" s="3">
        <v>-62882905.4680735</v>
      </c>
      <c r="I105" s="3">
        <v>-62883055.5080515</v>
      </c>
      <c r="L105" s="2">
        <f t="shared" si="24"/>
        <v>-1.4466403864417186</v>
      </c>
      <c r="M105">
        <v>0.5</v>
      </c>
      <c r="N105">
        <v>0.5</v>
      </c>
      <c r="O105" s="3">
        <f t="shared" si="25"/>
        <v>21732968.7499999</v>
      </c>
      <c r="P105" s="3">
        <f t="shared" si="21"/>
        <v>21732968.7499999</v>
      </c>
      <c r="R105" s="3">
        <f t="shared" si="22"/>
        <v>43465937.4999998</v>
      </c>
      <c r="S105" s="3">
        <f t="shared" si="26"/>
        <v>30735059.15688051</v>
      </c>
      <c r="T105" t="str">
        <f t="shared" si="23"/>
        <v>innerdelta</v>
      </c>
      <c r="V105">
        <v>4</v>
      </c>
      <c r="W105" t="s">
        <v>74</v>
      </c>
      <c r="X105" s="3">
        <v>-63250805.6030132</v>
      </c>
      <c r="Y105" s="3">
        <v>130432187.5</v>
      </c>
      <c r="Z105" s="3">
        <v>3192349.32096137</v>
      </c>
      <c r="AA105" s="3">
        <v>66443661.7339639</v>
      </c>
      <c r="AB105" s="3">
        <v>-63251312.4130022</v>
      </c>
      <c r="AC105" s="3">
        <v>-63244827.6652747</v>
      </c>
      <c r="AD105" s="3">
        <v>-63256276.7307627</v>
      </c>
      <c r="AG105" s="2">
        <f aca="true" t="shared" si="31" ref="AG105:AG110">+X105/Y105</f>
        <v>-0.48493249109245523</v>
      </c>
      <c r="AH105">
        <v>0.5</v>
      </c>
      <c r="AI105">
        <v>0.5</v>
      </c>
      <c r="AJ105" s="3">
        <f aca="true" t="shared" si="32" ref="AJ105:AJ110">+Y105*AH105</f>
        <v>65216093.75</v>
      </c>
      <c r="AK105" s="3">
        <f t="shared" si="27"/>
        <v>21732968.7499999</v>
      </c>
      <c r="AM105" s="3">
        <f t="shared" si="28"/>
        <v>86949062.4999999</v>
      </c>
      <c r="AN105" s="3">
        <f t="shared" si="29"/>
        <v>68741987.27631651</v>
      </c>
      <c r="AO105" t="str">
        <f t="shared" si="30"/>
        <v>CP_off</v>
      </c>
    </row>
    <row r="106" spans="1:41" ht="12.75">
      <c r="A106">
        <v>6</v>
      </c>
      <c r="B106" t="s">
        <v>77</v>
      </c>
      <c r="C106" s="3">
        <v>37192746.0550078</v>
      </c>
      <c r="D106" s="3">
        <v>18410312.5</v>
      </c>
      <c r="E106" s="3">
        <v>37195712.8196571</v>
      </c>
      <c r="F106" s="3">
        <v>2053.28571246163</v>
      </c>
      <c r="G106" s="3">
        <v>37193659.5339447</v>
      </c>
      <c r="H106" s="3">
        <v>37184676.8638466</v>
      </c>
      <c r="I106" s="3">
        <v>37199901.7672322</v>
      </c>
      <c r="L106" s="2">
        <f t="shared" si="24"/>
        <v>2.020212641963997</v>
      </c>
      <c r="M106">
        <v>0.5</v>
      </c>
      <c r="N106">
        <v>0.5</v>
      </c>
      <c r="O106" s="3">
        <f t="shared" si="25"/>
        <v>9205156.25</v>
      </c>
      <c r="P106" s="3">
        <f t="shared" si="21"/>
        <v>9205156.25</v>
      </c>
      <c r="R106" s="3">
        <f t="shared" si="22"/>
        <v>18410312.5</v>
      </c>
      <c r="S106" s="3">
        <f t="shared" si="26"/>
        <v>13018056.812513461</v>
      </c>
      <c r="T106" t="str">
        <f t="shared" si="23"/>
        <v>outerdelta</v>
      </c>
      <c r="V106">
        <v>5</v>
      </c>
      <c r="W106" t="s">
        <v>76</v>
      </c>
      <c r="X106" s="3">
        <v>-56673956.8270811</v>
      </c>
      <c r="Y106" s="3">
        <v>43465937.5000001</v>
      </c>
      <c r="Z106" s="3">
        <v>3484721.10961788</v>
      </c>
      <c r="AA106" s="3">
        <v>60156501.5734501</v>
      </c>
      <c r="AB106" s="3">
        <v>-56671780.4638318</v>
      </c>
      <c r="AC106" s="3">
        <v>-56677054.4522156</v>
      </c>
      <c r="AD106" s="3">
        <v>-56673035.5651959</v>
      </c>
      <c r="AG106" s="2">
        <f t="shared" si="31"/>
        <v>-1.3038705728383513</v>
      </c>
      <c r="AH106">
        <v>0.5</v>
      </c>
      <c r="AI106">
        <v>0.5</v>
      </c>
      <c r="AJ106" s="3">
        <f t="shared" si="32"/>
        <v>21732968.75000005</v>
      </c>
      <c r="AK106" s="3">
        <f t="shared" si="27"/>
        <v>9205156.25</v>
      </c>
      <c r="AM106" s="3">
        <f t="shared" si="28"/>
        <v>30938125.00000005</v>
      </c>
      <c r="AN106" s="3">
        <f t="shared" si="29"/>
        <v>23602051.442096993</v>
      </c>
      <c r="AO106" t="str">
        <f t="shared" si="30"/>
        <v>innerdelta</v>
      </c>
    </row>
    <row r="107" spans="1:41" ht="12.75">
      <c r="A107">
        <v>7</v>
      </c>
      <c r="B107" t="s">
        <v>132</v>
      </c>
      <c r="C107" s="3">
        <v>11606372.764618</v>
      </c>
      <c r="D107" s="3">
        <v>24233437.5</v>
      </c>
      <c r="E107" s="3">
        <v>12721483.0265771</v>
      </c>
      <c r="F107" s="3">
        <v>1114698.14531564</v>
      </c>
      <c r="G107" s="3">
        <v>11606784.8812615</v>
      </c>
      <c r="H107" s="3">
        <v>11605744.6050234</v>
      </c>
      <c r="I107" s="3">
        <v>11606588.807569</v>
      </c>
      <c r="L107" s="2">
        <f t="shared" si="24"/>
        <v>0.4789404212513392</v>
      </c>
      <c r="M107">
        <v>0.5</v>
      </c>
      <c r="N107">
        <v>0.5</v>
      </c>
      <c r="O107" s="3">
        <f t="shared" si="25"/>
        <v>12116718.75</v>
      </c>
      <c r="P107" s="3">
        <f t="shared" si="21"/>
        <v>12116718.75</v>
      </c>
      <c r="R107" s="3">
        <f t="shared" si="22"/>
        <v>24233437.5</v>
      </c>
      <c r="S107" s="3">
        <f t="shared" si="26"/>
        <v>17135627.987710375</v>
      </c>
      <c r="T107" t="str">
        <f t="shared" si="23"/>
        <v>delta_north</v>
      </c>
      <c r="V107">
        <v>6</v>
      </c>
      <c r="W107" t="s">
        <v>77</v>
      </c>
      <c r="X107" s="3">
        <v>40090249.5848334</v>
      </c>
      <c r="Y107" s="3">
        <v>18410312.5</v>
      </c>
      <c r="Z107" s="3">
        <v>40091075.7600325</v>
      </c>
      <c r="AA107" s="3">
        <v>3.33861489606267</v>
      </c>
      <c r="AB107" s="3">
        <v>40091072.4214179</v>
      </c>
      <c r="AC107" s="3">
        <v>40081479.1373808</v>
      </c>
      <c r="AD107" s="3">
        <v>40098197.1957014</v>
      </c>
      <c r="AG107" s="2">
        <f t="shared" si="31"/>
        <v>2.177597451690915</v>
      </c>
      <c r="AH107">
        <v>0.5</v>
      </c>
      <c r="AI107">
        <v>0.5</v>
      </c>
      <c r="AJ107" s="3">
        <f t="shared" si="32"/>
        <v>9205156.25</v>
      </c>
      <c r="AK107" s="3">
        <f t="shared" si="27"/>
        <v>12116718.75</v>
      </c>
      <c r="AM107" s="3">
        <f t="shared" si="28"/>
        <v>21321875</v>
      </c>
      <c r="AN107" s="3">
        <f t="shared" si="29"/>
        <v>15216759.66996639</v>
      </c>
      <c r="AO107" t="str">
        <f t="shared" si="30"/>
        <v>outerdelta</v>
      </c>
    </row>
    <row r="108" spans="1:41" ht="12.75">
      <c r="A108">
        <v>8</v>
      </c>
      <c r="B108" t="s">
        <v>122</v>
      </c>
      <c r="C108" s="3">
        <v>5537922.07569708</v>
      </c>
      <c r="D108" s="3">
        <v>3007187.5</v>
      </c>
      <c r="E108" s="3">
        <v>5748633.56349429</v>
      </c>
      <c r="F108" s="3">
        <v>211194.807111963</v>
      </c>
      <c r="G108" s="3">
        <v>5537438.75638232</v>
      </c>
      <c r="H108" s="3">
        <v>5538041.09851097</v>
      </c>
      <c r="I108" s="3">
        <v>5538286.37219795</v>
      </c>
      <c r="L108" s="2">
        <f t="shared" si="24"/>
        <v>1.841561949727804</v>
      </c>
      <c r="M108">
        <v>0.5</v>
      </c>
      <c r="N108">
        <v>0.5</v>
      </c>
      <c r="O108" s="3">
        <f t="shared" si="25"/>
        <v>1503593.75</v>
      </c>
      <c r="P108" s="3">
        <f t="shared" si="21"/>
        <v>1503593.75</v>
      </c>
      <c r="R108" s="3">
        <f t="shared" si="22"/>
        <v>3007187.5</v>
      </c>
      <c r="S108" s="3">
        <f t="shared" si="26"/>
        <v>2126402.6735494207</v>
      </c>
      <c r="T108" t="str">
        <f t="shared" si="23"/>
        <v>dispA</v>
      </c>
      <c r="V108">
        <v>7</v>
      </c>
      <c r="W108" t="s">
        <v>132</v>
      </c>
      <c r="X108" s="3">
        <v>14959435.6237822</v>
      </c>
      <c r="Y108" s="3">
        <v>24233437.5</v>
      </c>
      <c r="Z108" s="3">
        <v>15709230.9468695</v>
      </c>
      <c r="AA108" s="3">
        <v>749601.95648369</v>
      </c>
      <c r="AB108" s="3">
        <v>14959628.9903858</v>
      </c>
      <c r="AC108" s="3">
        <v>14959312.9148569</v>
      </c>
      <c r="AD108" s="3">
        <v>14959364.9661038</v>
      </c>
      <c r="AG108" s="2">
        <f t="shared" si="31"/>
        <v>0.6173055565799198</v>
      </c>
      <c r="AH108">
        <v>0.5</v>
      </c>
      <c r="AI108">
        <v>0.5</v>
      </c>
      <c r="AJ108" s="3">
        <f t="shared" si="32"/>
        <v>12116718.75</v>
      </c>
      <c r="AK108" s="3">
        <f t="shared" si="27"/>
        <v>1503593.75</v>
      </c>
      <c r="AM108" s="3">
        <f t="shared" si="28"/>
        <v>13620312.5</v>
      </c>
      <c r="AN108" s="3">
        <f t="shared" si="29"/>
        <v>12209654.681097277</v>
      </c>
      <c r="AO108" t="str">
        <f t="shared" si="30"/>
        <v>delta_north</v>
      </c>
    </row>
    <row r="109" spans="1:41" ht="12.75">
      <c r="A109">
        <v>9</v>
      </c>
      <c r="B109" t="s">
        <v>123</v>
      </c>
      <c r="C109" s="3">
        <v>42076101.0915125</v>
      </c>
      <c r="D109" s="3">
        <v>9531562.5</v>
      </c>
      <c r="E109" s="3">
        <v>42092787.7781846</v>
      </c>
      <c r="F109" s="3">
        <v>17168.2170932149</v>
      </c>
      <c r="G109" s="3">
        <v>42075619.5610917</v>
      </c>
      <c r="H109" s="3">
        <v>42082552.5526107</v>
      </c>
      <c r="I109" s="3">
        <v>42070131.160835</v>
      </c>
      <c r="L109" s="2">
        <f t="shared" si="24"/>
        <v>4.414397019535097</v>
      </c>
      <c r="M109">
        <v>0.5</v>
      </c>
      <c r="N109">
        <v>0.5</v>
      </c>
      <c r="O109" s="3">
        <f t="shared" si="25"/>
        <v>4765781.25</v>
      </c>
      <c r="P109" s="3">
        <f t="shared" si="21"/>
        <v>4765781.25</v>
      </c>
      <c r="R109" s="3">
        <f t="shared" si="22"/>
        <v>9531562.5</v>
      </c>
      <c r="S109" s="3">
        <f t="shared" si="26"/>
        <v>6739832.479053402</v>
      </c>
      <c r="T109" t="str">
        <f t="shared" si="23"/>
        <v>dispB</v>
      </c>
      <c r="V109">
        <v>8</v>
      </c>
      <c r="W109" t="s">
        <v>122</v>
      </c>
      <c r="X109" s="3">
        <v>5972076.39879268</v>
      </c>
      <c r="Y109" s="3">
        <v>3007187.5</v>
      </c>
      <c r="Z109" s="3">
        <v>6123036.18057047</v>
      </c>
      <c r="AA109" s="3">
        <v>151620.766972929</v>
      </c>
      <c r="AB109" s="3">
        <v>5971415.41359755</v>
      </c>
      <c r="AC109" s="3">
        <v>5972444.56029347</v>
      </c>
      <c r="AD109" s="3">
        <v>5972369.22248703</v>
      </c>
      <c r="AG109" s="2">
        <f t="shared" si="31"/>
        <v>1.9859341656590022</v>
      </c>
      <c r="AH109">
        <v>0.5</v>
      </c>
      <c r="AI109">
        <v>0.5</v>
      </c>
      <c r="AJ109" s="3">
        <f t="shared" si="32"/>
        <v>1503593.75</v>
      </c>
      <c r="AK109" s="3">
        <f t="shared" si="27"/>
        <v>4765781.25</v>
      </c>
      <c r="AM109" s="3">
        <f t="shared" si="28"/>
        <v>6269375</v>
      </c>
      <c r="AN109" s="3">
        <f t="shared" si="29"/>
        <v>4997345.804313588</v>
      </c>
      <c r="AO109" t="str">
        <f t="shared" si="30"/>
        <v>dispA</v>
      </c>
    </row>
    <row r="110" spans="1:41" ht="12.75">
      <c r="A110">
        <v>10</v>
      </c>
      <c r="B110" t="s">
        <v>124</v>
      </c>
      <c r="C110" s="3">
        <v>3003257.13958739</v>
      </c>
      <c r="D110" s="3">
        <v>2354062.5</v>
      </c>
      <c r="E110" s="3">
        <v>3013338.28380586</v>
      </c>
      <c r="F110" s="3">
        <v>9859.80462352812</v>
      </c>
      <c r="G110" s="3">
        <v>3003478.47918233</v>
      </c>
      <c r="H110" s="3">
        <v>3002162.15928717</v>
      </c>
      <c r="I110" s="3">
        <v>3004130.78029267</v>
      </c>
      <c r="L110" s="2">
        <f>+C110/D110</f>
        <v>1.2757762971830144</v>
      </c>
      <c r="M110">
        <v>0.5</v>
      </c>
      <c r="N110">
        <v>0.5</v>
      </c>
      <c r="O110" s="3">
        <f>+D110*M110</f>
        <v>1177031.25</v>
      </c>
      <c r="P110" s="3">
        <f t="shared" si="21"/>
        <v>1177031.25</v>
      </c>
      <c r="R110" s="3">
        <f t="shared" si="22"/>
        <v>2354062.5</v>
      </c>
      <c r="S110" s="3">
        <f t="shared" si="26"/>
        <v>1664573.557086957</v>
      </c>
      <c r="T110" t="str">
        <f t="shared" si="23"/>
        <v>dispF</v>
      </c>
      <c r="V110">
        <v>9</v>
      </c>
      <c r="W110" t="s">
        <v>123</v>
      </c>
      <c r="X110" s="3">
        <v>43742946.7153568</v>
      </c>
      <c r="Y110" s="3">
        <v>9531562.5</v>
      </c>
      <c r="Z110" s="3">
        <v>43749982.7260696</v>
      </c>
      <c r="AA110" s="3">
        <v>7633.95320418603</v>
      </c>
      <c r="AB110" s="3">
        <v>43742348.7728654</v>
      </c>
      <c r="AC110" s="3">
        <v>43750753.6614161</v>
      </c>
      <c r="AD110" s="3">
        <v>43735737.7117888</v>
      </c>
      <c r="AG110" s="2">
        <f t="shared" si="31"/>
        <v>4.589273449694821</v>
      </c>
      <c r="AH110">
        <v>0.5</v>
      </c>
      <c r="AI110">
        <v>0.5</v>
      </c>
      <c r="AJ110" s="3">
        <f t="shared" si="32"/>
        <v>4765781.25</v>
      </c>
      <c r="AK110" s="3">
        <f t="shared" si="27"/>
        <v>1177031.25</v>
      </c>
      <c r="AM110" s="3">
        <f t="shared" si="28"/>
        <v>5942812.5</v>
      </c>
      <c r="AN110" s="3">
        <f t="shared" si="29"/>
        <v>4908978.863911325</v>
      </c>
      <c r="AO110" t="str">
        <f t="shared" si="30"/>
        <v>dispB</v>
      </c>
    </row>
    <row r="111" spans="1:41" ht="12.75">
      <c r="A111">
        <v>11</v>
      </c>
      <c r="B111" t="s">
        <v>136</v>
      </c>
      <c r="C111" s="3">
        <v>-36575743.6671386</v>
      </c>
      <c r="D111" s="3">
        <v>72538125.0000001</v>
      </c>
      <c r="E111" s="3">
        <v>727567.742395411</v>
      </c>
      <c r="F111" s="3">
        <v>37302707.5103187</v>
      </c>
      <c r="G111" s="3">
        <v>-36575139.7679238</v>
      </c>
      <c r="H111" s="3">
        <v>-36582387.1684153</v>
      </c>
      <c r="I111" s="3">
        <v>-36569704.0650766</v>
      </c>
      <c r="L111" s="2">
        <f>+C111/D111</f>
        <v>-0.5042278617918308</v>
      </c>
      <c r="M111">
        <v>0.5</v>
      </c>
      <c r="N111">
        <v>0.5</v>
      </c>
      <c r="O111" s="3">
        <f>+D111*M111</f>
        <v>36269062.50000005</v>
      </c>
      <c r="P111" s="3">
        <f t="shared" si="21"/>
        <v>36269062.50000005</v>
      </c>
      <c r="R111" s="3">
        <f t="shared" si="22"/>
        <v>72538125.0000001</v>
      </c>
      <c r="S111" s="3">
        <f t="shared" si="26"/>
        <v>51292200.082057506</v>
      </c>
      <c r="T111" t="str">
        <f t="shared" si="23"/>
        <v>off_north_2</v>
      </c>
      <c r="V111">
        <v>10</v>
      </c>
      <c r="W111" t="s">
        <v>124</v>
      </c>
      <c r="X111" s="3">
        <v>3361580.81851172</v>
      </c>
      <c r="Y111" s="3">
        <v>2354062.5</v>
      </c>
      <c r="Z111" s="3">
        <v>3362927.59044641</v>
      </c>
      <c r="AA111" s="3">
        <v>965.074184016033</v>
      </c>
      <c r="AB111" s="3">
        <v>3361962.51626239</v>
      </c>
      <c r="AC111" s="3">
        <v>3360001.58823064</v>
      </c>
      <c r="AD111" s="3">
        <v>3362778.35104213</v>
      </c>
      <c r="AG111" s="2">
        <f>+X111/Y111</f>
        <v>1.4279913207536843</v>
      </c>
      <c r="AH111">
        <v>0.5</v>
      </c>
      <c r="AI111">
        <v>0.5</v>
      </c>
      <c r="AJ111" s="3">
        <f>+Y111*AH111</f>
        <v>1177031.25</v>
      </c>
      <c r="AK111" s="3">
        <f t="shared" si="27"/>
        <v>36269062.50000005</v>
      </c>
      <c r="AM111" s="3">
        <f t="shared" si="28"/>
        <v>37446093.75000005</v>
      </c>
      <c r="AN111" s="3">
        <f t="shared" si="29"/>
        <v>36288156.431436226</v>
      </c>
      <c r="AO111" t="str">
        <f t="shared" si="30"/>
        <v>dispF</v>
      </c>
    </row>
    <row r="112" spans="1:41" ht="12.75">
      <c r="A112">
        <v>14</v>
      </c>
      <c r="B112" t="s">
        <v>71</v>
      </c>
      <c r="C112" s="3">
        <v>12556711.3296663</v>
      </c>
      <c r="D112" s="3">
        <v>21537812.5</v>
      </c>
      <c r="E112" s="3">
        <v>13210622.9294914</v>
      </c>
      <c r="F112" s="3">
        <v>657149.366823876</v>
      </c>
      <c r="G112" s="3">
        <v>12553473.5626675</v>
      </c>
      <c r="H112" s="3">
        <v>12561756.8580483</v>
      </c>
      <c r="I112" s="3">
        <v>12554903.5682831</v>
      </c>
      <c r="L112" s="2">
        <f>+C112/D112</f>
        <v>0.5830077371908731</v>
      </c>
      <c r="M112">
        <v>0.5</v>
      </c>
      <c r="N112">
        <v>0.5</v>
      </c>
      <c r="O112" s="3">
        <f>+D112*M112</f>
        <v>10768906.25</v>
      </c>
      <c r="P112" s="3">
        <f t="shared" si="21"/>
        <v>10768906.25</v>
      </c>
      <c r="R112" s="3">
        <f t="shared" si="22"/>
        <v>21537812.5</v>
      </c>
      <c r="S112" s="3">
        <f t="shared" si="26"/>
        <v>15229533.270674389</v>
      </c>
      <c r="T112" t="str">
        <f t="shared" si="23"/>
        <v>LBc1_off</v>
      </c>
      <c r="V112">
        <v>11</v>
      </c>
      <c r="W112" t="s">
        <v>125</v>
      </c>
      <c r="X112" s="3">
        <v>-26191435.0788916</v>
      </c>
      <c r="Y112" s="3">
        <v>72538124.9999998</v>
      </c>
      <c r="Z112" s="3">
        <v>1574950.35110678</v>
      </c>
      <c r="AA112" s="3">
        <v>27765501.1250465</v>
      </c>
      <c r="AB112" s="3">
        <v>-26190550.7739399</v>
      </c>
      <c r="AC112" s="3">
        <v>-26196944.6648314</v>
      </c>
      <c r="AD112" s="3">
        <v>-26186809.7979035</v>
      </c>
      <c r="AG112" s="2">
        <f>+X112/Y112</f>
        <v>-0.36107129980119657</v>
      </c>
      <c r="AH112">
        <v>0.5</v>
      </c>
      <c r="AI112">
        <v>0.5</v>
      </c>
      <c r="AJ112" s="3">
        <f>+Y112*AH112</f>
        <v>36269062.4999999</v>
      </c>
      <c r="AK112" s="3">
        <f t="shared" si="27"/>
        <v>10768906.25</v>
      </c>
      <c r="AM112" s="3">
        <f t="shared" si="28"/>
        <v>47037968.7499999</v>
      </c>
      <c r="AN112" s="3">
        <f t="shared" si="29"/>
        <v>37834035.42381103</v>
      </c>
      <c r="AO112" t="str">
        <f t="shared" si="30"/>
        <v>off_north</v>
      </c>
    </row>
    <row r="113" spans="1:41" ht="12.75">
      <c r="A113">
        <v>15</v>
      </c>
      <c r="B113" t="s">
        <v>72</v>
      </c>
      <c r="C113" s="3">
        <v>6500453.78993575</v>
      </c>
      <c r="D113" s="3">
        <v>15223750</v>
      </c>
      <c r="E113" s="3">
        <v>7011123.5925943</v>
      </c>
      <c r="F113" s="3">
        <v>511584.016590043</v>
      </c>
      <c r="G113" s="3">
        <v>6499539.57600422</v>
      </c>
      <c r="H113" s="3">
        <v>6509457.29994279</v>
      </c>
      <c r="I113" s="3">
        <v>6492364.49386026</v>
      </c>
      <c r="L113" s="2">
        <f>+C113/D113</f>
        <v>0.42699425502492816</v>
      </c>
      <c r="M113">
        <v>0.5</v>
      </c>
      <c r="N113">
        <v>0.5</v>
      </c>
      <c r="O113" s="3">
        <f>+D113*M113</f>
        <v>7611875</v>
      </c>
      <c r="P113" s="3">
        <f t="shared" si="21"/>
        <v>7611875</v>
      </c>
      <c r="R113" s="3">
        <f t="shared" si="22"/>
        <v>15223750</v>
      </c>
      <c r="S113" s="3">
        <f t="shared" si="26"/>
        <v>10764816.860088702</v>
      </c>
      <c r="T113" t="str">
        <f t="shared" si="23"/>
        <v>LBc2_off</v>
      </c>
      <c r="V113">
        <v>14</v>
      </c>
      <c r="W113" t="s">
        <v>71</v>
      </c>
      <c r="X113" s="3">
        <v>15832785.5163292</v>
      </c>
      <c r="Y113" s="3">
        <v>21537812.5</v>
      </c>
      <c r="Z113" s="3">
        <v>16087423.4670446</v>
      </c>
      <c r="AA113" s="3">
        <v>258463.183437448</v>
      </c>
      <c r="AB113" s="3">
        <v>15828960.2836072</v>
      </c>
      <c r="AC113" s="3">
        <v>15839811.618035</v>
      </c>
      <c r="AD113" s="3">
        <v>15829584.6473455</v>
      </c>
      <c r="AG113" s="2">
        <f>+X113/Y113</f>
        <v>0.7351157651841012</v>
      </c>
      <c r="AH113">
        <v>0.5</v>
      </c>
      <c r="AI113">
        <v>0.5</v>
      </c>
      <c r="AJ113" s="3">
        <f>+Y113*AH113</f>
        <v>10768906.25</v>
      </c>
      <c r="AK113" s="3">
        <f t="shared" si="27"/>
        <v>7611875</v>
      </c>
      <c r="AM113" s="3">
        <f t="shared" si="28"/>
        <v>18380781.25</v>
      </c>
      <c r="AN113" s="3">
        <f t="shared" si="29"/>
        <v>13187493.425094629</v>
      </c>
      <c r="AO113" t="str">
        <f t="shared" si="30"/>
        <v>LBc1_off</v>
      </c>
    </row>
    <row r="114" spans="3:41" ht="12.75">
      <c r="C114" s="3"/>
      <c r="D114" s="3"/>
      <c r="E114" s="3"/>
      <c r="F114" s="3"/>
      <c r="G114" s="3"/>
      <c r="H114" s="3"/>
      <c r="I114" s="3"/>
      <c r="L114" s="2"/>
      <c r="O114" s="3"/>
      <c r="P114" s="3"/>
      <c r="R114" s="3"/>
      <c r="S114" s="3"/>
      <c r="V114">
        <v>15</v>
      </c>
      <c r="W114" t="s">
        <v>72</v>
      </c>
      <c r="X114" s="3">
        <v>8893166.92964804</v>
      </c>
      <c r="Y114" s="3">
        <v>15223750</v>
      </c>
      <c r="Z114" s="3">
        <v>9075323.64089951</v>
      </c>
      <c r="AA114" s="3">
        <v>183149.977876149</v>
      </c>
      <c r="AB114" s="3">
        <v>8892173.66302336</v>
      </c>
      <c r="AC114" s="3">
        <v>8905728.02923864</v>
      </c>
      <c r="AD114" s="3">
        <v>8881599.09668211</v>
      </c>
      <c r="AG114" s="2">
        <f>+X114/Y114</f>
        <v>0.5841640154132878</v>
      </c>
      <c r="AH114">
        <v>0.5</v>
      </c>
      <c r="AI114">
        <v>0.5</v>
      </c>
      <c r="AJ114" s="3">
        <f>+Y114*AH114</f>
        <v>7611875</v>
      </c>
      <c r="AK114" s="3">
        <f t="shared" si="27"/>
        <v>0</v>
      </c>
      <c r="AM114" s="3">
        <f t="shared" si="28"/>
        <v>7611875</v>
      </c>
      <c r="AN114" s="3">
        <f t="shared" si="29"/>
        <v>7611875</v>
      </c>
      <c r="AO114" t="str">
        <f t="shared" si="30"/>
        <v>LBc2_off</v>
      </c>
    </row>
    <row r="115" spans="15:39" ht="12.75">
      <c r="O115" t="s">
        <v>98</v>
      </c>
      <c r="P115" t="s">
        <v>93</v>
      </c>
      <c r="Q115" t="s">
        <v>99</v>
      </c>
      <c r="R115" t="s">
        <v>96</v>
      </c>
      <c r="S115" s="31" t="s">
        <v>100</v>
      </c>
      <c r="X115" s="3"/>
      <c r="Y115" s="3"/>
      <c r="Z115" s="3"/>
      <c r="AA115" s="3"/>
      <c r="AB115" s="3"/>
      <c r="AC115" s="3"/>
      <c r="AD115" s="3"/>
      <c r="AG115" s="2"/>
      <c r="AJ115" s="3"/>
      <c r="AK115" s="3"/>
      <c r="AL115" s="3"/>
      <c r="AM115" s="3"/>
    </row>
    <row r="116" spans="1:40" ht="12.75">
      <c r="A116">
        <v>12</v>
      </c>
      <c r="B116" t="s">
        <v>127</v>
      </c>
      <c r="C116" s="3">
        <v>8857008.53518901</v>
      </c>
      <c r="D116" s="3">
        <v>10435937.5</v>
      </c>
      <c r="E116" s="3">
        <v>11666458.3099469</v>
      </c>
      <c r="F116" s="3">
        <v>2808044.35494455</v>
      </c>
      <c r="G116" s="3">
        <v>8858413.9550024</v>
      </c>
      <c r="H116" s="3">
        <v>8863215.6178178</v>
      </c>
      <c r="I116" s="3">
        <v>8849396.03274683</v>
      </c>
      <c r="L116" s="2">
        <f>+C116/D116</f>
        <v>0.8487027193473524</v>
      </c>
      <c r="M116">
        <v>0.5</v>
      </c>
      <c r="N116">
        <v>0.5</v>
      </c>
      <c r="O116" s="2">
        <f>+SQRT(M116^2+N116^2)</f>
        <v>0.7071067811865476</v>
      </c>
      <c r="P116">
        <f>P39</f>
        <v>6302.447</v>
      </c>
      <c r="Q116" s="2">
        <f>+D116/P116</f>
        <v>1655.8548608183455</v>
      </c>
      <c r="R116" s="2">
        <v>23.130067012440755</v>
      </c>
      <c r="S116" s="29">
        <f>+ABS(SQRT((R116/Q116)^2+(O116/L116)^2)*C116)</f>
        <v>7380359.240275099</v>
      </c>
      <c r="T116" t="str">
        <f>+B116</f>
        <v>LBc1_near</v>
      </c>
      <c r="AJ116" t="s">
        <v>98</v>
      </c>
      <c r="AK116" t="s">
        <v>93</v>
      </c>
      <c r="AL116" t="s">
        <v>99</v>
      </c>
      <c r="AM116" t="s">
        <v>96</v>
      </c>
      <c r="AN116" s="31" t="s">
        <v>100</v>
      </c>
    </row>
    <row r="117" spans="1:41" ht="12.75">
      <c r="A117">
        <v>13</v>
      </c>
      <c r="B117" t="s">
        <v>126</v>
      </c>
      <c r="C117" s="3">
        <v>12871378.5416534</v>
      </c>
      <c r="D117" s="3">
        <v>9967500</v>
      </c>
      <c r="E117" s="3">
        <v>14269226.8648121</v>
      </c>
      <c r="F117" s="3">
        <v>1401800.10526726</v>
      </c>
      <c r="G117" s="3">
        <v>12867426.7595448</v>
      </c>
      <c r="H117" s="3">
        <v>12891880.3393121</v>
      </c>
      <c r="I117" s="3">
        <v>12854828.5261033</v>
      </c>
      <c r="L117" s="2">
        <f>+C117/D117</f>
        <v>1.2913346919140607</v>
      </c>
      <c r="M117">
        <v>0.5</v>
      </c>
      <c r="N117">
        <v>0.5</v>
      </c>
      <c r="O117" s="2">
        <f>+SQRT(M117^2+N117^2)</f>
        <v>0.7071067811865476</v>
      </c>
      <c r="P117">
        <f>P40</f>
        <v>4999.452</v>
      </c>
      <c r="Q117" s="2">
        <f>+D117/P117</f>
        <v>1993.7185115488658</v>
      </c>
      <c r="R117" s="2">
        <v>23.130067012440755</v>
      </c>
      <c r="S117" s="29">
        <f>+ABS(SQRT((R117/Q117)^2+(O117/L117)^2)*C117)</f>
        <v>7049668.549269969</v>
      </c>
      <c r="T117" t="str">
        <f>+B117</f>
        <v>LBc2_near</v>
      </c>
      <c r="V117">
        <v>12</v>
      </c>
      <c r="W117" t="s">
        <v>127</v>
      </c>
      <c r="X117" s="3">
        <v>10355845.7027263</v>
      </c>
      <c r="Y117" s="3">
        <v>10435937.5</v>
      </c>
      <c r="Z117" s="3">
        <v>13000398.5690335</v>
      </c>
      <c r="AA117" s="3">
        <v>2644164.69133035</v>
      </c>
      <c r="AB117" s="3">
        <v>10356233.8777031</v>
      </c>
      <c r="AC117" s="3">
        <v>10361750.7327188</v>
      </c>
      <c r="AD117" s="3">
        <v>10349552.497757</v>
      </c>
      <c r="AG117" s="2">
        <f>+X117/Y117</f>
        <v>0.9923253854985525</v>
      </c>
      <c r="AH117">
        <v>0.5</v>
      </c>
      <c r="AI117">
        <v>0.5</v>
      </c>
      <c r="AJ117" s="2">
        <f>+SQRT(AH117^2+AI117^2)</f>
        <v>0.7071067811865476</v>
      </c>
      <c r="AK117">
        <f>+AK68</f>
        <v>0</v>
      </c>
      <c r="AL117" s="2" t="e">
        <f>+Y117/AK117</f>
        <v>#DIV/0!</v>
      </c>
      <c r="AM117" s="2">
        <v>23.130067012440755</v>
      </c>
      <c r="AN117" s="29" t="e">
        <f>+ABS(SQRT((AM117/AL117)^2+(AJ117/AG117)^2)*X117)</f>
        <v>#DIV/0!</v>
      </c>
      <c r="AO117" t="str">
        <f>+W117</f>
        <v>LBc1_near</v>
      </c>
    </row>
    <row r="118" spans="1:41" ht="12.75">
      <c r="A118">
        <v>2</v>
      </c>
      <c r="B118" t="s">
        <v>130</v>
      </c>
      <c r="C118" s="3">
        <v>-17365343.2623072</v>
      </c>
      <c r="D118" s="3">
        <v>33927812.5</v>
      </c>
      <c r="E118" s="3">
        <v>4297317.74951237</v>
      </c>
      <c r="F118" s="3">
        <v>21657289.6626036</v>
      </c>
      <c r="G118" s="3">
        <v>-17359971.9130914</v>
      </c>
      <c r="H118" s="3">
        <v>-17371586.3924853</v>
      </c>
      <c r="I118" s="3">
        <v>-17364471.481345</v>
      </c>
      <c r="L118" s="2">
        <f>+C118/D118</f>
        <v>-0.5118320923963843</v>
      </c>
      <c r="M118">
        <v>0.5</v>
      </c>
      <c r="N118">
        <v>0.5</v>
      </c>
      <c r="O118" s="2">
        <f>+SQRT(M118^2+N118^2)</f>
        <v>0.7071067811865476</v>
      </c>
      <c r="P118">
        <f>P41</f>
        <v>13255.5</v>
      </c>
      <c r="Q118" s="2">
        <f>+D118/P118</f>
        <v>2559.527177398061</v>
      </c>
      <c r="R118" s="2">
        <v>23.130067012440755</v>
      </c>
      <c r="S118" s="29">
        <f>+ABS(SQRT((R118/Q118)^2+(O118/L118)^2)*C118)</f>
        <v>23991099.53552873</v>
      </c>
      <c r="T118" t="str">
        <f>+B118</f>
        <v>CP_near</v>
      </c>
      <c r="V118">
        <v>13</v>
      </c>
      <c r="W118" t="s">
        <v>126</v>
      </c>
      <c r="X118" s="3">
        <v>14515301.912582</v>
      </c>
      <c r="Y118" s="3">
        <v>9967500</v>
      </c>
      <c r="Z118" s="3">
        <v>15823051.7557633</v>
      </c>
      <c r="AA118" s="3">
        <v>1310720.88377504</v>
      </c>
      <c r="AB118" s="3">
        <v>14512330.8719882</v>
      </c>
      <c r="AC118" s="3">
        <v>14537446.605059</v>
      </c>
      <c r="AD118" s="3">
        <v>14496128.2606989</v>
      </c>
      <c r="AG118" s="2">
        <f>+X118/Y118</f>
        <v>1.4562630461582142</v>
      </c>
      <c r="AH118">
        <v>0.5</v>
      </c>
      <c r="AI118">
        <v>0.5</v>
      </c>
      <c r="AJ118" s="2">
        <f>+SQRT(AH118^2+AI118^2)</f>
        <v>0.7071067811865476</v>
      </c>
      <c r="AK118">
        <f>+AK67</f>
        <v>0</v>
      </c>
      <c r="AL118" s="2" t="e">
        <f>+Y118/AK118</f>
        <v>#DIV/0!</v>
      </c>
      <c r="AM118" s="2">
        <v>23.130067012440755</v>
      </c>
      <c r="AN118" s="29" t="e">
        <f>+ABS(SQRT((AM118/AL118)^2+(AJ118/AG118)^2)*X118)</f>
        <v>#DIV/0!</v>
      </c>
      <c r="AO118" t="str">
        <f>+W118</f>
        <v>LBc2_near</v>
      </c>
    </row>
    <row r="119" spans="1:41" ht="12.75">
      <c r="A119">
        <v>3</v>
      </c>
      <c r="B119" t="s">
        <v>131</v>
      </c>
      <c r="C119" s="3">
        <v>9121167.59037838</v>
      </c>
      <c r="D119" s="3">
        <v>13313125</v>
      </c>
      <c r="E119" s="3">
        <v>9675011.5380079</v>
      </c>
      <c r="F119" s="3">
        <v>557452.906758492</v>
      </c>
      <c r="G119" s="3">
        <v>9117558.6312494</v>
      </c>
      <c r="H119" s="3">
        <v>9124758.18721718</v>
      </c>
      <c r="I119" s="3">
        <v>9121185.95266855</v>
      </c>
      <c r="L119" s="2">
        <f>+C119/D119</f>
        <v>0.6851259633165301</v>
      </c>
      <c r="M119">
        <v>0.5</v>
      </c>
      <c r="N119">
        <v>0.5</v>
      </c>
      <c r="O119" s="2">
        <f>+SQRT(M119^2+N119^2)</f>
        <v>0.7071067811865476</v>
      </c>
      <c r="P119">
        <f>P47</f>
        <v>5131.8</v>
      </c>
      <c r="Q119" s="2">
        <f>+D119/P119</f>
        <v>2594.240812190654</v>
      </c>
      <c r="R119" s="2">
        <v>23.130067012440755</v>
      </c>
      <c r="S119" s="29">
        <f>+ABS(SQRT((R119/Q119)^2+(O119/L119)^2)*C119)</f>
        <v>9414152.228121197</v>
      </c>
      <c r="T119" t="str">
        <f>+B119</f>
        <v>CPc3_near</v>
      </c>
      <c r="V119">
        <v>2</v>
      </c>
      <c r="W119" t="s">
        <v>130</v>
      </c>
      <c r="X119" s="3">
        <v>-12631566.480729</v>
      </c>
      <c r="Y119" s="3">
        <v>33927812.5000001</v>
      </c>
      <c r="Z119" s="3">
        <v>5436260.94543845</v>
      </c>
      <c r="AA119" s="3">
        <v>18061696.2817311</v>
      </c>
      <c r="AB119" s="3">
        <v>-12625435.3362928</v>
      </c>
      <c r="AC119" s="3">
        <v>-12637734.4622072</v>
      </c>
      <c r="AD119" s="3">
        <v>-12631529.6436871</v>
      </c>
      <c r="AG119" s="2">
        <f>+X119/Y119</f>
        <v>-0.3723071294599074</v>
      </c>
      <c r="AH119">
        <v>0.5</v>
      </c>
      <c r="AI119">
        <v>0.5</v>
      </c>
      <c r="AJ119" s="2">
        <f>+SQRT(AH119^2+AI119^2)</f>
        <v>0.7071067811865476</v>
      </c>
      <c r="AK119" s="56">
        <f>+'sum 1958-2000'!W65+'sum 1958-2000'!W54+'sum 1958-2000'!W55</f>
        <v>0</v>
      </c>
      <c r="AL119" s="2" t="e">
        <f>+Y119/AK119</f>
        <v>#DIV/0!</v>
      </c>
      <c r="AM119" s="2">
        <v>23.130067012440755</v>
      </c>
      <c r="AN119" s="29" t="e">
        <f>+ABS(SQRT((AM119/AL119)^2+(AJ119/AG119)^2)*X119)</f>
        <v>#DIV/0!</v>
      </c>
      <c r="AO119" t="str">
        <f>+W119</f>
        <v>CP_near</v>
      </c>
    </row>
    <row r="120" spans="3:19" ht="12.75">
      <c r="C120" s="3"/>
      <c r="D120" s="3"/>
      <c r="E120" s="3"/>
      <c r="F120" s="3"/>
      <c r="G120" s="3"/>
      <c r="H120" s="3"/>
      <c r="I120" s="3"/>
      <c r="L120" s="2"/>
      <c r="N120" s="75"/>
      <c r="O120" s="2"/>
      <c r="Q120" s="2"/>
      <c r="R120" s="2"/>
      <c r="S120" s="29"/>
    </row>
    <row r="121" spans="1:40" ht="12.75">
      <c r="A121">
        <f aca="true" t="shared" si="33" ref="A121:I123">+K147</f>
        <v>1</v>
      </c>
      <c r="B121" t="str">
        <f t="shared" si="33"/>
        <v>CPdn_near</v>
      </c>
      <c r="C121" s="3">
        <f t="shared" si="33"/>
        <v>-6159237.24164885</v>
      </c>
      <c r="D121" s="3">
        <f t="shared" si="33"/>
        <v>9269687.50000001</v>
      </c>
      <c r="E121" s="3">
        <f t="shared" si="33"/>
        <v>1048786.79083482</v>
      </c>
      <c r="F121" s="3">
        <f t="shared" si="33"/>
        <v>7206413.48292448</v>
      </c>
      <c r="G121" s="3">
        <f t="shared" si="33"/>
        <v>-6157626.69208968</v>
      </c>
      <c r="H121" s="3">
        <f t="shared" si="33"/>
        <v>-6161620.81659239</v>
      </c>
      <c r="I121" s="3">
        <f t="shared" si="33"/>
        <v>-6158464.21626448</v>
      </c>
      <c r="L121" s="2">
        <f>+C121/D121</f>
        <v>-0.6644492860896167</v>
      </c>
      <c r="M121">
        <v>0.5</v>
      </c>
      <c r="N121">
        <v>0.5</v>
      </c>
      <c r="O121" s="2">
        <f>+SQRT(M121^2+N121^2)</f>
        <v>0.7071067811865476</v>
      </c>
      <c r="P121" s="19">
        <f>'sum 58(+0.15 m) - 00'!$B$14</f>
        <v>4516</v>
      </c>
      <c r="Q121" s="2">
        <f>+D121/P121</f>
        <v>2052.6323073516405</v>
      </c>
      <c r="R121" s="2">
        <v>23.130067012440755</v>
      </c>
      <c r="S121" s="29">
        <f>+ABS(SQRT((R121/Q121)^2+(O121/L121)^2)*C121)</f>
        <v>6555026.336339864</v>
      </c>
      <c r="T121" t="str">
        <f>+B121</f>
        <v>CPdn_near</v>
      </c>
      <c r="X121" s="3"/>
      <c r="Y121" s="3"/>
      <c r="Z121" s="3"/>
      <c r="AA121" s="3"/>
      <c r="AB121" s="3"/>
      <c r="AC121" s="3"/>
      <c r="AD121" s="3"/>
      <c r="AG121" s="2"/>
      <c r="AI121" s="75"/>
      <c r="AJ121" s="2"/>
      <c r="AK121" s="56"/>
      <c r="AL121" s="2"/>
      <c r="AM121" s="2"/>
      <c r="AN121" s="29"/>
    </row>
    <row r="122" spans="1:41" ht="12.75">
      <c r="A122">
        <f t="shared" si="33"/>
        <v>2</v>
      </c>
      <c r="B122" t="str">
        <f t="shared" si="33"/>
        <v>CPc5_near</v>
      </c>
      <c r="C122" s="3">
        <f t="shared" si="33"/>
        <v>-5666434.62593206</v>
      </c>
      <c r="D122" s="3">
        <f t="shared" si="33"/>
        <v>12589375</v>
      </c>
      <c r="E122" s="3">
        <f t="shared" si="33"/>
        <v>1215332.52620023</v>
      </c>
      <c r="F122" s="3">
        <f t="shared" si="33"/>
        <v>6879133.41817411</v>
      </c>
      <c r="G122" s="3">
        <f t="shared" si="33"/>
        <v>-5663800.89197389</v>
      </c>
      <c r="H122" s="3">
        <f t="shared" si="33"/>
        <v>-5669339.4691404</v>
      </c>
      <c r="I122" s="3">
        <f t="shared" si="33"/>
        <v>-5666163.51668189</v>
      </c>
      <c r="L122" s="2">
        <f>+C122/D122</f>
        <v>-0.45009657953091875</v>
      </c>
      <c r="M122">
        <v>0.5</v>
      </c>
      <c r="N122">
        <v>0.5</v>
      </c>
      <c r="O122" s="2">
        <f>+SQRT(M122^2+N122^2)</f>
        <v>0.7071067811865476</v>
      </c>
      <c r="P122" s="19">
        <f>'sum 58(+0.15 m) - 00'!B3</f>
        <v>4329.3</v>
      </c>
      <c r="Q122" s="2">
        <f>+D122/P122</f>
        <v>2907.9470122190655</v>
      </c>
      <c r="R122" s="2">
        <v>23.130067012440755</v>
      </c>
      <c r="S122" s="29">
        <f>+ABS(SQRT((R122/Q122)^2+(O122/L122)^2)*C122)</f>
        <v>8902146.531554623</v>
      </c>
      <c r="T122" t="str">
        <f>+B122</f>
        <v>CPc5_near</v>
      </c>
      <c r="V122">
        <v>1</v>
      </c>
      <c r="W122" t="s">
        <v>186</v>
      </c>
      <c r="X122" s="3">
        <v>-4914147.70600756</v>
      </c>
      <c r="Y122" s="3">
        <v>9269687.5</v>
      </c>
      <c r="Z122" s="3">
        <v>1284374.67607774</v>
      </c>
      <c r="AA122" s="3">
        <v>6196817.32295055</v>
      </c>
      <c r="AB122" s="3">
        <v>-4912442.64687282</v>
      </c>
      <c r="AC122" s="3">
        <v>-4916883.33367765</v>
      </c>
      <c r="AD122" s="3">
        <v>-4913117.13747219</v>
      </c>
      <c r="AG122" s="2">
        <f>+X122/Y122</f>
        <v>-0.5301308923313283</v>
      </c>
      <c r="AH122">
        <v>0.5</v>
      </c>
      <c r="AI122">
        <v>0.5</v>
      </c>
      <c r="AJ122" s="2">
        <f>+SQRT(AH122^2+AI122^2)</f>
        <v>0.7071067811865476</v>
      </c>
      <c r="AK122" s="19">
        <v>4516</v>
      </c>
      <c r="AL122" s="2">
        <f>+Y122/AK122</f>
        <v>2052.6323073516387</v>
      </c>
      <c r="AM122" s="2">
        <v>23.130067012440755</v>
      </c>
      <c r="AN122" s="29">
        <f>+ABS(SQRT((AM122/AL122)^2+(AJ122/AG122)^2)*X122)</f>
        <v>6554892.796014607</v>
      </c>
      <c r="AO122" t="str">
        <f>+W122</f>
        <v>CPdn_near</v>
      </c>
    </row>
    <row r="123" spans="1:41" ht="12.75">
      <c r="A123">
        <f t="shared" si="33"/>
        <v>3</v>
      </c>
      <c r="B123" t="str">
        <f t="shared" si="33"/>
        <v>CPc4_near</v>
      </c>
      <c r="C123" s="3">
        <f t="shared" si="33"/>
        <v>-5539666.72464379</v>
      </c>
      <c r="D123" s="3">
        <f t="shared" si="33"/>
        <v>11930312.5</v>
      </c>
      <c r="E123" s="3">
        <f t="shared" si="33"/>
        <v>2033249.35889031</v>
      </c>
      <c r="F123" s="3">
        <f t="shared" si="33"/>
        <v>7571789.24658483</v>
      </c>
      <c r="G123" s="3">
        <f t="shared" si="33"/>
        <v>-5538539.88769453</v>
      </c>
      <c r="H123" s="3">
        <f t="shared" si="33"/>
        <v>-5540622.15890067</v>
      </c>
      <c r="I123" s="3">
        <f t="shared" si="33"/>
        <v>-5539838.12733618</v>
      </c>
      <c r="L123" s="2">
        <f>+C123/D123</f>
        <v>-0.46433542496424884</v>
      </c>
      <c r="M123">
        <v>0.5</v>
      </c>
      <c r="N123">
        <v>0.5</v>
      </c>
      <c r="O123" s="2">
        <f>+SQRT(M123^2+N123^2)</f>
        <v>0.7071067811865476</v>
      </c>
      <c r="P123" s="19">
        <f>'sum 58(+0.15 m) - 00'!B4</f>
        <v>4410.2</v>
      </c>
      <c r="Q123" s="2">
        <f>+D123/P123</f>
        <v>2705.1635980227657</v>
      </c>
      <c r="R123" s="2">
        <v>23.130067012440755</v>
      </c>
      <c r="S123" s="29">
        <f>+ABS(SQRT((R123/Q123)^2+(O123/L123)^2)*C123)</f>
        <v>8436137.843510568</v>
      </c>
      <c r="T123" t="str">
        <f>+B123</f>
        <v>CPc4_near</v>
      </c>
      <c r="V123">
        <v>2</v>
      </c>
      <c r="W123" t="s">
        <v>184</v>
      </c>
      <c r="X123" s="3">
        <v>-3866690.67792948</v>
      </c>
      <c r="Y123" s="3">
        <v>12589375</v>
      </c>
      <c r="Z123" s="3">
        <v>1666636.08934688</v>
      </c>
      <c r="AA123" s="3">
        <v>5530976.44843035</v>
      </c>
      <c r="AB123" s="3">
        <v>-3864340.35908348</v>
      </c>
      <c r="AC123" s="3">
        <v>-3869118.73177687</v>
      </c>
      <c r="AD123" s="3">
        <v>-3866612.94292809</v>
      </c>
      <c r="AG123" s="2">
        <f>+X123/Y123</f>
        <v>-0.3071392088907893</v>
      </c>
      <c r="AH123">
        <v>0.5</v>
      </c>
      <c r="AI123">
        <v>0.5</v>
      </c>
      <c r="AJ123" s="2">
        <f>+SQRT(AH123^2+AI123^2)</f>
        <v>0.7071067811865476</v>
      </c>
      <c r="AK123" s="19">
        <v>4329.3</v>
      </c>
      <c r="AL123" s="2">
        <f>+Y123/AK123</f>
        <v>2907.9470122190655</v>
      </c>
      <c r="AM123" s="2">
        <v>23.130067012440755</v>
      </c>
      <c r="AN123" s="29">
        <f>+ABS(SQRT((AM123/AL123)^2+(AJ123/AG123)^2)*X123)</f>
        <v>8902085.56332548</v>
      </c>
      <c r="AO123" t="str">
        <f>+W123</f>
        <v>CPc5_near</v>
      </c>
    </row>
    <row r="124" spans="3:41" ht="12.75">
      <c r="C124" s="3"/>
      <c r="D124" s="3"/>
      <c r="E124" s="3"/>
      <c r="F124" s="3"/>
      <c r="G124" s="3"/>
      <c r="H124" s="3"/>
      <c r="I124" s="3"/>
      <c r="L124" s="2"/>
      <c r="N124" s="75"/>
      <c r="O124" s="2"/>
      <c r="P124" s="56"/>
      <c r="Q124" s="2"/>
      <c r="R124" s="2"/>
      <c r="S124" s="29"/>
      <c r="V124">
        <v>3</v>
      </c>
      <c r="W124" t="s">
        <v>185</v>
      </c>
      <c r="X124" s="3">
        <v>-3850682.99603154</v>
      </c>
      <c r="Y124" s="3">
        <v>11930312.5</v>
      </c>
      <c r="Z124" s="3">
        <v>2485328.8791789</v>
      </c>
      <c r="AA124" s="3">
        <v>6333938.31734028</v>
      </c>
      <c r="AB124" s="3">
        <v>-3848609.43816137</v>
      </c>
      <c r="AC124" s="3">
        <v>-3851694.27243969</v>
      </c>
      <c r="AD124" s="3">
        <v>-3851745.27749357</v>
      </c>
      <c r="AG124" s="2">
        <f>+X124/Y124</f>
        <v>-0.32276463806220834</v>
      </c>
      <c r="AH124">
        <v>0.5</v>
      </c>
      <c r="AI124">
        <v>0.5</v>
      </c>
      <c r="AJ124" s="2">
        <f>+SQRT(AH124^2+AI124^2)</f>
        <v>0.7071067811865476</v>
      </c>
      <c r="AK124" s="19">
        <v>4410.2</v>
      </c>
      <c r="AL124" s="2">
        <f>+Y124/AK124</f>
        <v>2705.1635980227657</v>
      </c>
      <c r="AM124" s="2">
        <v>23.130067012440755</v>
      </c>
      <c r="AN124" s="29">
        <f>+ABS(SQRT((AM124/AL124)^2+(AJ124/AG124)^2)*X124)</f>
        <v>8436069.12051986</v>
      </c>
      <c r="AO124" t="str">
        <f>+W124</f>
        <v>CPc4_near</v>
      </c>
    </row>
    <row r="125" spans="3:41" ht="12.75">
      <c r="C125" s="3"/>
      <c r="D125" s="3"/>
      <c r="E125" s="3"/>
      <c r="F125" s="3"/>
      <c r="G125" s="3"/>
      <c r="H125" s="3"/>
      <c r="I125" s="3"/>
      <c r="L125" s="2"/>
      <c r="N125" s="75"/>
      <c r="O125" s="2"/>
      <c r="P125" s="56"/>
      <c r="Q125" s="2"/>
      <c r="R125" s="2"/>
      <c r="S125" s="29"/>
      <c r="V125">
        <v>3</v>
      </c>
      <c r="W125" t="s">
        <v>131</v>
      </c>
      <c r="X125" s="3">
        <v>11098788.882436</v>
      </c>
      <c r="Y125" s="3">
        <v>13313125</v>
      </c>
      <c r="Z125" s="3">
        <v>11396646.9926251</v>
      </c>
      <c r="AA125" s="3">
        <v>301635.011537628</v>
      </c>
      <c r="AB125" s="3">
        <v>11095011.9810875</v>
      </c>
      <c r="AC125" s="3">
        <v>11102220.9859097</v>
      </c>
      <c r="AD125" s="3">
        <v>11099133.6803107</v>
      </c>
      <c r="AG125" s="2">
        <f>+X125/Y125</f>
        <v>0.833672701370715</v>
      </c>
      <c r="AH125">
        <v>0.5</v>
      </c>
      <c r="AI125">
        <v>0.5</v>
      </c>
      <c r="AJ125" s="2">
        <f>+SQRT(AH125^2+AI125^2)</f>
        <v>0.7071067811865476</v>
      </c>
      <c r="AK125" s="56">
        <f>+'sum 1958-2000'!W56</f>
        <v>0</v>
      </c>
      <c r="AL125" s="2" t="e">
        <f>+Y125/AK125</f>
        <v>#DIV/0!</v>
      </c>
      <c r="AM125" s="2">
        <v>23.130067012440755</v>
      </c>
      <c r="AN125" s="29" t="e">
        <f>+ABS(SQRT((AM125/AL125)^2+(AJ125/AG125)^2)*X125)</f>
        <v>#DIV/0!</v>
      </c>
      <c r="AO125">
        <f>+W127</f>
        <v>0</v>
      </c>
    </row>
    <row r="126" spans="3:40" ht="12.75">
      <c r="C126" s="3"/>
      <c r="D126" s="3"/>
      <c r="E126" s="3"/>
      <c r="F126" s="3"/>
      <c r="G126" s="3"/>
      <c r="H126" s="3"/>
      <c r="I126" s="3"/>
      <c r="L126" s="2"/>
      <c r="N126" s="75"/>
      <c r="O126" s="2"/>
      <c r="P126" s="56"/>
      <c r="Q126" s="2"/>
      <c r="R126" s="2"/>
      <c r="S126" s="29"/>
      <c r="X126" s="3"/>
      <c r="Y126" s="3"/>
      <c r="Z126" s="3"/>
      <c r="AA126" s="3"/>
      <c r="AB126" s="3"/>
      <c r="AC126" s="3"/>
      <c r="AD126" s="3"/>
      <c r="AG126" s="2"/>
      <c r="AJ126" s="2"/>
      <c r="AK126" s="56"/>
      <c r="AL126" s="2"/>
      <c r="AM126" s="2"/>
      <c r="AN126" s="29"/>
    </row>
    <row r="127" spans="1:20" ht="12.75">
      <c r="A127" s="4" t="s">
        <v>133</v>
      </c>
      <c r="B127" s="4"/>
      <c r="C127" s="4" t="s">
        <v>172</v>
      </c>
      <c r="D127" s="4"/>
      <c r="E127" s="4"/>
      <c r="F127" s="4" t="s">
        <v>173</v>
      </c>
      <c r="N127" s="4" t="s">
        <v>175</v>
      </c>
      <c r="Q127" s="6" t="s">
        <v>177</v>
      </c>
      <c r="T127" s="5" t="s">
        <v>180</v>
      </c>
    </row>
    <row r="128" spans="3:22" ht="12.75">
      <c r="C128" t="s">
        <v>0</v>
      </c>
      <c r="D128" t="s">
        <v>1</v>
      </c>
      <c r="F128" t="s">
        <v>0</v>
      </c>
      <c r="G128" t="s">
        <v>1</v>
      </c>
      <c r="J128" t="str">
        <f>+B11</f>
        <v>off_north</v>
      </c>
      <c r="K128" s="3">
        <f>+C11</f>
        <v>-19285633.3333333</v>
      </c>
      <c r="L128" s="3">
        <f>+D11</f>
        <v>97008100</v>
      </c>
      <c r="N128" t="s">
        <v>0</v>
      </c>
      <c r="O128" t="s">
        <v>1</v>
      </c>
      <c r="P128" s="4" t="s">
        <v>176</v>
      </c>
      <c r="Q128" t="s">
        <v>0</v>
      </c>
      <c r="R128" t="s">
        <v>1</v>
      </c>
      <c r="S128" s="6" t="s">
        <v>176</v>
      </c>
      <c r="T128" t="s">
        <v>0</v>
      </c>
      <c r="U128" t="s">
        <v>1</v>
      </c>
      <c r="V128" s="5" t="s">
        <v>176</v>
      </c>
    </row>
    <row r="129" spans="2:22" ht="12.75">
      <c r="B129" t="str">
        <f>+B26</f>
        <v>CPdn_off</v>
      </c>
      <c r="C129" s="3">
        <f>+C26</f>
        <v>-30268186.8055551</v>
      </c>
      <c r="D129" s="3">
        <f>+D26</f>
        <v>41350000</v>
      </c>
      <c r="E129" s="2">
        <f>+C129/D129</f>
        <v>-0.731999680908225</v>
      </c>
      <c r="J129" t="str">
        <f aca="true" t="shared" si="34" ref="J129:L130">+B4</f>
        <v>CPc5_off</v>
      </c>
      <c r="K129" s="3">
        <f t="shared" si="34"/>
        <v>-118387000</v>
      </c>
      <c r="L129" s="3">
        <f t="shared" si="34"/>
        <v>98580336</v>
      </c>
      <c r="N129" s="3">
        <f aca="true" t="shared" si="35" ref="N129:N143">+C165</f>
        <v>-50320837.186211</v>
      </c>
      <c r="O129" s="3">
        <f aca="true" t="shared" si="36" ref="O129:O143">+D165</f>
        <v>41350000</v>
      </c>
      <c r="P129" s="52">
        <f>+(C129-N129)/C129*100</f>
        <v>-66.2499227637106</v>
      </c>
      <c r="Q129" s="3">
        <f aca="true" t="shared" si="37" ref="Q129:Q143">+C182</f>
        <v>-48236975.001001</v>
      </c>
      <c r="R129" s="3">
        <f aca="true" t="shared" si="38" ref="R129:R143">+D182</f>
        <v>41350000</v>
      </c>
      <c r="S129" s="87">
        <f>+(C129-Q129)/C129*100</f>
        <v>-59.36526132496347</v>
      </c>
      <c r="T129" s="3">
        <f>+C147</f>
        <v>-49049861.1324511</v>
      </c>
      <c r="U129" s="3">
        <f>+D147</f>
        <v>41350000</v>
      </c>
      <c r="V129" s="88">
        <f>+(C129-T129)/C129*100</f>
        <v>-62.05087357082457</v>
      </c>
    </row>
    <row r="130" spans="2:22" ht="12.75">
      <c r="B130" t="str">
        <f>+B41</f>
        <v>CP_near</v>
      </c>
      <c r="C130" s="3">
        <f>+C41</f>
        <v>8037580.7105102</v>
      </c>
      <c r="D130" s="3">
        <f>+D41</f>
        <v>33927812.5000001</v>
      </c>
      <c r="E130" s="2">
        <f aca="true" t="shared" si="39" ref="E130:E143">+C130/D130</f>
        <v>0.23690241481115756</v>
      </c>
      <c r="J130" t="str">
        <f t="shared" si="34"/>
        <v>inlet</v>
      </c>
      <c r="K130" s="3">
        <f t="shared" si="34"/>
        <v>-37083333.3333333</v>
      </c>
      <c r="L130" s="3">
        <f t="shared" si="34"/>
        <v>23218400</v>
      </c>
      <c r="N130" s="3">
        <f t="shared" si="35"/>
        <v>-18809938.1504948</v>
      </c>
      <c r="O130" s="3">
        <f t="shared" si="36"/>
        <v>33927812.4999999</v>
      </c>
      <c r="P130" s="52">
        <f aca="true" t="shared" si="40" ref="P130:P143">+(C130-N130)/C130*100</f>
        <v>334.02487424976425</v>
      </c>
      <c r="Q130" s="3">
        <f t="shared" si="37"/>
        <v>-17093723.341432</v>
      </c>
      <c r="R130" s="3">
        <f t="shared" si="38"/>
        <v>33927812.4999999</v>
      </c>
      <c r="S130" s="87">
        <f aca="true" t="shared" si="41" ref="S130:S143">+(C130-Q130)/C130*100</f>
        <v>312.67249383984034</v>
      </c>
      <c r="T130" s="3">
        <f aca="true" t="shared" si="42" ref="T130:T139">+C148</f>
        <v>-17365343.2623072</v>
      </c>
      <c r="U130" s="3">
        <f aca="true" t="shared" si="43" ref="U130:U139">+D148</f>
        <v>33927812.5</v>
      </c>
      <c r="V130" s="88">
        <f aca="true" t="shared" si="44" ref="V130:V143">+(C130-T130)/C130*100</f>
        <v>316.05186794080606</v>
      </c>
    </row>
    <row r="131" spans="2:22" ht="12.75">
      <c r="B131" t="str">
        <f>+B47</f>
        <v>CPc3_near</v>
      </c>
      <c r="C131" s="3">
        <f>+C47</f>
        <v>13554142.326328</v>
      </c>
      <c r="D131" s="3">
        <f>+D47</f>
        <v>13313125</v>
      </c>
      <c r="E131" s="2">
        <f t="shared" si="39"/>
        <v>1.0181037379524343</v>
      </c>
      <c r="J131" t="str">
        <f>+B18</f>
        <v>CPDn_near</v>
      </c>
      <c r="K131" s="3">
        <f>+C18</f>
        <v>-16704300</v>
      </c>
      <c r="L131" s="3">
        <f>+D18</f>
        <v>16655274</v>
      </c>
      <c r="N131" s="3">
        <f t="shared" si="35"/>
        <v>8667359.10321459</v>
      </c>
      <c r="O131" s="3">
        <f t="shared" si="36"/>
        <v>13313125</v>
      </c>
      <c r="P131" s="52">
        <f t="shared" si="40"/>
        <v>36.05379894544243</v>
      </c>
      <c r="Q131" s="3">
        <f t="shared" si="37"/>
        <v>9342757.0012577</v>
      </c>
      <c r="R131" s="3">
        <f t="shared" si="38"/>
        <v>13313125</v>
      </c>
      <c r="S131" s="87">
        <f t="shared" si="41"/>
        <v>31.070835938397735</v>
      </c>
      <c r="T131" s="3">
        <f t="shared" si="42"/>
        <v>9121167.59037838</v>
      </c>
      <c r="U131" s="3">
        <f t="shared" si="43"/>
        <v>13313125</v>
      </c>
      <c r="V131" s="88">
        <f t="shared" si="44"/>
        <v>32.70568236057894</v>
      </c>
    </row>
    <row r="132" spans="2:22" ht="12.75">
      <c r="B132" t="str">
        <f aca="true" t="shared" si="45" ref="B132:D139">+B27</f>
        <v>CP_off</v>
      </c>
      <c r="C132" s="3">
        <f t="shared" si="45"/>
        <v>-25838772.9561818</v>
      </c>
      <c r="D132" s="3">
        <f t="shared" si="45"/>
        <v>130432187.5</v>
      </c>
      <c r="E132" s="2">
        <f t="shared" si="39"/>
        <v>-0.1981012007191998</v>
      </c>
      <c r="N132" s="3">
        <f t="shared" si="35"/>
        <v>-86853216.9090478</v>
      </c>
      <c r="O132" s="3">
        <f t="shared" si="36"/>
        <v>130432187.5</v>
      </c>
      <c r="P132" s="52">
        <f t="shared" si="40"/>
        <v>-236.13522227365902</v>
      </c>
      <c r="Q132" s="3">
        <f t="shared" si="37"/>
        <v>-80296999.4515745</v>
      </c>
      <c r="R132" s="3">
        <f t="shared" si="38"/>
        <v>130432187.5</v>
      </c>
      <c r="S132" s="87">
        <f t="shared" si="41"/>
        <v>-210.7616587975933</v>
      </c>
      <c r="T132" s="3">
        <f t="shared" si="42"/>
        <v>-83114947.6742543</v>
      </c>
      <c r="U132" s="3">
        <f t="shared" si="43"/>
        <v>130432187.5</v>
      </c>
      <c r="V132" s="88">
        <f t="shared" si="44"/>
        <v>-221.66754905584418</v>
      </c>
    </row>
    <row r="133" spans="2:22" ht="12.75">
      <c r="B133" t="str">
        <f t="shared" si="45"/>
        <v>innerdelta</v>
      </c>
      <c r="C133" s="3">
        <f t="shared" si="45"/>
        <v>-47071388.7968463</v>
      </c>
      <c r="D133" s="3">
        <f t="shared" si="45"/>
        <v>43465937.5000001</v>
      </c>
      <c r="E133" s="2">
        <f t="shared" si="39"/>
        <v>-1.082948890653657</v>
      </c>
      <c r="F133" t="str">
        <f aca="true" t="shared" si="46" ref="F133:H134">+B6</f>
        <v>innerdelta</v>
      </c>
      <c r="G133" s="3">
        <f t="shared" si="46"/>
        <v>-68484900</v>
      </c>
      <c r="H133" s="3">
        <f t="shared" si="46"/>
        <v>43465970</v>
      </c>
      <c r="I133" s="2">
        <f aca="true" t="shared" si="47" ref="I133:I143">+G133/H133</f>
        <v>-1.5755981058285367</v>
      </c>
      <c r="J133" s="51">
        <f>+E133-I133</f>
        <v>0.4926492151748796</v>
      </c>
      <c r="K133" s="19">
        <f>+(C133-G133)/C133*100</f>
        <v>-45.4915645161257</v>
      </c>
      <c r="L133" s="19">
        <f>+(D133-H133)/D133*100</f>
        <v>-7.477119273716892E-05</v>
      </c>
      <c r="M133" s="19"/>
      <c r="N133" s="3">
        <f t="shared" si="35"/>
        <v>-64573695.181939</v>
      </c>
      <c r="O133" s="3">
        <f t="shared" si="36"/>
        <v>43465937.5</v>
      </c>
      <c r="P133" s="52">
        <f t="shared" si="40"/>
        <v>-37.18247290435867</v>
      </c>
      <c r="Q133" s="3">
        <f t="shared" si="37"/>
        <v>-62379311.5107933</v>
      </c>
      <c r="R133" s="3">
        <f t="shared" si="38"/>
        <v>43465937.5000001</v>
      </c>
      <c r="S133" s="87">
        <f t="shared" si="41"/>
        <v>-32.520652364887525</v>
      </c>
      <c r="T133" s="3">
        <f t="shared" si="42"/>
        <v>-62879580.6220513</v>
      </c>
      <c r="U133" s="3">
        <f t="shared" si="43"/>
        <v>43465937.4999998</v>
      </c>
      <c r="V133" s="88">
        <f t="shared" si="44"/>
        <v>-33.58344044921003</v>
      </c>
    </row>
    <row r="134" spans="2:22" ht="12.75">
      <c r="B134" t="str">
        <f t="shared" si="45"/>
        <v>outerdelta</v>
      </c>
      <c r="C134" s="3">
        <f t="shared" si="45"/>
        <v>45130233.3704763</v>
      </c>
      <c r="D134" s="3">
        <f t="shared" si="45"/>
        <v>18410312.5</v>
      </c>
      <c r="E134" s="2">
        <f t="shared" si="39"/>
        <v>2.451356182600176</v>
      </c>
      <c r="F134" t="str">
        <f t="shared" si="46"/>
        <v>outerdelta</v>
      </c>
      <c r="G134" s="3">
        <f t="shared" si="46"/>
        <v>33022700</v>
      </c>
      <c r="H134" s="3">
        <f t="shared" si="46"/>
        <v>18410348</v>
      </c>
      <c r="I134" s="2">
        <f t="shared" si="47"/>
        <v>1.7937031934431658</v>
      </c>
      <c r="J134" s="51">
        <f aca="true" t="shared" si="48" ref="J134:J143">+E134-I134</f>
        <v>0.6576529891570102</v>
      </c>
      <c r="K134" s="19">
        <f>+(C134-G134)/C134*100</f>
        <v>26.827987506922383</v>
      </c>
      <c r="L134" s="19">
        <f>+(D134-H134)/D134*100</f>
        <v>-0.00019282671057321816</v>
      </c>
      <c r="M134" s="19"/>
      <c r="N134" s="3">
        <f t="shared" si="35"/>
        <v>36724514.1293462</v>
      </c>
      <c r="O134" s="3">
        <f t="shared" si="36"/>
        <v>18410312.5</v>
      </c>
      <c r="P134" s="52">
        <f t="shared" si="40"/>
        <v>18.62547257871932</v>
      </c>
      <c r="Q134" s="3">
        <f t="shared" si="37"/>
        <v>37659452.3858093</v>
      </c>
      <c r="R134" s="3">
        <f t="shared" si="38"/>
        <v>18410312.5</v>
      </c>
      <c r="S134" s="87">
        <f t="shared" si="41"/>
        <v>16.553827504810332</v>
      </c>
      <c r="T134" s="3">
        <f t="shared" si="42"/>
        <v>37192746.0550078</v>
      </c>
      <c r="U134" s="3">
        <f t="shared" si="43"/>
        <v>18410312.5</v>
      </c>
      <c r="V134" s="88">
        <f t="shared" si="44"/>
        <v>17.587959827970035</v>
      </c>
    </row>
    <row r="135" spans="2:22" ht="12.75">
      <c r="B135" t="str">
        <f t="shared" si="45"/>
        <v>delta_north</v>
      </c>
      <c r="C135" s="3">
        <f t="shared" si="45"/>
        <v>22020775.9773163</v>
      </c>
      <c r="D135" s="3">
        <f t="shared" si="45"/>
        <v>24233437.5</v>
      </c>
      <c r="E135" s="2">
        <f t="shared" si="39"/>
        <v>0.9086938647196173</v>
      </c>
      <c r="I135" s="2"/>
      <c r="J135" s="51"/>
      <c r="K135" s="19"/>
      <c r="L135" s="19"/>
      <c r="M135" s="19"/>
      <c r="N135" s="3">
        <f t="shared" si="35"/>
        <v>10530554.8084353</v>
      </c>
      <c r="O135" s="3">
        <f t="shared" si="36"/>
        <v>24233437.5</v>
      </c>
      <c r="P135" s="52">
        <f t="shared" si="40"/>
        <v>52.17900214196416</v>
      </c>
      <c r="Q135" s="3">
        <f t="shared" si="37"/>
        <v>11760793.2503301</v>
      </c>
      <c r="R135" s="3">
        <f t="shared" si="38"/>
        <v>24233437.5</v>
      </c>
      <c r="S135" s="87">
        <f t="shared" si="41"/>
        <v>46.592285110910964</v>
      </c>
      <c r="T135" s="3">
        <f t="shared" si="42"/>
        <v>11606372.764618</v>
      </c>
      <c r="U135" s="3">
        <f t="shared" si="43"/>
        <v>24233437.5</v>
      </c>
      <c r="V135" s="88">
        <f t="shared" si="44"/>
        <v>47.29353417620807</v>
      </c>
    </row>
    <row r="136" spans="2:22" ht="12.75">
      <c r="B136" t="str">
        <f t="shared" si="45"/>
        <v>dispA</v>
      </c>
      <c r="C136" s="3">
        <f t="shared" si="45"/>
        <v>6573920.96226358</v>
      </c>
      <c r="D136" s="3">
        <f t="shared" si="45"/>
        <v>3007187.5</v>
      </c>
      <c r="E136" s="2">
        <f t="shared" si="39"/>
        <v>2.1860695291742136</v>
      </c>
      <c r="F136" t="str">
        <f aca="true" t="shared" si="49" ref="F136:H138">+B8</f>
        <v>dispA</v>
      </c>
      <c r="G136" s="3">
        <f t="shared" si="49"/>
        <v>6295010</v>
      </c>
      <c r="H136" s="3">
        <f t="shared" si="49"/>
        <v>3007188.3</v>
      </c>
      <c r="I136" s="2">
        <f t="shared" si="47"/>
        <v>2.0933208605526965</v>
      </c>
      <c r="J136" s="51">
        <f t="shared" si="48"/>
        <v>0.0927486686215171</v>
      </c>
      <c r="K136" s="19">
        <f aca="true" t="shared" si="50" ref="K136:L138">+(C136-G136)/C136*100</f>
        <v>4.242688098390884</v>
      </c>
      <c r="L136" s="19">
        <f t="shared" si="50"/>
        <v>-2.6602930472866603E-05</v>
      </c>
      <c r="M136" s="19"/>
      <c r="N136" s="3">
        <f t="shared" si="35"/>
        <v>5413983.85548622</v>
      </c>
      <c r="O136" s="3">
        <f t="shared" si="36"/>
        <v>3007187.5</v>
      </c>
      <c r="P136" s="52">
        <f t="shared" si="40"/>
        <v>17.64452468223717</v>
      </c>
      <c r="Q136" s="3">
        <f t="shared" si="37"/>
        <v>5569012.55633663</v>
      </c>
      <c r="R136" s="3">
        <f t="shared" si="38"/>
        <v>3007187.5</v>
      </c>
      <c r="S136" s="87">
        <f t="shared" si="41"/>
        <v>15.286286703102267</v>
      </c>
      <c r="T136" s="3">
        <f t="shared" si="42"/>
        <v>5537922.07569708</v>
      </c>
      <c r="U136" s="3">
        <f t="shared" si="43"/>
        <v>3007187.5</v>
      </c>
      <c r="V136" s="88">
        <f t="shared" si="44"/>
        <v>15.75922333890941</v>
      </c>
    </row>
    <row r="137" spans="2:22" ht="12.75">
      <c r="B137" t="str">
        <f t="shared" si="45"/>
        <v>dispB</v>
      </c>
      <c r="C137" s="3">
        <f t="shared" si="45"/>
        <v>45785325.7159667</v>
      </c>
      <c r="D137" s="3">
        <f t="shared" si="45"/>
        <v>9531562.5</v>
      </c>
      <c r="E137" s="2">
        <f t="shared" si="39"/>
        <v>4.803548811222368</v>
      </c>
      <c r="F137" t="str">
        <f t="shared" si="49"/>
        <v>dispB</v>
      </c>
      <c r="G137" s="3">
        <f t="shared" si="49"/>
        <v>38575166.6666667</v>
      </c>
      <c r="H137" s="3">
        <f t="shared" si="49"/>
        <v>9531558</v>
      </c>
      <c r="I137" s="2">
        <f t="shared" si="47"/>
        <v>4.0470998200574035</v>
      </c>
      <c r="J137" s="51">
        <f t="shared" si="48"/>
        <v>0.7564489911649641</v>
      </c>
      <c r="K137" s="19">
        <f t="shared" si="50"/>
        <v>15.747750914843014</v>
      </c>
      <c r="L137" s="19">
        <f t="shared" si="50"/>
        <v>4.72115668338743E-05</v>
      </c>
      <c r="M137" s="19"/>
      <c r="N137" s="3">
        <f t="shared" si="35"/>
        <v>41997736.4046371</v>
      </c>
      <c r="O137" s="3">
        <f t="shared" si="36"/>
        <v>9531562.5</v>
      </c>
      <c r="P137" s="52">
        <f t="shared" si="40"/>
        <v>8.272496159197921</v>
      </c>
      <c r="Q137" s="3">
        <f t="shared" si="37"/>
        <v>42482513.7210793</v>
      </c>
      <c r="R137" s="3">
        <f t="shared" si="38"/>
        <v>9531562.5</v>
      </c>
      <c r="S137" s="87">
        <f t="shared" si="41"/>
        <v>7.213691162484437</v>
      </c>
      <c r="T137" s="3">
        <f t="shared" si="42"/>
        <v>42076101.0915125</v>
      </c>
      <c r="U137" s="3">
        <f t="shared" si="43"/>
        <v>9531562.5</v>
      </c>
      <c r="V137" s="88">
        <f t="shared" si="44"/>
        <v>8.101339384292473</v>
      </c>
    </row>
    <row r="138" spans="2:22" ht="12.75">
      <c r="B138" t="str">
        <f t="shared" si="45"/>
        <v>dispF</v>
      </c>
      <c r="C138" s="3">
        <f t="shared" si="45"/>
        <v>3848443.95540526</v>
      </c>
      <c r="D138" s="3">
        <f t="shared" si="45"/>
        <v>2354062.5</v>
      </c>
      <c r="E138" s="2">
        <f t="shared" si="39"/>
        <v>1.634809592101</v>
      </c>
      <c r="F138" t="str">
        <f t="shared" si="49"/>
        <v>dispF</v>
      </c>
      <c r="G138" s="3">
        <f t="shared" si="49"/>
        <v>2669200</v>
      </c>
      <c r="H138" s="3">
        <f t="shared" si="49"/>
        <v>2354059.7</v>
      </c>
      <c r="I138" s="2">
        <f t="shared" si="47"/>
        <v>1.1338709889133227</v>
      </c>
      <c r="J138" s="51">
        <f t="shared" si="48"/>
        <v>0.5009386031876772</v>
      </c>
      <c r="K138" s="19">
        <f t="shared" si="50"/>
        <v>30.642097665186856</v>
      </c>
      <c r="L138" s="19">
        <f t="shared" si="50"/>
        <v>0.0001189433160680201</v>
      </c>
      <c r="M138" s="19"/>
      <c r="N138" s="3">
        <f t="shared" si="35"/>
        <v>2921043.8089755</v>
      </c>
      <c r="O138" s="3">
        <f t="shared" si="36"/>
        <v>2354062.5</v>
      </c>
      <c r="P138" s="52">
        <f t="shared" si="40"/>
        <v>24.09805514062891</v>
      </c>
      <c r="Q138" s="3">
        <f t="shared" si="37"/>
        <v>3043413.12691489</v>
      </c>
      <c r="R138" s="3">
        <f t="shared" si="38"/>
        <v>2354062.5</v>
      </c>
      <c r="S138" s="87">
        <f t="shared" si="41"/>
        <v>20.918346163250707</v>
      </c>
      <c r="T138" s="3">
        <f t="shared" si="42"/>
        <v>3003257.13958739</v>
      </c>
      <c r="U138" s="3">
        <f t="shared" si="43"/>
        <v>2354062.5</v>
      </c>
      <c r="V138" s="88">
        <f t="shared" si="44"/>
        <v>21.961780543296697</v>
      </c>
    </row>
    <row r="139" spans="2:22" ht="12.75">
      <c r="B139" t="str">
        <f t="shared" si="45"/>
        <v>off_north</v>
      </c>
      <c r="C139" s="3">
        <f t="shared" si="45"/>
        <v>-5132599.74701929</v>
      </c>
      <c r="D139" s="3">
        <f t="shared" si="45"/>
        <v>72538125</v>
      </c>
      <c r="E139" s="2">
        <f t="shared" si="39"/>
        <v>-0.07075727070446458</v>
      </c>
      <c r="I139" s="2"/>
      <c r="J139" s="51"/>
      <c r="K139" s="19"/>
      <c r="L139" s="19"/>
      <c r="M139" s="19"/>
      <c r="N139" s="3">
        <f t="shared" si="35"/>
        <v>-39332519.7925023</v>
      </c>
      <c r="O139" s="3">
        <f t="shared" si="36"/>
        <v>72538124.9999999</v>
      </c>
      <c r="P139" s="52">
        <f t="shared" si="40"/>
        <v>-666.3274311491813</v>
      </c>
      <c r="Q139" s="3">
        <f t="shared" si="37"/>
        <v>-35682217.1529256</v>
      </c>
      <c r="R139" s="3">
        <f t="shared" si="38"/>
        <v>72538124.9999999</v>
      </c>
      <c r="S139" s="87">
        <f t="shared" si="41"/>
        <v>-595.2074759705882</v>
      </c>
      <c r="T139" s="3">
        <f t="shared" si="42"/>
        <v>-36575743.6671386</v>
      </c>
      <c r="U139" s="3">
        <f t="shared" si="43"/>
        <v>72538125.0000001</v>
      </c>
      <c r="V139" s="88">
        <f t="shared" si="44"/>
        <v>-612.6163244733748</v>
      </c>
    </row>
    <row r="140" spans="2:22" ht="12.75">
      <c r="B140" t="str">
        <f aca="true" t="shared" si="51" ref="B140:D141">+B39</f>
        <v>LBc1_near</v>
      </c>
      <c r="C140" s="3">
        <f t="shared" si="51"/>
        <v>14099453.3986039</v>
      </c>
      <c r="D140" s="3">
        <f t="shared" si="51"/>
        <v>10435937.5</v>
      </c>
      <c r="E140" s="2">
        <f t="shared" si="39"/>
        <v>1.351048087304461</v>
      </c>
      <c r="F140" t="str">
        <f>+B17</f>
        <v>LBc1_near</v>
      </c>
      <c r="G140" s="3">
        <f>+C17</f>
        <v>9832636.66666667</v>
      </c>
      <c r="H140" s="3">
        <f>+D17</f>
        <v>10435940</v>
      </c>
      <c r="I140" s="2">
        <f t="shared" si="47"/>
        <v>0.9421898426655069</v>
      </c>
      <c r="J140" s="51">
        <f t="shared" si="48"/>
        <v>0.40885824463895415</v>
      </c>
      <c r="K140" s="19">
        <f aca="true" t="shared" si="52" ref="K140:L143">+(C140-G140)/C140*100</f>
        <v>30.262284723461136</v>
      </c>
      <c r="L140" s="19">
        <f t="shared" si="52"/>
        <v>-2.3955681988321604E-05</v>
      </c>
      <c r="M140" s="19"/>
      <c r="N140" s="3">
        <f t="shared" si="35"/>
        <v>8439704.64775504</v>
      </c>
      <c r="O140" s="3">
        <f t="shared" si="36"/>
        <v>10435937.5</v>
      </c>
      <c r="P140" s="52">
        <f t="shared" si="40"/>
        <v>40.14161819499525</v>
      </c>
      <c r="Q140" s="3">
        <f t="shared" si="37"/>
        <v>8971965.75273094</v>
      </c>
      <c r="R140" s="3">
        <f t="shared" si="38"/>
        <v>10435937.5</v>
      </c>
      <c r="S140" s="87">
        <f t="shared" si="41"/>
        <v>36.36657039754941</v>
      </c>
      <c r="T140" s="3">
        <f aca="true" t="shared" si="53" ref="T140:U143">+C158</f>
        <v>8857008.53518901</v>
      </c>
      <c r="U140" s="3">
        <f t="shared" si="53"/>
        <v>10435937.5</v>
      </c>
      <c r="V140" s="88">
        <f t="shared" si="44"/>
        <v>37.18190141990885</v>
      </c>
    </row>
    <row r="141" spans="2:22" ht="12.75">
      <c r="B141" t="str">
        <f t="shared" si="51"/>
        <v>LBc2_near</v>
      </c>
      <c r="C141" s="3">
        <f t="shared" si="51"/>
        <v>17712026.0301625</v>
      </c>
      <c r="D141" s="3">
        <f t="shared" si="51"/>
        <v>9967500</v>
      </c>
      <c r="E141" s="2">
        <f t="shared" si="39"/>
        <v>1.7769777808038625</v>
      </c>
      <c r="F141" t="str">
        <f>+B16</f>
        <v>LBc2_near</v>
      </c>
      <c r="G141" s="3">
        <f>+C16</f>
        <v>14605166.6666667</v>
      </c>
      <c r="H141" s="3">
        <f>+D16</f>
        <v>9967495</v>
      </c>
      <c r="I141" s="2">
        <f t="shared" si="47"/>
        <v>1.4652795578695248</v>
      </c>
      <c r="J141" s="51">
        <f t="shared" si="48"/>
        <v>0.3116982229343377</v>
      </c>
      <c r="K141" s="19">
        <f t="shared" si="52"/>
        <v>17.54095978746309</v>
      </c>
      <c r="L141" s="19">
        <f t="shared" si="52"/>
        <v>5.016302984700276E-05</v>
      </c>
      <c r="M141" s="19"/>
      <c r="N141" s="3">
        <f t="shared" si="35"/>
        <v>12686919.930057</v>
      </c>
      <c r="O141" s="3">
        <f t="shared" si="36"/>
        <v>9967500</v>
      </c>
      <c r="P141" s="52">
        <f t="shared" si="40"/>
        <v>28.37115354024463</v>
      </c>
      <c r="Q141" s="3">
        <f t="shared" si="37"/>
        <v>13194803.4862366</v>
      </c>
      <c r="R141" s="3">
        <f t="shared" si="38"/>
        <v>9967500</v>
      </c>
      <c r="S141" s="87">
        <f t="shared" si="41"/>
        <v>25.5037031688715</v>
      </c>
      <c r="T141" s="3">
        <f t="shared" si="53"/>
        <v>12871378.5416534</v>
      </c>
      <c r="U141" s="3">
        <f t="shared" si="53"/>
        <v>9967500</v>
      </c>
      <c r="V141" s="88">
        <f t="shared" si="44"/>
        <v>27.32972207846675</v>
      </c>
    </row>
    <row r="142" spans="2:22" ht="12.75">
      <c r="B142" t="str">
        <f aca="true" t="shared" si="54" ref="B142:D143">+B35</f>
        <v>LBc1_off</v>
      </c>
      <c r="C142" s="3">
        <f t="shared" si="54"/>
        <v>22635543.814939</v>
      </c>
      <c r="D142" s="3">
        <f t="shared" si="54"/>
        <v>21537812.5</v>
      </c>
      <c r="E142" s="2">
        <f t="shared" si="39"/>
        <v>1.050967632620026</v>
      </c>
      <c r="F142" t="str">
        <f aca="true" t="shared" si="55" ref="F142:H143">+B12</f>
        <v>LBc1_off</v>
      </c>
      <c r="G142" s="3">
        <f t="shared" si="55"/>
        <v>13514666.6666667</v>
      </c>
      <c r="H142" s="3">
        <f t="shared" si="55"/>
        <v>21537850</v>
      </c>
      <c r="I142" s="2">
        <f t="shared" si="47"/>
        <v>0.6274844827439461</v>
      </c>
      <c r="J142" s="51">
        <f t="shared" si="48"/>
        <v>0.4234831498760798</v>
      </c>
      <c r="K142" s="19">
        <f t="shared" si="52"/>
        <v>40.29449092472303</v>
      </c>
      <c r="L142" s="19">
        <f t="shared" si="52"/>
        <v>-0.00017411238954745286</v>
      </c>
      <c r="M142" s="19"/>
      <c r="N142" s="3">
        <f t="shared" si="35"/>
        <v>11906548.1960426</v>
      </c>
      <c r="O142" s="3">
        <f t="shared" si="36"/>
        <v>21537812.5</v>
      </c>
      <c r="P142" s="52">
        <f t="shared" si="40"/>
        <v>47.398886046711546</v>
      </c>
      <c r="Q142" s="3">
        <f t="shared" si="37"/>
        <v>12997185.8619815</v>
      </c>
      <c r="R142" s="3">
        <f t="shared" si="38"/>
        <v>21537812.5</v>
      </c>
      <c r="S142" s="87">
        <f t="shared" si="41"/>
        <v>42.58063350170708</v>
      </c>
      <c r="T142" s="3">
        <f t="shared" si="53"/>
        <v>12556711.3296663</v>
      </c>
      <c r="U142" s="3">
        <f t="shared" si="53"/>
        <v>21537812.5</v>
      </c>
      <c r="V142" s="88">
        <f t="shared" si="44"/>
        <v>44.526575405804365</v>
      </c>
    </row>
    <row r="143" spans="2:22" ht="12.75">
      <c r="B143" t="str">
        <f t="shared" si="54"/>
        <v>LBc2_off</v>
      </c>
      <c r="C143" s="3">
        <f t="shared" si="54"/>
        <v>13376726.9655118</v>
      </c>
      <c r="D143" s="3">
        <f t="shared" si="54"/>
        <v>15223750</v>
      </c>
      <c r="E143" s="2">
        <f t="shared" si="39"/>
        <v>0.8786748971516085</v>
      </c>
      <c r="F143" t="str">
        <f t="shared" si="55"/>
        <v>LBc2_off</v>
      </c>
      <c r="G143" s="3">
        <f t="shared" si="55"/>
        <v>8940770</v>
      </c>
      <c r="H143" s="3">
        <f t="shared" si="55"/>
        <v>15223720</v>
      </c>
      <c r="I143" s="2">
        <f t="shared" si="47"/>
        <v>0.5872920679045595</v>
      </c>
      <c r="J143" s="51">
        <f t="shared" si="48"/>
        <v>0.29138282924704906</v>
      </c>
      <c r="K143" s="19">
        <f t="shared" si="52"/>
        <v>33.16175157756222</v>
      </c>
      <c r="L143" s="19">
        <f t="shared" si="52"/>
        <v>0.00019706051399950736</v>
      </c>
      <c r="M143" s="19"/>
      <c r="N143" s="3">
        <f t="shared" si="35"/>
        <v>6113981.94565961</v>
      </c>
      <c r="O143" s="3">
        <f t="shared" si="36"/>
        <v>15223750</v>
      </c>
      <c r="P143" s="52">
        <f t="shared" si="40"/>
        <v>54.293886976815585</v>
      </c>
      <c r="Q143" s="3">
        <f t="shared" si="37"/>
        <v>6885988.96013854</v>
      </c>
      <c r="R143" s="3">
        <f t="shared" si="38"/>
        <v>15223750</v>
      </c>
      <c r="S143" s="87">
        <f t="shared" si="41"/>
        <v>48.52261709540635</v>
      </c>
      <c r="T143" s="3">
        <f t="shared" si="53"/>
        <v>6500453.78993575</v>
      </c>
      <c r="U143" s="3">
        <f t="shared" si="53"/>
        <v>15223750</v>
      </c>
      <c r="V143" s="88">
        <f t="shared" si="44"/>
        <v>51.40475090285257</v>
      </c>
    </row>
    <row r="144" spans="3:20" ht="12.75">
      <c r="C144" s="3">
        <f>SUM(C129:C143)</f>
        <v>104463224.92188105</v>
      </c>
      <c r="N144" s="3">
        <f>SUM(N129:N143)</f>
        <v>-114487860.3905858</v>
      </c>
      <c r="Q144" s="3">
        <f>SUM(Q129:Q143)</f>
        <v>-91781340.35491094</v>
      </c>
      <c r="T144" s="3">
        <f>SUM(T129:T143)</f>
        <v>-99662357.44495687</v>
      </c>
    </row>
    <row r="146" spans="1:19" ht="12.75">
      <c r="A146" s="5" t="s">
        <v>179</v>
      </c>
      <c r="C146" t="s">
        <v>0</v>
      </c>
      <c r="D146" t="s">
        <v>1</v>
      </c>
      <c r="E146" t="s">
        <v>2</v>
      </c>
      <c r="F146" t="s">
        <v>3</v>
      </c>
      <c r="G146" t="s">
        <v>4</v>
      </c>
      <c r="H146" t="s">
        <v>5</v>
      </c>
      <c r="I146" t="s">
        <v>6</v>
      </c>
      <c r="M146" t="s">
        <v>0</v>
      </c>
      <c r="N146" t="s">
        <v>1</v>
      </c>
      <c r="O146" t="s">
        <v>2</v>
      </c>
      <c r="P146" t="s">
        <v>3</v>
      </c>
      <c r="Q146" t="s">
        <v>4</v>
      </c>
      <c r="R146" t="s">
        <v>5</v>
      </c>
      <c r="S146" t="s">
        <v>6</v>
      </c>
    </row>
    <row r="147" spans="1:19" ht="12.75">
      <c r="A147">
        <v>1</v>
      </c>
      <c r="B147" t="s">
        <v>129</v>
      </c>
      <c r="C147" s="3">
        <v>-49049861.1324511</v>
      </c>
      <c r="D147" s="3">
        <v>41350000</v>
      </c>
      <c r="E147" s="3">
        <v>1321984.7742556</v>
      </c>
      <c r="F147" s="3">
        <v>50368799.1114298</v>
      </c>
      <c r="G147" s="3">
        <v>-49046814.3371743</v>
      </c>
      <c r="H147" s="3">
        <v>-49054199.2826266</v>
      </c>
      <c r="I147" s="3">
        <v>-49048569.7775525</v>
      </c>
      <c r="K147">
        <v>1</v>
      </c>
      <c r="L147" t="s">
        <v>186</v>
      </c>
      <c r="M147" s="3">
        <v>-6159237.24164885</v>
      </c>
      <c r="N147" s="3">
        <v>9269687.50000001</v>
      </c>
      <c r="O147" s="3">
        <v>1048786.79083482</v>
      </c>
      <c r="P147" s="3">
        <v>7206413.48292448</v>
      </c>
      <c r="Q147" s="3">
        <v>-6157626.69208968</v>
      </c>
      <c r="R147" s="3">
        <v>-6161620.81659239</v>
      </c>
      <c r="S147" s="3">
        <v>-6158464.21626448</v>
      </c>
    </row>
    <row r="148" spans="1:19" ht="12.75">
      <c r="A148">
        <v>2</v>
      </c>
      <c r="B148" t="s">
        <v>130</v>
      </c>
      <c r="C148" s="3">
        <v>-17365343.2623072</v>
      </c>
      <c r="D148" s="3">
        <v>33927812.5</v>
      </c>
      <c r="E148" s="3">
        <v>4297317.74951237</v>
      </c>
      <c r="F148" s="3">
        <v>21657289.6626036</v>
      </c>
      <c r="G148" s="3">
        <v>-17359971.9130914</v>
      </c>
      <c r="H148" s="3">
        <v>-17371586.3924853</v>
      </c>
      <c r="I148" s="3">
        <v>-17364471.481345</v>
      </c>
      <c r="K148">
        <v>2</v>
      </c>
      <c r="L148" t="s">
        <v>184</v>
      </c>
      <c r="M148" s="3">
        <v>-5666434.62593206</v>
      </c>
      <c r="N148" s="3">
        <v>12589375</v>
      </c>
      <c r="O148" s="3">
        <v>1215332.52620023</v>
      </c>
      <c r="P148" s="3">
        <v>6879133.41817411</v>
      </c>
      <c r="Q148" s="3">
        <v>-5663800.89197389</v>
      </c>
      <c r="R148" s="3">
        <v>-5669339.4691404</v>
      </c>
      <c r="S148" s="3">
        <v>-5666163.51668189</v>
      </c>
    </row>
    <row r="149" spans="1:19" ht="12.75">
      <c r="A149">
        <v>3</v>
      </c>
      <c r="B149" t="s">
        <v>131</v>
      </c>
      <c r="C149" s="3">
        <v>9121167.59037838</v>
      </c>
      <c r="D149" s="3">
        <v>13313125</v>
      </c>
      <c r="E149" s="3">
        <v>9675011.5380079</v>
      </c>
      <c r="F149" s="3">
        <v>557452.906758492</v>
      </c>
      <c r="G149" s="3">
        <v>9117558.6312494</v>
      </c>
      <c r="H149" s="3">
        <v>9124758.18721718</v>
      </c>
      <c r="I149" s="3">
        <v>9121185.95266855</v>
      </c>
      <c r="K149">
        <v>3</v>
      </c>
      <c r="L149" t="s">
        <v>185</v>
      </c>
      <c r="M149" s="3">
        <v>-5539666.72464379</v>
      </c>
      <c r="N149" s="3">
        <v>11930312.5</v>
      </c>
      <c r="O149" s="3">
        <v>2033249.35889031</v>
      </c>
      <c r="P149" s="3">
        <v>7571789.24658483</v>
      </c>
      <c r="Q149" s="3">
        <v>-5538539.88769453</v>
      </c>
      <c r="R149" s="3">
        <v>-5540622.15890067</v>
      </c>
      <c r="S149" s="3">
        <v>-5539838.12733618</v>
      </c>
    </row>
    <row r="150" spans="1:16" ht="12.75">
      <c r="A150">
        <v>4</v>
      </c>
      <c r="B150" t="s">
        <v>74</v>
      </c>
      <c r="C150" s="3">
        <v>-83114947.6742543</v>
      </c>
      <c r="D150" s="3">
        <v>130432187.5</v>
      </c>
      <c r="E150" s="3">
        <v>1750812.14035482</v>
      </c>
      <c r="F150" s="3">
        <v>84866539.3025495</v>
      </c>
      <c r="G150" s="3">
        <v>-83115727.1621963</v>
      </c>
      <c r="H150" s="3">
        <v>-83108872.9720306</v>
      </c>
      <c r="I150" s="3">
        <v>-83120242.8885359</v>
      </c>
      <c r="P150" s="23"/>
    </row>
    <row r="151" spans="1:14" ht="12.75">
      <c r="A151">
        <v>5</v>
      </c>
      <c r="B151" t="s">
        <v>76</v>
      </c>
      <c r="C151" s="3">
        <v>-62879580.6220513</v>
      </c>
      <c r="D151" s="3">
        <v>43465937.4999998</v>
      </c>
      <c r="E151" s="3">
        <v>2685274.49877844</v>
      </c>
      <c r="F151" s="3">
        <v>65558055.3888078</v>
      </c>
      <c r="G151" s="3">
        <v>-62872780.8900289</v>
      </c>
      <c r="H151" s="3">
        <v>-62882905.4680735</v>
      </c>
      <c r="I151" s="3">
        <v>-62883055.5080515</v>
      </c>
      <c r="L151" s="5"/>
      <c r="M151" s="14">
        <f>SUM(M147:M149)</f>
        <v>-17365338.5922247</v>
      </c>
      <c r="N151" s="14">
        <f>SUM(N147:N149)</f>
        <v>33789375.00000001</v>
      </c>
    </row>
    <row r="152" spans="1:14" ht="12.75">
      <c r="A152">
        <v>6</v>
      </c>
      <c r="B152" t="s">
        <v>77</v>
      </c>
      <c r="C152" s="3">
        <v>37192746.0550078</v>
      </c>
      <c r="D152" s="3">
        <v>18410312.5</v>
      </c>
      <c r="E152" s="3">
        <v>37195712.8196571</v>
      </c>
      <c r="F152" s="3">
        <v>2053.28571246163</v>
      </c>
      <c r="G152" s="3">
        <v>37193659.5339447</v>
      </c>
      <c r="H152" s="3">
        <v>37184676.8638466</v>
      </c>
      <c r="I152" s="3">
        <v>37199901.7672322</v>
      </c>
      <c r="L152" s="5" t="str">
        <f>+B148</f>
        <v>CP_near</v>
      </c>
      <c r="M152" s="14">
        <f>+C148</f>
        <v>-17365343.2623072</v>
      </c>
      <c r="N152" s="14">
        <f>+D148</f>
        <v>33927812.5</v>
      </c>
    </row>
    <row r="153" spans="1:14" ht="12.75">
      <c r="A153">
        <v>7</v>
      </c>
      <c r="B153" t="s">
        <v>132</v>
      </c>
      <c r="C153" s="3">
        <v>11606372.764618</v>
      </c>
      <c r="D153" s="3">
        <v>24233437.5</v>
      </c>
      <c r="E153" s="3">
        <v>12721483.0265771</v>
      </c>
      <c r="F153" s="3">
        <v>1114698.14531564</v>
      </c>
      <c r="G153" s="3">
        <v>11606784.8812615</v>
      </c>
      <c r="H153" s="3">
        <v>11605744.6050234</v>
      </c>
      <c r="I153" s="3">
        <v>11606588.807569</v>
      </c>
      <c r="L153" s="5" t="s">
        <v>151</v>
      </c>
      <c r="M153" s="88">
        <f>+(M152-M151)/M152*100</f>
        <v>2.6893119424848105E-05</v>
      </c>
      <c r="N153" s="88">
        <f>+(N152-N151)/N152*100</f>
        <v>0.4080354428980429</v>
      </c>
    </row>
    <row r="154" spans="1:9" ht="12.75">
      <c r="A154">
        <v>8</v>
      </c>
      <c r="B154" t="s">
        <v>122</v>
      </c>
      <c r="C154" s="3">
        <v>5537922.07569708</v>
      </c>
      <c r="D154" s="3">
        <v>3007187.5</v>
      </c>
      <c r="E154" s="3">
        <v>5748633.56349429</v>
      </c>
      <c r="F154" s="3">
        <v>211194.807111963</v>
      </c>
      <c r="G154" s="3">
        <v>5537438.75638232</v>
      </c>
      <c r="H154" s="3">
        <v>5538041.09851097</v>
      </c>
      <c r="I154" s="3">
        <v>5538286.37219795</v>
      </c>
    </row>
    <row r="155" spans="1:9" ht="12.75">
      <c r="A155">
        <v>9</v>
      </c>
      <c r="B155" t="s">
        <v>123</v>
      </c>
      <c r="C155" s="3">
        <v>42076101.0915125</v>
      </c>
      <c r="D155" s="3">
        <v>9531562.5</v>
      </c>
      <c r="E155" s="3">
        <v>42092787.7781846</v>
      </c>
      <c r="F155" s="3">
        <v>17168.2170932149</v>
      </c>
      <c r="G155" s="3">
        <v>42075619.5610917</v>
      </c>
      <c r="H155" s="3">
        <v>42082552.5526107</v>
      </c>
      <c r="I155" s="3">
        <v>42070131.160835</v>
      </c>
    </row>
    <row r="156" spans="1:9" ht="12.75">
      <c r="A156">
        <v>10</v>
      </c>
      <c r="B156" t="s">
        <v>124</v>
      </c>
      <c r="C156" s="3">
        <v>3003257.13958739</v>
      </c>
      <c r="D156" s="3">
        <v>2354062.5</v>
      </c>
      <c r="E156" s="3">
        <v>3013338.28380586</v>
      </c>
      <c r="F156" s="3">
        <v>9859.80462352812</v>
      </c>
      <c r="G156" s="3">
        <v>3003478.47918233</v>
      </c>
      <c r="H156" s="3">
        <v>3002162.15928717</v>
      </c>
      <c r="I156" s="3">
        <v>3004130.78029267</v>
      </c>
    </row>
    <row r="157" spans="1:9" ht="12.75">
      <c r="A157">
        <v>11</v>
      </c>
      <c r="B157" t="s">
        <v>136</v>
      </c>
      <c r="C157" s="3">
        <v>-36575743.6671386</v>
      </c>
      <c r="D157" s="3">
        <v>72538125.0000001</v>
      </c>
      <c r="E157" s="3">
        <v>727567.742395411</v>
      </c>
      <c r="F157" s="3">
        <v>37302707.5103187</v>
      </c>
      <c r="G157" s="3">
        <v>-36575139.7679238</v>
      </c>
      <c r="H157" s="3">
        <v>-36582387.1684153</v>
      </c>
      <c r="I157" s="3">
        <v>-36569704.0650766</v>
      </c>
    </row>
    <row r="158" spans="1:9" ht="12.75">
      <c r="A158">
        <v>12</v>
      </c>
      <c r="B158" t="s">
        <v>127</v>
      </c>
      <c r="C158" s="3">
        <v>8857008.53518901</v>
      </c>
      <c r="D158" s="3">
        <v>10435937.5</v>
      </c>
      <c r="E158" s="3">
        <v>11666458.3099469</v>
      </c>
      <c r="F158" s="3">
        <v>2808044.35494455</v>
      </c>
      <c r="G158" s="3">
        <v>8858413.9550024</v>
      </c>
      <c r="H158" s="3">
        <v>8863215.6178178</v>
      </c>
      <c r="I158" s="3">
        <v>8849396.03274683</v>
      </c>
    </row>
    <row r="159" spans="1:9" ht="12.75">
      <c r="A159">
        <v>13</v>
      </c>
      <c r="B159" t="s">
        <v>126</v>
      </c>
      <c r="C159" s="3">
        <v>12871378.5416534</v>
      </c>
      <c r="D159" s="3">
        <v>9967500</v>
      </c>
      <c r="E159" s="3">
        <v>14269226.8648121</v>
      </c>
      <c r="F159" s="3">
        <v>1401800.10526726</v>
      </c>
      <c r="G159" s="3">
        <v>12867426.7595448</v>
      </c>
      <c r="H159" s="3">
        <v>12891880.3393121</v>
      </c>
      <c r="I159" s="3">
        <v>12854828.5261033</v>
      </c>
    </row>
    <row r="160" spans="1:9" ht="12.75">
      <c r="A160">
        <v>14</v>
      </c>
      <c r="B160" t="s">
        <v>71</v>
      </c>
      <c r="C160" s="3">
        <v>12556711.3296663</v>
      </c>
      <c r="D160" s="3">
        <v>21537812.5</v>
      </c>
      <c r="E160" s="3">
        <v>13210622.9294914</v>
      </c>
      <c r="F160" s="3">
        <v>657149.366823876</v>
      </c>
      <c r="G160" s="3">
        <v>12553473.5626675</v>
      </c>
      <c r="H160" s="3">
        <v>12561756.8580483</v>
      </c>
      <c r="I160" s="3">
        <v>12554903.5682831</v>
      </c>
    </row>
    <row r="161" spans="1:9" ht="12.75">
      <c r="A161">
        <v>15</v>
      </c>
      <c r="B161" t="s">
        <v>72</v>
      </c>
      <c r="C161" s="3">
        <v>6500453.78993575</v>
      </c>
      <c r="D161" s="3">
        <v>15223750</v>
      </c>
      <c r="E161" s="3">
        <v>7011123.5925943</v>
      </c>
      <c r="F161" s="3">
        <v>511584.016590043</v>
      </c>
      <c r="G161" s="3">
        <v>6499539.57600422</v>
      </c>
      <c r="H161" s="3">
        <v>6509457.29994279</v>
      </c>
      <c r="I161" s="3">
        <v>6492364.49386026</v>
      </c>
    </row>
    <row r="162" spans="3:9" ht="12.75">
      <c r="C162" s="3"/>
      <c r="D162" s="3"/>
      <c r="E162" s="3"/>
      <c r="F162" s="3"/>
      <c r="G162" s="3"/>
      <c r="H162" s="3"/>
      <c r="I162" s="3"/>
    </row>
    <row r="163" spans="3:9" ht="12.75">
      <c r="C163" s="3"/>
      <c r="D163" s="3"/>
      <c r="E163" s="3"/>
      <c r="F163" s="3"/>
      <c r="G163" s="3"/>
      <c r="H163" s="3"/>
      <c r="I163" s="3"/>
    </row>
    <row r="164" spans="1:9" ht="12.75">
      <c r="A164" s="4" t="s">
        <v>174</v>
      </c>
      <c r="C164" t="s">
        <v>0</v>
      </c>
      <c r="D164" t="s">
        <v>1</v>
      </c>
      <c r="E164" t="s">
        <v>2</v>
      </c>
      <c r="F164" t="s">
        <v>3</v>
      </c>
      <c r="G164" t="s">
        <v>4</v>
      </c>
      <c r="H164" t="s">
        <v>5</v>
      </c>
      <c r="I164" t="s">
        <v>6</v>
      </c>
    </row>
    <row r="165" spans="1:9" ht="12.75">
      <c r="A165">
        <v>1</v>
      </c>
      <c r="B165" t="s">
        <v>129</v>
      </c>
      <c r="C165" s="3">
        <v>-50320837.186211</v>
      </c>
      <c r="D165" s="3">
        <v>41350000</v>
      </c>
      <c r="E165" s="3">
        <v>1348683.62603392</v>
      </c>
      <c r="F165" s="3">
        <v>51665494.8811622</v>
      </c>
      <c r="G165" s="3">
        <v>-50316811.2551272</v>
      </c>
      <c r="H165" s="3">
        <v>-50326797.0113906</v>
      </c>
      <c r="I165" s="3">
        <v>-50318903.2921154</v>
      </c>
    </row>
    <row r="166" spans="1:9" ht="12.75">
      <c r="A166">
        <v>2</v>
      </c>
      <c r="B166" t="s">
        <v>130</v>
      </c>
      <c r="C166" s="3">
        <v>-18809938.1504948</v>
      </c>
      <c r="D166" s="3">
        <v>33927812.4999999</v>
      </c>
      <c r="E166" s="3">
        <v>3994641.61502186</v>
      </c>
      <c r="F166" s="3">
        <v>22799030.5857182</v>
      </c>
      <c r="G166" s="3">
        <v>-18804388.9706963</v>
      </c>
      <c r="H166" s="3">
        <v>-18815538.0990522</v>
      </c>
      <c r="I166" s="3">
        <v>-18809887.3817359</v>
      </c>
    </row>
    <row r="167" spans="1:9" ht="12.75">
      <c r="A167">
        <v>3</v>
      </c>
      <c r="B167" t="s">
        <v>131</v>
      </c>
      <c r="C167" s="3">
        <v>8667359.10321459</v>
      </c>
      <c r="D167" s="3">
        <v>13313125</v>
      </c>
      <c r="E167" s="3">
        <v>9252909.64220591</v>
      </c>
      <c r="F167" s="3">
        <v>588462.009772437</v>
      </c>
      <c r="G167" s="3">
        <v>8664447.63243348</v>
      </c>
      <c r="H167" s="3">
        <v>8669969.13605395</v>
      </c>
      <c r="I167" s="3">
        <v>8667660.54115634</v>
      </c>
    </row>
    <row r="168" spans="1:9" ht="12.75">
      <c r="A168">
        <v>4</v>
      </c>
      <c r="B168" t="s">
        <v>74</v>
      </c>
      <c r="C168" s="3">
        <v>-86853216.9090478</v>
      </c>
      <c r="D168" s="3">
        <v>130432187.5</v>
      </c>
      <c r="E168" s="3">
        <v>1397071.01927458</v>
      </c>
      <c r="F168" s="3">
        <v>88251035.949542</v>
      </c>
      <c r="G168" s="3">
        <v>-86853964.9302688</v>
      </c>
      <c r="H168" s="3">
        <v>-86846617.6810919</v>
      </c>
      <c r="I168" s="3">
        <v>-86859068.1157828</v>
      </c>
    </row>
    <row r="169" spans="1:9" ht="12.75">
      <c r="A169">
        <v>5</v>
      </c>
      <c r="B169" t="s">
        <v>76</v>
      </c>
      <c r="C169" s="3">
        <v>-64573695.181939</v>
      </c>
      <c r="D169" s="3">
        <v>43465937.5</v>
      </c>
      <c r="E169" s="3">
        <v>2586790.29677865</v>
      </c>
      <c r="F169" s="3">
        <v>67157656.7057519</v>
      </c>
      <c r="G169" s="3">
        <v>-64570866.408973</v>
      </c>
      <c r="H169" s="3">
        <v>-64577315.4004081</v>
      </c>
      <c r="I169" s="3">
        <v>-64572903.7364357</v>
      </c>
    </row>
    <row r="170" spans="1:9" ht="12.75">
      <c r="A170">
        <v>6</v>
      </c>
      <c r="B170" t="s">
        <v>77</v>
      </c>
      <c r="C170" s="3">
        <v>36724514.1293462</v>
      </c>
      <c r="D170" s="3">
        <v>18410312.5</v>
      </c>
      <c r="E170" s="3">
        <v>36727701.0080695</v>
      </c>
      <c r="F170" s="3">
        <v>2521.79048919473</v>
      </c>
      <c r="G170" s="3">
        <v>36725179.2175804</v>
      </c>
      <c r="H170" s="3">
        <v>36716623.4370822</v>
      </c>
      <c r="I170" s="3">
        <v>36731739.733376</v>
      </c>
    </row>
    <row r="171" spans="1:9" ht="12.75">
      <c r="A171">
        <v>7</v>
      </c>
      <c r="B171" t="s">
        <v>132</v>
      </c>
      <c r="C171" s="3">
        <v>10530554.8084353</v>
      </c>
      <c r="D171" s="3">
        <v>24233437.5</v>
      </c>
      <c r="E171" s="3">
        <v>11872808.0819761</v>
      </c>
      <c r="F171" s="3">
        <v>1342086.60016623</v>
      </c>
      <c r="G171" s="3">
        <v>10530721.4818099</v>
      </c>
      <c r="H171" s="3">
        <v>10530355.4062441</v>
      </c>
      <c r="I171" s="3">
        <v>10530587.537252</v>
      </c>
    </row>
    <row r="172" spans="1:9" ht="12.75">
      <c r="A172">
        <v>8</v>
      </c>
      <c r="B172" t="s">
        <v>122</v>
      </c>
      <c r="C172" s="3">
        <v>5413983.85548622</v>
      </c>
      <c r="D172" s="3">
        <v>3007187.5</v>
      </c>
      <c r="E172" s="3">
        <v>5636160.65269627</v>
      </c>
      <c r="F172" s="3">
        <v>222746.181175561</v>
      </c>
      <c r="G172" s="3">
        <v>5413414.47152071</v>
      </c>
      <c r="H172" s="3">
        <v>5414293.61859933</v>
      </c>
      <c r="I172" s="3">
        <v>5414243.47633862</v>
      </c>
    </row>
    <row r="173" spans="1:9" ht="12.75">
      <c r="A173">
        <v>9</v>
      </c>
      <c r="B173" t="s">
        <v>123</v>
      </c>
      <c r="C173" s="3">
        <v>41997736.4046371</v>
      </c>
      <c r="D173" s="3">
        <v>9531562.5</v>
      </c>
      <c r="E173" s="3">
        <v>42011770.7349194</v>
      </c>
      <c r="F173" s="3">
        <v>14637.4142402081</v>
      </c>
      <c r="G173" s="3">
        <v>41997133.3206791</v>
      </c>
      <c r="H173" s="3">
        <v>42005400.7080049</v>
      </c>
      <c r="I173" s="3">
        <v>41990675.1852273</v>
      </c>
    </row>
    <row r="174" spans="1:9" ht="12.75">
      <c r="A174">
        <v>10</v>
      </c>
      <c r="B174" t="s">
        <v>124</v>
      </c>
      <c r="C174" s="3">
        <v>2921043.8089755</v>
      </c>
      <c r="D174" s="3">
        <v>2354062.5</v>
      </c>
      <c r="E174" s="3">
        <v>2929725.23178767</v>
      </c>
      <c r="F174" s="3">
        <v>8425.96200382369</v>
      </c>
      <c r="G174" s="3">
        <v>2921299.26978385</v>
      </c>
      <c r="H174" s="3">
        <v>2919950.84158443</v>
      </c>
      <c r="I174" s="3">
        <v>2921881.31555822</v>
      </c>
    </row>
    <row r="175" spans="1:9" ht="12.75">
      <c r="A175">
        <v>11</v>
      </c>
      <c r="B175" t="s">
        <v>136</v>
      </c>
      <c r="C175" s="3">
        <v>-39332519.7925023</v>
      </c>
      <c r="D175" s="3">
        <v>72538124.9999999</v>
      </c>
      <c r="E175" s="3">
        <v>559465.326093563</v>
      </c>
      <c r="F175" s="3">
        <v>39890938.3786963</v>
      </c>
      <c r="G175" s="3">
        <v>-39331473.0526031</v>
      </c>
      <c r="H175" s="3">
        <v>-39340816.948503</v>
      </c>
      <c r="I175" s="3">
        <v>-39325269.3764007</v>
      </c>
    </row>
    <row r="176" spans="1:9" ht="12.75">
      <c r="A176">
        <v>12</v>
      </c>
      <c r="B176" t="s">
        <v>127</v>
      </c>
      <c r="C176" s="3">
        <v>8439704.64775504</v>
      </c>
      <c r="D176" s="3">
        <v>10435937.5</v>
      </c>
      <c r="E176" s="3">
        <v>11400646.7513738</v>
      </c>
      <c r="F176" s="3">
        <v>2960626.39036151</v>
      </c>
      <c r="G176" s="3">
        <v>8440020.36101231</v>
      </c>
      <c r="H176" s="3">
        <v>8445049.71701884</v>
      </c>
      <c r="I176" s="3">
        <v>8434043.86523396</v>
      </c>
    </row>
    <row r="177" spans="1:9" ht="12.75">
      <c r="A177">
        <v>13</v>
      </c>
      <c r="B177" t="s">
        <v>126</v>
      </c>
      <c r="C177" s="3">
        <v>12686919.930057</v>
      </c>
      <c r="D177" s="3">
        <v>9967500</v>
      </c>
      <c r="E177" s="3">
        <v>14169937.7751527</v>
      </c>
      <c r="F177" s="3">
        <v>1485620.39630583</v>
      </c>
      <c r="G177" s="3">
        <v>12684317.3788469</v>
      </c>
      <c r="H177" s="3">
        <v>12706295.6121816</v>
      </c>
      <c r="I177" s="3">
        <v>12670146.7991425</v>
      </c>
    </row>
    <row r="178" spans="1:9" ht="12.75">
      <c r="A178">
        <v>14</v>
      </c>
      <c r="B178" t="s">
        <v>71</v>
      </c>
      <c r="C178" s="3">
        <v>11906548.1960426</v>
      </c>
      <c r="D178" s="3">
        <v>21537812.5</v>
      </c>
      <c r="E178" s="3">
        <v>12655869.9382549</v>
      </c>
      <c r="F178" s="3">
        <v>752041.308493631</v>
      </c>
      <c r="G178" s="3">
        <v>11903828.6297614</v>
      </c>
      <c r="H178" s="3">
        <v>11911304.9578687</v>
      </c>
      <c r="I178" s="3">
        <v>11904511.0004977</v>
      </c>
    </row>
    <row r="179" spans="1:9" ht="12.75">
      <c r="A179">
        <v>15</v>
      </c>
      <c r="B179" t="s">
        <v>72</v>
      </c>
      <c r="C179" s="3">
        <v>6113981.94565961</v>
      </c>
      <c r="D179" s="3">
        <v>15223750</v>
      </c>
      <c r="E179" s="3">
        <v>6686708.18551655</v>
      </c>
      <c r="F179" s="3">
        <v>573401.732480585</v>
      </c>
      <c r="G179" s="3">
        <v>6113306.45303594</v>
      </c>
      <c r="H179" s="3">
        <v>6122323.31159025</v>
      </c>
      <c r="I179" s="3">
        <v>6106316.07235262</v>
      </c>
    </row>
    <row r="181" spans="1:9" ht="12.75">
      <c r="A181" s="6" t="s">
        <v>178</v>
      </c>
      <c r="C181" t="s">
        <v>0</v>
      </c>
      <c r="D181" t="s">
        <v>1</v>
      </c>
      <c r="E181" t="s">
        <v>2</v>
      </c>
      <c r="F181" t="s">
        <v>3</v>
      </c>
      <c r="G181" t="s">
        <v>4</v>
      </c>
      <c r="H181" t="s">
        <v>5</v>
      </c>
      <c r="I181" t="s">
        <v>6</v>
      </c>
    </row>
    <row r="182" spans="1:9" ht="12.75">
      <c r="A182">
        <v>1</v>
      </c>
      <c r="B182" t="s">
        <v>129</v>
      </c>
      <c r="C182" s="3">
        <v>-48236975.001001</v>
      </c>
      <c r="D182" s="3">
        <v>41350000</v>
      </c>
      <c r="E182" s="3">
        <v>1363847.12084967</v>
      </c>
      <c r="F182" s="3">
        <v>49596909.4372232</v>
      </c>
      <c r="G182" s="3">
        <v>-48233062.3163737</v>
      </c>
      <c r="H182" s="3">
        <v>-48242586.25955</v>
      </c>
      <c r="I182" s="3">
        <v>-48235276.4270794</v>
      </c>
    </row>
    <row r="183" spans="1:9" ht="12.75">
      <c r="A183">
        <v>2</v>
      </c>
      <c r="B183" t="s">
        <v>130</v>
      </c>
      <c r="C183" s="3">
        <v>-17093723.341432</v>
      </c>
      <c r="D183" s="3">
        <v>33927812.4999999</v>
      </c>
      <c r="E183" s="3">
        <v>4342421.59270355</v>
      </c>
      <c r="F183" s="3">
        <v>21430434.0993165</v>
      </c>
      <c r="G183" s="3">
        <v>-17088012.5066131</v>
      </c>
      <c r="H183" s="3">
        <v>-17099481.0749838</v>
      </c>
      <c r="I183" s="3">
        <v>-17093676.442699</v>
      </c>
    </row>
    <row r="184" spans="1:9" ht="12.75">
      <c r="A184">
        <v>3</v>
      </c>
      <c r="B184" t="s">
        <v>131</v>
      </c>
      <c r="C184" s="3">
        <v>9342757.0012577</v>
      </c>
      <c r="D184" s="3">
        <v>13313125</v>
      </c>
      <c r="E184" s="3">
        <v>9833162.46263066</v>
      </c>
      <c r="F184" s="3">
        <v>493557.329232197</v>
      </c>
      <c r="G184" s="3">
        <v>9339605.13339844</v>
      </c>
      <c r="H184" s="3">
        <v>9345595.38444056</v>
      </c>
      <c r="I184" s="3">
        <v>9343070.48593412</v>
      </c>
    </row>
    <row r="185" spans="1:9" ht="12.75">
      <c r="A185">
        <v>4</v>
      </c>
      <c r="B185" t="s">
        <v>74</v>
      </c>
      <c r="C185" s="3">
        <v>-80296999.4515745</v>
      </c>
      <c r="D185" s="3">
        <v>130432187.5</v>
      </c>
      <c r="E185" s="3">
        <v>1757380.43655593</v>
      </c>
      <c r="F185" s="3">
        <v>82055060.904808</v>
      </c>
      <c r="G185" s="3">
        <v>-80297680.4682512</v>
      </c>
      <c r="H185" s="3">
        <v>-80290572.8011594</v>
      </c>
      <c r="I185" s="3">
        <v>-80302745.0853129</v>
      </c>
    </row>
    <row r="186" spans="1:9" ht="12.75">
      <c r="A186">
        <v>5</v>
      </c>
      <c r="B186" t="s">
        <v>76</v>
      </c>
      <c r="C186" s="3">
        <v>-62379311.5107933</v>
      </c>
      <c r="D186" s="3">
        <v>43465937.5000001</v>
      </c>
      <c r="E186" s="3">
        <v>2806733.91261374</v>
      </c>
      <c r="F186" s="3">
        <v>65183397.8764673</v>
      </c>
      <c r="G186" s="3">
        <v>-62376663.9638532</v>
      </c>
      <c r="H186" s="3">
        <v>-62382786.5605148</v>
      </c>
      <c r="I186" s="3">
        <v>-62378484.0080117</v>
      </c>
    </row>
    <row r="187" spans="1:9" ht="12.75">
      <c r="A187">
        <v>6</v>
      </c>
      <c r="B187" t="s">
        <v>77</v>
      </c>
      <c r="C187" s="3">
        <v>37659452.3858093</v>
      </c>
      <c r="D187" s="3">
        <v>18410312.5</v>
      </c>
      <c r="E187" s="3">
        <v>37661008.8851248</v>
      </c>
      <c r="F187" s="3">
        <v>847.588310691437</v>
      </c>
      <c r="G187" s="3">
        <v>37660161.2968144</v>
      </c>
      <c r="H187" s="3">
        <v>37651317.3096244</v>
      </c>
      <c r="I187" s="3">
        <v>37666878.5509892</v>
      </c>
    </row>
    <row r="188" spans="1:9" ht="12.75">
      <c r="A188">
        <v>7</v>
      </c>
      <c r="B188" t="s">
        <v>132</v>
      </c>
      <c r="C188" s="3">
        <v>11760793.2503301</v>
      </c>
      <c r="D188" s="3">
        <v>24233437.5</v>
      </c>
      <c r="E188" s="3">
        <v>12908096.3594022</v>
      </c>
      <c r="F188" s="3">
        <v>1147129.02260618</v>
      </c>
      <c r="G188" s="3">
        <v>11760967.3367959</v>
      </c>
      <c r="H188" s="3">
        <v>11760615.1515929</v>
      </c>
      <c r="I188" s="3">
        <v>11760797.2626013</v>
      </c>
    </row>
    <row r="189" spans="1:9" ht="12.75">
      <c r="A189">
        <v>8</v>
      </c>
      <c r="B189" t="s">
        <v>122</v>
      </c>
      <c r="C189" s="3">
        <v>5569012.55633663</v>
      </c>
      <c r="D189" s="3">
        <v>3007187.5</v>
      </c>
      <c r="E189" s="3">
        <v>5769798.04456919</v>
      </c>
      <c r="F189" s="3">
        <v>201380.317334826</v>
      </c>
      <c r="G189" s="3">
        <v>5568417.72723436</v>
      </c>
      <c r="H189" s="3">
        <v>5569338.54174375</v>
      </c>
      <c r="I189" s="3">
        <v>5569281.40003178</v>
      </c>
    </row>
    <row r="190" spans="1:9" ht="12.75">
      <c r="A190">
        <v>9</v>
      </c>
      <c r="B190" t="s">
        <v>123</v>
      </c>
      <c r="C190" s="3">
        <v>42482513.7210793</v>
      </c>
      <c r="D190" s="3">
        <v>9531562.5</v>
      </c>
      <c r="E190" s="3">
        <v>42494029.3442249</v>
      </c>
      <c r="F190" s="3">
        <v>12117.2783284018</v>
      </c>
      <c r="G190" s="3">
        <v>42481912.0658963</v>
      </c>
      <c r="H190" s="3">
        <v>42490217.6443952</v>
      </c>
      <c r="I190" s="3">
        <v>42475411.4529462</v>
      </c>
    </row>
    <row r="191" spans="1:9" ht="12.75">
      <c r="A191">
        <v>10</v>
      </c>
      <c r="B191" t="s">
        <v>124</v>
      </c>
      <c r="C191" s="3">
        <v>3043413.12691489</v>
      </c>
      <c r="D191" s="3">
        <v>2354062.5</v>
      </c>
      <c r="E191" s="3">
        <v>3049234.47024058</v>
      </c>
      <c r="F191" s="3">
        <v>5530.81761385823</v>
      </c>
      <c r="G191" s="3">
        <v>3043703.65262672</v>
      </c>
      <c r="H191" s="3">
        <v>3042185.08935637</v>
      </c>
      <c r="I191" s="3">
        <v>3044350.63876159</v>
      </c>
    </row>
    <row r="192" spans="1:9" ht="12.75">
      <c r="A192">
        <v>11</v>
      </c>
      <c r="B192" t="s">
        <v>136</v>
      </c>
      <c r="C192" s="3">
        <v>-35682217.1529256</v>
      </c>
      <c r="D192" s="3">
        <v>72538124.9999999</v>
      </c>
      <c r="E192" s="3">
        <v>755199.105668491</v>
      </c>
      <c r="F192" s="3">
        <v>36436414.6405934</v>
      </c>
      <c r="G192" s="3">
        <v>-35681215.5349249</v>
      </c>
      <c r="H192" s="3">
        <v>-35689739.9643737</v>
      </c>
      <c r="I192" s="3">
        <v>-35675695.9594782</v>
      </c>
    </row>
    <row r="193" spans="1:9" ht="12.75">
      <c r="A193">
        <v>12</v>
      </c>
      <c r="B193" t="s">
        <v>127</v>
      </c>
      <c r="C193" s="3">
        <v>8971965.75273094</v>
      </c>
      <c r="D193" s="3">
        <v>10435937.5</v>
      </c>
      <c r="E193" s="3">
        <v>11839886.0556203</v>
      </c>
      <c r="F193" s="3">
        <v>2867584.46117456</v>
      </c>
      <c r="G193" s="3">
        <v>8972301.59444574</v>
      </c>
      <c r="H193" s="3">
        <v>8977466.36569452</v>
      </c>
      <c r="I193" s="3">
        <v>8966129.29805257</v>
      </c>
    </row>
    <row r="194" spans="1:9" ht="12.75">
      <c r="A194">
        <v>13</v>
      </c>
      <c r="B194" t="s">
        <v>126</v>
      </c>
      <c r="C194" s="3">
        <v>13194803.4862366</v>
      </c>
      <c r="D194" s="3">
        <v>9967500</v>
      </c>
      <c r="E194" s="3">
        <v>14627239.2093188</v>
      </c>
      <c r="F194" s="3">
        <v>1435140.63204601</v>
      </c>
      <c r="G194" s="3">
        <v>13192098.5772728</v>
      </c>
      <c r="H194" s="3">
        <v>13214948.3348603</v>
      </c>
      <c r="I194" s="3">
        <v>13177363.5465767</v>
      </c>
    </row>
    <row r="195" spans="1:9" ht="12.75">
      <c r="A195">
        <v>14</v>
      </c>
      <c r="B195" t="s">
        <v>71</v>
      </c>
      <c r="C195" s="3">
        <v>12997185.8619815</v>
      </c>
      <c r="D195" s="3">
        <v>21537812.5</v>
      </c>
      <c r="E195" s="3">
        <v>13575540.8188588</v>
      </c>
      <c r="F195" s="3">
        <v>581381.658330501</v>
      </c>
      <c r="G195" s="3">
        <v>12994159.1605283</v>
      </c>
      <c r="H195" s="3">
        <v>13002573.0031228</v>
      </c>
      <c r="I195" s="3">
        <v>12994825.4222934</v>
      </c>
    </row>
    <row r="196" spans="1:9" ht="12.75">
      <c r="A196">
        <v>15</v>
      </c>
      <c r="B196" t="s">
        <v>72</v>
      </c>
      <c r="C196" s="3">
        <v>6885988.96013854</v>
      </c>
      <c r="D196" s="3">
        <v>15223750</v>
      </c>
      <c r="E196" s="3">
        <v>7321385.74279543</v>
      </c>
      <c r="F196" s="3">
        <v>436160.547339555</v>
      </c>
      <c r="G196" s="3">
        <v>6885225.19545582</v>
      </c>
      <c r="H196" s="3">
        <v>6895502.4923095</v>
      </c>
      <c r="I196" s="3">
        <v>6877239.19265031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70"/>
  <sheetViews>
    <sheetView zoomScale="75" zoomScaleNormal="75" workbookViewId="0" topLeftCell="V1">
      <selection activeCell="Z3" sqref="Z3"/>
    </sheetView>
  </sheetViews>
  <sheetFormatPr defaultColWidth="9.140625" defaultRowHeight="12.75"/>
  <cols>
    <col min="4" max="4" width="9.7109375" style="0" customWidth="1"/>
    <col min="5" max="5" width="10.140625" style="0" customWidth="1"/>
    <col min="6" max="6" width="10.7109375" style="0" customWidth="1"/>
    <col min="7" max="7" width="12.57421875" style="0" customWidth="1"/>
    <col min="8" max="8" width="12.00390625" style="0" customWidth="1"/>
    <col min="9" max="9" width="14.8515625" style="0" customWidth="1"/>
    <col min="10" max="12" width="10.140625" style="0" customWidth="1"/>
    <col min="15" max="15" width="10.7109375" style="0" customWidth="1"/>
    <col min="16" max="16" width="10.140625" style="0" bestFit="1" customWidth="1"/>
    <col min="18" max="18" width="14.140625" style="0" customWidth="1"/>
    <col min="19" max="19" width="11.00390625" style="0" customWidth="1"/>
    <col min="20" max="20" width="10.140625" style="0" customWidth="1"/>
    <col min="21" max="21" width="11.421875" style="0" customWidth="1"/>
    <col min="22" max="22" width="11.28125" style="0" customWidth="1"/>
    <col min="23" max="24" width="12.28125" style="0" customWidth="1"/>
    <col min="25" max="25" width="12.421875" style="0" customWidth="1"/>
    <col min="26" max="26" width="13.8515625" style="0" customWidth="1"/>
    <col min="27" max="27" width="13.57421875" style="0" customWidth="1"/>
    <col min="28" max="28" width="17.140625" style="0" customWidth="1"/>
    <col min="29" max="29" width="12.8515625" style="0" customWidth="1"/>
    <col min="30" max="30" width="10.140625" style="0" customWidth="1"/>
    <col min="31" max="31" width="10.7109375" style="0" customWidth="1"/>
    <col min="32" max="32" width="10.57421875" style="0" customWidth="1"/>
    <col min="33" max="33" width="11.8515625" style="0" customWidth="1"/>
    <col min="34" max="35" width="17.7109375" style="0" customWidth="1"/>
    <col min="36" max="36" width="12.28125" style="0" customWidth="1"/>
    <col min="37" max="37" width="18.421875" style="0" customWidth="1"/>
    <col min="41" max="41" width="11.28125" style="0" customWidth="1"/>
    <col min="42" max="42" width="19.140625" style="0" customWidth="1"/>
  </cols>
  <sheetData>
    <row r="1" spans="7:40" ht="12.75">
      <c r="G1" t="s">
        <v>89</v>
      </c>
      <c r="H1" t="s">
        <v>90</v>
      </c>
      <c r="I1" t="s">
        <v>90</v>
      </c>
      <c r="J1" t="s">
        <v>91</v>
      </c>
      <c r="K1" t="s">
        <v>161</v>
      </c>
      <c r="T1" t="s">
        <v>89</v>
      </c>
      <c r="U1" t="s">
        <v>90</v>
      </c>
      <c r="V1" t="s">
        <v>90</v>
      </c>
      <c r="W1" t="s">
        <v>91</v>
      </c>
      <c r="X1" t="s">
        <v>153</v>
      </c>
      <c r="AB1" t="s">
        <v>0</v>
      </c>
      <c r="AC1" t="s">
        <v>35</v>
      </c>
      <c r="AD1" t="s">
        <v>67</v>
      </c>
      <c r="AE1" t="s">
        <v>68</v>
      </c>
      <c r="AG1" t="s">
        <v>68</v>
      </c>
      <c r="AM1" s="57"/>
      <c r="AN1" s="57"/>
    </row>
    <row r="2" spans="1:40" ht="12.75">
      <c r="A2" s="11" t="s">
        <v>40</v>
      </c>
      <c r="B2" s="41" t="s">
        <v>107</v>
      </c>
      <c r="C2" s="42" t="s">
        <v>35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92</v>
      </c>
      <c r="N2" s="11" t="s">
        <v>53</v>
      </c>
      <c r="O2" s="41" t="s">
        <v>107</v>
      </c>
      <c r="P2" s="42" t="s">
        <v>35</v>
      </c>
      <c r="Q2" t="s">
        <v>54</v>
      </c>
      <c r="R2" t="s">
        <v>55</v>
      </c>
      <c r="S2" t="s">
        <v>52</v>
      </c>
      <c r="T2" t="s">
        <v>44</v>
      </c>
      <c r="U2" t="s">
        <v>45</v>
      </c>
      <c r="V2" t="s">
        <v>92</v>
      </c>
      <c r="Z2">
        <v>1</v>
      </c>
      <c r="AA2" s="6" t="str">
        <f>+'ocean volumes'!B26</f>
        <v>CPdn_off</v>
      </c>
      <c r="AB2" s="3">
        <f>'ocean volumes'!C147</f>
        <v>-49049861.1324511</v>
      </c>
      <c r="AC2" s="3">
        <f>'ocean volumes'!D147</f>
        <v>41350000</v>
      </c>
      <c r="AE2" s="7">
        <f>+AG2</f>
        <v>29238865.40206374</v>
      </c>
      <c r="AG2" s="3">
        <f>'ocean volumes'!S103</f>
        <v>29238865.40206374</v>
      </c>
      <c r="AH2" s="3" t="str">
        <f>'ocean volumes'!T26</f>
        <v>CPdn_off</v>
      </c>
      <c r="AI2" s="3"/>
      <c r="AJ2" s="3"/>
      <c r="AK2" s="3"/>
      <c r="AM2" s="58">
        <f>'ocean volumes'!S26</f>
        <v>29238865.40206374</v>
      </c>
      <c r="AN2" s="58" t="str">
        <f>'ocean volumes'!T26</f>
        <v>CPdn_off</v>
      </c>
    </row>
    <row r="3" spans="1:40" ht="12.75">
      <c r="A3" s="12" t="s">
        <v>46</v>
      </c>
      <c r="B3" s="19">
        <v>4329.3</v>
      </c>
      <c r="C3" s="42">
        <v>73056.24</v>
      </c>
      <c r="D3" s="7">
        <f>'[4]CP 1950 (+0.15)-1995'!T28</f>
        <v>378126.8670087881</v>
      </c>
      <c r="E3" s="7">
        <f>'[4]CP 1950 (+0.15)-1995'!U28</f>
        <v>2516646.54835955</v>
      </c>
      <c r="F3" s="7">
        <f>+D3+E3</f>
        <v>2894773.415368338</v>
      </c>
      <c r="G3" s="7">
        <f>'[4]CP 1950 (+0.15)-1995'!BG28</f>
        <v>518148.3785583339</v>
      </c>
      <c r="H3" s="3"/>
      <c r="I3" s="3">
        <f>AE20</f>
        <v>8902146.531554623</v>
      </c>
      <c r="J3" s="3">
        <f>+(G3^2+H3^2+I3^2)</f>
        <v>79516690611472.62</v>
      </c>
      <c r="K3" s="3">
        <f>SUM(G3:I3)</f>
        <v>9420294.910112957</v>
      </c>
      <c r="L3" s="3"/>
      <c r="N3" s="6" t="s">
        <v>26</v>
      </c>
      <c r="O3">
        <v>3104.73</v>
      </c>
      <c r="P3" s="43">
        <v>1918922</v>
      </c>
      <c r="Q3" s="7">
        <f>'[1]LB 1955(+0.15)-1995'!U30</f>
        <v>1488677.7161435233</v>
      </c>
      <c r="R3" s="7">
        <f>'[1]LB 1955(+0.15)-1995'!V30</f>
        <v>9844069.86</v>
      </c>
      <c r="S3" s="7">
        <f aca="true" t="shared" si="0" ref="S3:S10">+R3+Q3</f>
        <v>11332747.576143522</v>
      </c>
      <c r="T3" s="7">
        <f>'[1]LB 1955(+0.15)-1995'!BE30</f>
        <v>961077.0889644085</v>
      </c>
      <c r="U3" s="30">
        <v>1953965.0067320047</v>
      </c>
      <c r="W3" s="3">
        <f aca="true" t="shared" si="1" ref="W3:W10">+(T3^2+U3^2+V3^2)</f>
        <v>4741648418465.505</v>
      </c>
      <c r="X3" s="3">
        <f aca="true" t="shared" si="2" ref="X3:X10">SUM(T3:V3)</f>
        <v>2915042.095696413</v>
      </c>
      <c r="Z3">
        <v>2</v>
      </c>
      <c r="AA3" s="6" t="str">
        <f>+'ocean volumes'!B27</f>
        <v>CP_off</v>
      </c>
      <c r="AB3" s="3">
        <f>'ocean volumes'!C150</f>
        <v>-83114947.6742543</v>
      </c>
      <c r="AC3" s="3">
        <f>'ocean volumes'!D150</f>
        <v>130432187.5</v>
      </c>
      <c r="AE3" s="7">
        <f>+AG3</f>
        <v>92229484.26624525</v>
      </c>
      <c r="AG3" s="3">
        <f>'ocean volumes'!S104</f>
        <v>92229484.26624525</v>
      </c>
      <c r="AH3" s="3" t="str">
        <f>'ocean volumes'!T27</f>
        <v>CP_off</v>
      </c>
      <c r="AI3" s="3"/>
      <c r="AJ3" s="3"/>
      <c r="AK3" s="3"/>
      <c r="AM3" s="58">
        <f>'ocean volumes'!Q41</f>
        <v>2559.5271773980685</v>
      </c>
      <c r="AN3" s="58">
        <f>'ocean volumes'!R41</f>
        <v>23.130067012440755</v>
      </c>
    </row>
    <row r="4" spans="1:40" ht="12.75">
      <c r="A4" s="12" t="s">
        <v>47</v>
      </c>
      <c r="B4" s="19">
        <v>4410.2</v>
      </c>
      <c r="C4" s="42">
        <v>460693.312</v>
      </c>
      <c r="D4" s="7">
        <f>'[4]CP 1950 (+0.15)-1995'!T29</f>
        <v>2989938.9694249304</v>
      </c>
      <c r="E4" s="7">
        <f>'[4]CP 1950 (+0.15)-1995'!U29</f>
        <v>5183836.82397866</v>
      </c>
      <c r="F4" s="7">
        <f>+D4+E4</f>
        <v>8173775.79340359</v>
      </c>
      <c r="G4" s="7">
        <f>'[4]CP 1950 (+0.15)-1995'!BG29</f>
        <v>697732.7760470312</v>
      </c>
      <c r="H4" s="7">
        <f>+'land volumes'!Q35</f>
        <v>190622.68468657476</v>
      </c>
      <c r="I4" s="3">
        <f>AE21</f>
        <v>8436137.843510568</v>
      </c>
      <c r="J4" s="3">
        <f>+(G4^2+H4^2+I4^2)</f>
        <v>71691589749398.55</v>
      </c>
      <c r="K4" s="3">
        <f>SUM(G4:I4)</f>
        <v>9324493.304244174</v>
      </c>
      <c r="L4" s="3"/>
      <c r="N4" s="6" t="s">
        <v>27</v>
      </c>
      <c r="O4">
        <v>5587.808</v>
      </c>
      <c r="P4" s="43">
        <v>678031.375</v>
      </c>
      <c r="Q4" s="7">
        <f>'[1]LB 1955(+0.15)-1995'!U31</f>
        <v>1285459.4542934205</v>
      </c>
      <c r="R4" s="7">
        <f>'[1]LB 1955(+0.15)-1995'!V31</f>
        <v>10802001.549378784</v>
      </c>
      <c r="S4" s="7">
        <f t="shared" si="0"/>
        <v>12087461.003672205</v>
      </c>
      <c r="T4" s="7">
        <f>'[1]LB 1955(+0.15)-1995'!BE31</f>
        <v>418298.2976163923</v>
      </c>
      <c r="U4" s="30">
        <v>3865120.9160120576</v>
      </c>
      <c r="W4" s="3">
        <f t="shared" si="1"/>
        <v>15114133161182.658</v>
      </c>
      <c r="X4" s="3">
        <f t="shared" si="2"/>
        <v>4283419.2136284495</v>
      </c>
      <c r="AA4" s="6" t="str">
        <f>+'ocean volumes'!B41</f>
        <v>CP_near</v>
      </c>
      <c r="AB4" s="3">
        <f>'ocean volumes'!C148</f>
        <v>-17365343.2623072</v>
      </c>
      <c r="AC4" s="3">
        <f>'ocean volumes'!D148</f>
        <v>33927812.5</v>
      </c>
      <c r="AE4" s="29">
        <f>+AG15</f>
        <v>23991099.53552873</v>
      </c>
      <c r="AG4" s="3">
        <f>'ocean volumes'!S105</f>
        <v>30735059.15688051</v>
      </c>
      <c r="AH4" s="3" t="str">
        <f>'ocean volumes'!T28</f>
        <v>innerdelta</v>
      </c>
      <c r="AI4" s="3"/>
      <c r="AJ4" s="3"/>
      <c r="AK4" s="3"/>
      <c r="AM4" s="58">
        <f>'ocean volumes'!Q47</f>
        <v>2594.240812190654</v>
      </c>
      <c r="AN4" s="58">
        <f>'ocean volumes'!R47</f>
        <v>23.130067012440755</v>
      </c>
    </row>
    <row r="5" spans="1:40" ht="12.75">
      <c r="A5" s="12" t="s">
        <v>48</v>
      </c>
      <c r="B5" s="19">
        <v>5131.8</v>
      </c>
      <c r="C5" s="42">
        <v>576387.25</v>
      </c>
      <c r="D5" s="7">
        <f>'[4]CP 1950 (+0.15)-1995'!T30</f>
        <v>4276283.134316449</v>
      </c>
      <c r="E5" s="7">
        <f>'[4]CP 1950 (+0.15)-1995'!U30</f>
        <v>0</v>
      </c>
      <c r="F5" s="7">
        <f>+D5+E5</f>
        <v>4276283.134316449</v>
      </c>
      <c r="G5" s="7">
        <f>'[4]CP 1950 (+0.15)-1995'!BG30</f>
        <v>929560.2106202684</v>
      </c>
      <c r="H5" s="7">
        <f>+'land volumes'!Q36</f>
        <v>213551.37820919894</v>
      </c>
      <c r="I5" s="7">
        <f>+AE5</f>
        <v>9414152.228121197</v>
      </c>
      <c r="J5" s="3">
        <f>+(G5^2+I5^2+H5^2)</f>
        <v>89535948550542.73</v>
      </c>
      <c r="K5" s="3">
        <f>SUM(G5:I5)</f>
        <v>10557263.816950664</v>
      </c>
      <c r="L5" s="3"/>
      <c r="N5" s="6" t="s">
        <v>28</v>
      </c>
      <c r="O5">
        <v>4262.397</v>
      </c>
      <c r="P5" s="43">
        <v>538034.938</v>
      </c>
      <c r="Q5" s="7">
        <f>'[1]LB 1955(+0.15)-1995'!U32</f>
        <v>1507977.1743473816</v>
      </c>
      <c r="R5" s="7">
        <f>'[1]LB 1955(+0.15)-1995'!V32</f>
        <v>8571659.731669376</v>
      </c>
      <c r="S5" s="7">
        <f t="shared" si="0"/>
        <v>10079636.906016758</v>
      </c>
      <c r="T5" s="7">
        <f>'[1]LB 1955(+0.15)-1995'!BE32</f>
        <v>385647.6511173936</v>
      </c>
      <c r="U5" s="30">
        <v>3044721.542962504</v>
      </c>
      <c r="W5" s="3">
        <f t="shared" si="1"/>
        <v>9419053384992.334</v>
      </c>
      <c r="X5" s="3">
        <f t="shared" si="2"/>
        <v>3430369.194079898</v>
      </c>
      <c r="AA5" s="6" t="str">
        <f>+'ocean volumes'!B47</f>
        <v>CPc3_near</v>
      </c>
      <c r="AB5" s="3">
        <f>'ocean volumes'!C149</f>
        <v>9121167.59037838</v>
      </c>
      <c r="AC5" s="3">
        <f>'ocean volumes'!D149</f>
        <v>13313125</v>
      </c>
      <c r="AE5" s="29">
        <f>+AG16</f>
        <v>9414152.228121197</v>
      </c>
      <c r="AG5" s="3">
        <f>'ocean volumes'!S106</f>
        <v>13018056.812513461</v>
      </c>
      <c r="AH5" s="3" t="str">
        <f>'ocean volumes'!T29</f>
        <v>outerdelta</v>
      </c>
      <c r="AI5" s="3"/>
      <c r="AJ5" s="3"/>
      <c r="AK5" s="3"/>
      <c r="AM5" s="58">
        <f>'ocean volumes'!S27</f>
        <v>92229484.26624525</v>
      </c>
      <c r="AN5" s="58" t="str">
        <f>'ocean volumes'!T27</f>
        <v>CP_off</v>
      </c>
    </row>
    <row r="6" spans="1:40" ht="12.75">
      <c r="A6" s="12" t="s">
        <v>49</v>
      </c>
      <c r="B6" s="19">
        <v>4771</v>
      </c>
      <c r="C6" s="43"/>
      <c r="D6" s="13"/>
      <c r="E6" s="13"/>
      <c r="F6" s="7">
        <f>'[4]CP 1950 (+0.15)-1995'!V31</f>
        <v>3520161.939195007</v>
      </c>
      <c r="G6" s="7"/>
      <c r="I6" s="30"/>
      <c r="J6" s="3"/>
      <c r="K6" s="3"/>
      <c r="L6" s="3"/>
      <c r="N6" s="6" t="s">
        <v>29</v>
      </c>
      <c r="O6">
        <v>4990.792</v>
      </c>
      <c r="P6" s="43">
        <v>601317.812</v>
      </c>
      <c r="Q6" s="7">
        <f>'[1]LB 1955(+0.15)-1995'!U33</f>
        <v>2364967.6543446276</v>
      </c>
      <c r="R6" s="7">
        <f>'[1]LB 1955(+0.15)-1995'!V33</f>
        <v>9579845.677337661</v>
      </c>
      <c r="S6" s="7">
        <f t="shared" si="0"/>
        <v>11944813.331682289</v>
      </c>
      <c r="T6" s="7">
        <f>'[1]LB 1955(+0.15)-1995'!BE33</f>
        <v>544539.1001740886</v>
      </c>
      <c r="U6" s="30">
        <v>3432483.9514317354</v>
      </c>
      <c r="W6" s="3">
        <f t="shared" si="1"/>
        <v>12078468908454.826</v>
      </c>
      <c r="X6" s="3">
        <f t="shared" si="2"/>
        <v>3977023.051605824</v>
      </c>
      <c r="Z6">
        <v>3</v>
      </c>
      <c r="AA6" t="s">
        <v>7</v>
      </c>
      <c r="AB6" s="3">
        <f>+'ocean volumes'!C5</f>
        <v>-37083333.3333333</v>
      </c>
      <c r="AC6" s="3">
        <f>+'ocean volumes'!D5</f>
        <v>23218400</v>
      </c>
      <c r="AE6" s="3">
        <f>+'ocean volumes'!S5</f>
        <v>11609200</v>
      </c>
      <c r="AG6" s="3">
        <f>'ocean volumes'!S107</f>
        <v>17135627.987710375</v>
      </c>
      <c r="AH6" s="3" t="str">
        <f>'ocean volumes'!T30</f>
        <v>delta_north</v>
      </c>
      <c r="AI6" s="3"/>
      <c r="AJ6" s="3"/>
      <c r="AK6" s="3"/>
      <c r="AM6" s="58">
        <f>'ocean volumes'!S28</f>
        <v>30735059.15688072</v>
      </c>
      <c r="AN6" s="58" t="str">
        <f>'ocean volumes'!T28</f>
        <v>innerdelta</v>
      </c>
    </row>
    <row r="7" spans="1:40" ht="12.75">
      <c r="A7" s="12" t="s">
        <v>50</v>
      </c>
      <c r="B7" s="19">
        <v>4811</v>
      </c>
      <c r="C7" s="43"/>
      <c r="D7" s="13"/>
      <c r="E7" s="13"/>
      <c r="F7" s="7">
        <f>'[4]CP 1950 (+0.15)-1995'!V32</f>
        <v>1437540.7761184352</v>
      </c>
      <c r="G7" s="7"/>
      <c r="H7" s="30"/>
      <c r="I7" s="30"/>
      <c r="J7" s="3"/>
      <c r="K7" s="3"/>
      <c r="L7" s="3"/>
      <c r="N7" s="6" t="s">
        <v>30</v>
      </c>
      <c r="O7">
        <v>5003.084</v>
      </c>
      <c r="P7" s="43">
        <v>853907.125</v>
      </c>
      <c r="Q7" s="7">
        <f>'[1]LB 1955(+0.15)-1995'!U34</f>
        <v>3204165.8686751183</v>
      </c>
      <c r="R7" s="7">
        <f>'[1]LB 1955(+0.15)-1995'!V34</f>
        <v>13603951.715767702</v>
      </c>
      <c r="S7" s="7">
        <f t="shared" si="0"/>
        <v>16808117.58444282</v>
      </c>
      <c r="T7" s="7">
        <f>'[1]LB 1955(+0.15)-1995'!BE34</f>
        <v>608969.9127030583</v>
      </c>
      <c r="U7" s="30">
        <v>4631809.029600376</v>
      </c>
      <c r="W7" s="3">
        <f>+(T7^2+U7^2+V7^2)</f>
        <v>21824499241265.15</v>
      </c>
      <c r="X7" s="3">
        <f t="shared" si="2"/>
        <v>5240778.942303435</v>
      </c>
      <c r="Z7">
        <v>4</v>
      </c>
      <c r="AA7" s="6" t="str">
        <f>+'ocean volumes'!B28</f>
        <v>innerdelta</v>
      </c>
      <c r="AB7" s="3">
        <f>'ocean volumes'!C151</f>
        <v>-62879580.6220513</v>
      </c>
      <c r="AC7" s="3">
        <f>'ocean volumes'!D151</f>
        <v>43465937.4999998</v>
      </c>
      <c r="AE7" s="7">
        <f aca="true" t="shared" si="3" ref="AE7:AE13">+AG4</f>
        <v>30735059.15688051</v>
      </c>
      <c r="AG7" s="3">
        <f>'ocean volumes'!S108</f>
        <v>2126402.6735494207</v>
      </c>
      <c r="AH7" s="3" t="str">
        <f>'ocean volumes'!T31</f>
        <v>dispA</v>
      </c>
      <c r="AI7" s="3"/>
      <c r="AJ7" s="3"/>
      <c r="AK7" s="3"/>
      <c r="AM7" s="58">
        <f>'ocean volumes'!S29</f>
        <v>13018056.812513461</v>
      </c>
      <c r="AN7" s="58" t="str">
        <f>'ocean volumes'!T29</f>
        <v>outerdelta</v>
      </c>
    </row>
    <row r="8" spans="1:40" ht="12.75">
      <c r="A8" s="5" t="s">
        <v>51</v>
      </c>
      <c r="B8" s="14">
        <f>SUM(B3:B7)</f>
        <v>23453.3</v>
      </c>
      <c r="C8" s="14">
        <f>SUM(C3:C7)</f>
        <v>1110136.8020000001</v>
      </c>
      <c r="D8" s="13"/>
      <c r="E8" s="13"/>
      <c r="F8" s="14">
        <f>SUM(F3:F7)</f>
        <v>20302535.05840182</v>
      </c>
      <c r="G8" s="14"/>
      <c r="H8" s="14"/>
      <c r="I8" t="s">
        <v>101</v>
      </c>
      <c r="J8" s="25">
        <f>SQRT(SUM(J3:J7))</f>
        <v>15515934.677337809</v>
      </c>
      <c r="K8" s="25">
        <f>SUM(K3:K7)</f>
        <v>29302052.031307794</v>
      </c>
      <c r="L8" s="25"/>
      <c r="N8" s="6" t="s">
        <v>31</v>
      </c>
      <c r="O8">
        <v>5012.017</v>
      </c>
      <c r="P8" s="43">
        <v>1093324.375</v>
      </c>
      <c r="Q8" s="7">
        <f>'[1]LB 1955(+0.15)-1995'!U35</f>
        <v>4381114.529380767</v>
      </c>
      <c r="R8" s="7">
        <f>'[1]LB 1955(+0.15)-1995'!V35</f>
        <v>17418208.106849913</v>
      </c>
      <c r="S8" s="7">
        <f t="shared" si="0"/>
        <v>21799322.636230677</v>
      </c>
      <c r="T8" s="7">
        <f>'[1]LB 1955(+0.15)-1995'!BE35</f>
        <v>717383.324213384</v>
      </c>
      <c r="U8" s="30">
        <v>5806408.605881106</v>
      </c>
      <c r="W8" s="3">
        <f t="shared" si="1"/>
        <v>34229019732309.617</v>
      </c>
      <c r="X8" s="3">
        <f t="shared" si="2"/>
        <v>6523791.93009449</v>
      </c>
      <c r="Z8">
        <v>5</v>
      </c>
      <c r="AA8" s="6" t="str">
        <f>+'ocean volumes'!B29</f>
        <v>outerdelta</v>
      </c>
      <c r="AB8" s="3">
        <f>'ocean volumes'!C152</f>
        <v>37192746.0550078</v>
      </c>
      <c r="AC8" s="3">
        <f>'ocean volumes'!D152</f>
        <v>18410312.5</v>
      </c>
      <c r="AE8" s="7">
        <f t="shared" si="3"/>
        <v>13018056.812513461</v>
      </c>
      <c r="AG8" s="3">
        <f>'ocean volumes'!S109</f>
        <v>6739832.479053402</v>
      </c>
      <c r="AH8" s="3" t="str">
        <f>'ocean volumes'!T32</f>
        <v>dispB</v>
      </c>
      <c r="AI8" s="3"/>
      <c r="AJ8" s="3"/>
      <c r="AK8" s="3"/>
      <c r="AM8" s="58">
        <f>'ocean volumes'!S30</f>
        <v>17135627.987710375</v>
      </c>
      <c r="AN8" s="58" t="str">
        <f>'ocean volumes'!T30</f>
        <v>delta_north</v>
      </c>
    </row>
    <row r="9" spans="8:40" ht="12.75">
      <c r="H9" s="3"/>
      <c r="I9" s="13">
        <v>8175515.246209071</v>
      </c>
      <c r="K9" s="19">
        <f>+K8/F8*100</f>
        <v>144.32706037456978</v>
      </c>
      <c r="L9" s="19"/>
      <c r="N9" s="6" t="s">
        <v>32</v>
      </c>
      <c r="O9">
        <v>4999.452</v>
      </c>
      <c r="P9" s="43">
        <v>1104107.875</v>
      </c>
      <c r="Q9" s="7">
        <f>'[1]LB 1955(+0.15)-1995'!U36</f>
        <v>3693375.8438361646</v>
      </c>
      <c r="R9" s="7">
        <f>'[1]LB 1955(+0.15)-1995'!V36</f>
        <v>17712026.0301625</v>
      </c>
      <c r="S9" s="7">
        <f t="shared" si="0"/>
        <v>21405401.873998664</v>
      </c>
      <c r="T9" s="7">
        <f>'[1]LB 1955(+0.15)-1995'!BE36</f>
        <v>674088.1957764261</v>
      </c>
      <c r="U9" s="64">
        <f>+AE14</f>
        <v>7049668.549269969</v>
      </c>
      <c r="V9" s="64">
        <f>'land volumes'!Q51</f>
        <v>428736.5504427906</v>
      </c>
      <c r="W9" s="3">
        <f t="shared" si="1"/>
        <v>50336036579936.84</v>
      </c>
      <c r="X9" s="3">
        <f t="shared" si="2"/>
        <v>8152493.2954891855</v>
      </c>
      <c r="AA9" s="6" t="str">
        <f>+'ocean volumes'!B30</f>
        <v>delta_north</v>
      </c>
      <c r="AB9" s="3">
        <f>'ocean volumes'!C153</f>
        <v>11606372.764618</v>
      </c>
      <c r="AC9" s="3">
        <f>'ocean volumes'!D153</f>
        <v>24233437.5</v>
      </c>
      <c r="AE9" s="7">
        <f t="shared" si="3"/>
        <v>17135627.987710375</v>
      </c>
      <c r="AG9" s="3">
        <f>'ocean volumes'!S110</f>
        <v>1664573.557086957</v>
      </c>
      <c r="AH9" s="3" t="str">
        <f>'ocean volumes'!T33</f>
        <v>dispF</v>
      </c>
      <c r="AI9" s="3"/>
      <c r="AJ9" s="3"/>
      <c r="AK9" s="3"/>
      <c r="AM9" s="58">
        <f>'ocean volumes'!S31</f>
        <v>2126402.6735494207</v>
      </c>
      <c r="AN9" s="58" t="str">
        <f>'ocean volumes'!T31</f>
        <v>dispA</v>
      </c>
    </row>
    <row r="10" spans="9:40" ht="12.75">
      <c r="I10" s="13">
        <v>8244058.656363832</v>
      </c>
      <c r="K10" s="3"/>
      <c r="L10" s="3"/>
      <c r="N10" s="6" t="s">
        <v>33</v>
      </c>
      <c r="O10">
        <v>6302.447</v>
      </c>
      <c r="P10" s="43">
        <v>909163.562</v>
      </c>
      <c r="Q10" s="7">
        <f>'[1]LB 1955(+0.15)-1995'!U37</f>
        <v>2652163.050886147</v>
      </c>
      <c r="R10" s="7">
        <f>'[1]LB 1955(+0.15)-1995'!V37</f>
        <v>14383788.108122695</v>
      </c>
      <c r="S10" s="7">
        <f t="shared" si="0"/>
        <v>17035951.159008842</v>
      </c>
      <c r="T10" s="7">
        <f>'[1]LB 1955(+0.15)-1995'!BE37</f>
        <v>622480.6285467966</v>
      </c>
      <c r="U10" s="64">
        <f>+AE15</f>
        <v>7380359.240275099</v>
      </c>
      <c r="V10" s="64">
        <f>'land volumes'!Q52</f>
        <v>296006.1825708469</v>
      </c>
      <c r="W10" s="3">
        <f t="shared" si="1"/>
        <v>54944804308550.22</v>
      </c>
      <c r="X10" s="3">
        <f t="shared" si="2"/>
        <v>8298846.051392742</v>
      </c>
      <c r="Z10">
        <v>6</v>
      </c>
      <c r="AA10" s="6" t="str">
        <f>+'ocean volumes'!B31</f>
        <v>dispA</v>
      </c>
      <c r="AB10" s="3">
        <f>'ocean volumes'!C154</f>
        <v>5537922.07569708</v>
      </c>
      <c r="AC10" s="3">
        <f>'ocean volumes'!D154</f>
        <v>3007187.5</v>
      </c>
      <c r="AE10" s="7">
        <f t="shared" si="3"/>
        <v>2126402.6735494207</v>
      </c>
      <c r="AG10" s="3">
        <f>'ocean volumes'!S111</f>
        <v>51292200.082057506</v>
      </c>
      <c r="AH10" s="3" t="str">
        <f>'ocean volumes'!T34</f>
        <v>off_north</v>
      </c>
      <c r="AI10" s="3"/>
      <c r="AJ10" s="3"/>
      <c r="AK10" s="3"/>
      <c r="AM10" s="58">
        <f>'ocean volumes'!S32</f>
        <v>6739832.479053402</v>
      </c>
      <c r="AN10" s="58" t="str">
        <f>'ocean volumes'!T32</f>
        <v>dispB</v>
      </c>
    </row>
    <row r="11" spans="14:40" ht="12.75">
      <c r="N11" s="6"/>
      <c r="O11" s="14">
        <f>SUM(O3:O10)</f>
        <v>39262.727</v>
      </c>
      <c r="P11" s="14">
        <f>SUM(P3:P10)</f>
        <v>7696809.062</v>
      </c>
      <c r="Q11" s="13"/>
      <c r="R11" s="13"/>
      <c r="S11" s="14">
        <f>SUM(S3:S10)</f>
        <v>122493452.07119577</v>
      </c>
      <c r="T11" s="14"/>
      <c r="U11" s="14"/>
      <c r="W11" s="25">
        <f>SQRT(SUM(W3:W10))</f>
        <v>14236841.775308074</v>
      </c>
      <c r="X11" s="25">
        <f>SUM(X3:X10)</f>
        <v>42821763.774290435</v>
      </c>
      <c r="Z11">
        <v>7</v>
      </c>
      <c r="AA11" s="6" t="str">
        <f>+'ocean volumes'!B32</f>
        <v>dispB</v>
      </c>
      <c r="AB11" s="3">
        <f>'ocean volumes'!C155</f>
        <v>42076101.0915125</v>
      </c>
      <c r="AC11" s="3">
        <f>'ocean volumes'!D155</f>
        <v>9531562.5</v>
      </c>
      <c r="AE11" s="7">
        <f t="shared" si="3"/>
        <v>6739832.479053402</v>
      </c>
      <c r="AG11" s="3">
        <f>'ocean volumes'!S112</f>
        <v>15229533.270674389</v>
      </c>
      <c r="AH11" s="3" t="str">
        <f>'ocean volumes'!T35</f>
        <v>LBc1_off</v>
      </c>
      <c r="AI11" s="3"/>
      <c r="AJ11" s="3"/>
      <c r="AK11" s="3"/>
      <c r="AM11" s="58">
        <f>'ocean volumes'!S33</f>
        <v>1664573.557086957</v>
      </c>
      <c r="AN11" s="58" t="str">
        <f>'ocean volumes'!T33</f>
        <v>dispF</v>
      </c>
    </row>
    <row r="12" spans="21:40" ht="12.75">
      <c r="U12" s="3"/>
      <c r="X12" s="19">
        <f>+X11/S11*100</f>
        <v>34.958410470301324</v>
      </c>
      <c r="Z12">
        <v>8</v>
      </c>
      <c r="AA12" s="6" t="str">
        <f>+'ocean volumes'!B33</f>
        <v>dispF</v>
      </c>
      <c r="AB12" s="3">
        <f>'ocean volumes'!C156</f>
        <v>3003257.13958739</v>
      </c>
      <c r="AC12" s="3">
        <f>'ocean volumes'!D156</f>
        <v>2354062.5</v>
      </c>
      <c r="AE12" s="7">
        <f t="shared" si="3"/>
        <v>1664573.557086957</v>
      </c>
      <c r="AG12" s="3">
        <f>'ocean volumes'!S113</f>
        <v>10764816.860088702</v>
      </c>
      <c r="AH12" s="3" t="str">
        <f>'ocean volumes'!T36</f>
        <v>LBc2_off</v>
      </c>
      <c r="AI12" s="3"/>
      <c r="AJ12" s="3"/>
      <c r="AK12" s="3"/>
      <c r="AM12" s="58">
        <f>'ocean volumes'!S34</f>
        <v>51292200.08205743</v>
      </c>
      <c r="AN12" s="58" t="str">
        <f>'ocean volumes'!T34</f>
        <v>off_north</v>
      </c>
    </row>
    <row r="13" spans="1:40" ht="12.75">
      <c r="A13" s="11" t="s">
        <v>56</v>
      </c>
      <c r="B13" s="41" t="s">
        <v>107</v>
      </c>
      <c r="C13" s="41" t="s">
        <v>35</v>
      </c>
      <c r="D13" t="s">
        <v>182</v>
      </c>
      <c r="E13" t="s">
        <v>183</v>
      </c>
      <c r="F13" t="s">
        <v>24</v>
      </c>
      <c r="G13" t="s">
        <v>89</v>
      </c>
      <c r="H13" t="s">
        <v>90</v>
      </c>
      <c r="I13" t="s">
        <v>91</v>
      </c>
      <c r="J13" t="s">
        <v>161</v>
      </c>
      <c r="S13" s="3">
        <f>SUM(S3:S8)/1000000</f>
        <v>84.05209903818826</v>
      </c>
      <c r="Z13">
        <v>9</v>
      </c>
      <c r="AA13" s="6" t="str">
        <f>+'ocean volumes'!B34</f>
        <v>off_north</v>
      </c>
      <c r="AB13" s="3">
        <f>'ocean volumes'!C157</f>
        <v>-36575743.6671386</v>
      </c>
      <c r="AC13" s="3">
        <f>'ocean volumes'!D157</f>
        <v>72538125.0000001</v>
      </c>
      <c r="AE13" s="7">
        <f t="shared" si="3"/>
        <v>51292200.082057506</v>
      </c>
      <c r="AG13" s="3">
        <f>'ocean volumes'!S116</f>
        <v>7380359.240275099</v>
      </c>
      <c r="AH13" s="3" t="str">
        <f>'ocean volumes'!T39</f>
        <v>LBc1_near</v>
      </c>
      <c r="AI13" s="3"/>
      <c r="AJ13" s="3"/>
      <c r="AK13" s="3"/>
      <c r="AM13" s="58">
        <f>'ocean volumes'!Q39</f>
        <v>1655.8548608183455</v>
      </c>
      <c r="AN13" s="58">
        <f>'ocean volumes'!R39</f>
        <v>23.130067012440755</v>
      </c>
    </row>
    <row r="14" spans="1:40" ht="12.75">
      <c r="A14" s="6" t="s">
        <v>57</v>
      </c>
      <c r="B14" s="19">
        <v>4516</v>
      </c>
      <c r="C14" s="42">
        <v>17176.145999999993</v>
      </c>
      <c r="D14" s="13">
        <f>'[4]CP 1950 (+0.15)-1995'!$T$27</f>
        <v>28395.271000000008</v>
      </c>
      <c r="F14" s="3">
        <f>+E14+D14</f>
        <v>28395.271000000008</v>
      </c>
      <c r="G14" s="7">
        <f>'[4]CP 1950 (+0.15)-1995'!$BG$27</f>
        <v>161671.95081119076</v>
      </c>
      <c r="H14" s="7">
        <v>0</v>
      </c>
      <c r="I14" s="3">
        <f>+SQRT(G14^2+H14^2)</f>
        <v>161671.95081119076</v>
      </c>
      <c r="J14" s="7">
        <f>SUM(G14:H14)</f>
        <v>161671.95081119076</v>
      </c>
      <c r="Z14">
        <v>11</v>
      </c>
      <c r="AA14" s="6" t="str">
        <f>+'ocean volumes'!B40</f>
        <v>LBc2_near</v>
      </c>
      <c r="AB14" s="3">
        <f>'ocean volumes'!C159</f>
        <v>12871378.5416534</v>
      </c>
      <c r="AC14" s="3">
        <f>'ocean volumes'!D159</f>
        <v>9967500</v>
      </c>
      <c r="AE14" s="29">
        <f>+AG14</f>
        <v>7049668.549269969</v>
      </c>
      <c r="AG14" s="3">
        <f>'ocean volumes'!S117</f>
        <v>7049668.549269969</v>
      </c>
      <c r="AH14" s="3" t="str">
        <f>'ocean volumes'!T40</f>
        <v>LBc2_near</v>
      </c>
      <c r="AI14" s="3"/>
      <c r="AJ14" s="3"/>
      <c r="AK14" s="3"/>
      <c r="AM14" s="58">
        <f>'ocean volumes'!Q40</f>
        <v>1993.7185115488658</v>
      </c>
      <c r="AN14" s="58">
        <f>'ocean volumes'!R40</f>
        <v>23.130067012440755</v>
      </c>
    </row>
    <row r="15" spans="1:40" ht="12.75">
      <c r="A15" s="6" t="s">
        <v>34</v>
      </c>
      <c r="B15">
        <v>3380.29</v>
      </c>
      <c r="C15" s="42">
        <v>-1045625.765</v>
      </c>
      <c r="D15" s="7">
        <f>'[1]LB 1955(+0.15)-1995'!$U$38</f>
        <v>-3187037.9824311053</v>
      </c>
      <c r="E15" s="7">
        <f>'[1]LB 1955(+0.15)-1995'!$V$38</f>
        <v>-4291599.66680847</v>
      </c>
      <c r="F15" s="3">
        <f>+E15+D15</f>
        <v>-7478637.6492395755</v>
      </c>
      <c r="G15" s="7">
        <f>'[1]LB 1955(+0.15)-1995'!$BE$38</f>
        <v>-574564.9206704524</v>
      </c>
      <c r="H15" s="7">
        <f>'land volumes'!$Q$53</f>
        <v>-596037.7073541934</v>
      </c>
      <c r="I15" s="3">
        <f>+SQRT(G15^2+H15^2)</f>
        <v>827880.3033368329</v>
      </c>
      <c r="J15" s="7">
        <f>SUM(G15:H15)</f>
        <v>-1170602.6280246458</v>
      </c>
      <c r="Z15">
        <v>10</v>
      </c>
      <c r="AA15" s="6" t="str">
        <f>+'ocean volumes'!B39</f>
        <v>LBc1_near</v>
      </c>
      <c r="AB15" s="3">
        <f>'ocean volumes'!C158</f>
        <v>8857008.53518901</v>
      </c>
      <c r="AC15" s="3">
        <f>'ocean volumes'!D158</f>
        <v>10435937.5</v>
      </c>
      <c r="AE15" s="29">
        <f>+AG13</f>
        <v>7380359.240275099</v>
      </c>
      <c r="AG15" s="3">
        <f>'ocean volumes'!S118</f>
        <v>23991099.53552873</v>
      </c>
      <c r="AH15" s="3" t="str">
        <f>'ocean volumes'!T41</f>
        <v>CP_near</v>
      </c>
      <c r="AI15" s="3"/>
      <c r="AJ15" s="3"/>
      <c r="AK15" s="3"/>
      <c r="AM15" s="58">
        <f>'ocean volumes'!S35</f>
        <v>15229533.270674389</v>
      </c>
      <c r="AN15" s="58" t="str">
        <f>'ocean volumes'!T35</f>
        <v>LBc1_off</v>
      </c>
    </row>
    <row r="16" spans="1:40" ht="12.75">
      <c r="A16" s="6"/>
      <c r="C16" s="42"/>
      <c r="D16" s="13"/>
      <c r="E16" s="13"/>
      <c r="F16" s="13"/>
      <c r="G16" s="3"/>
      <c r="H16" s="26"/>
      <c r="I16" s="26"/>
      <c r="Z16">
        <v>13</v>
      </c>
      <c r="AA16" s="6" t="str">
        <f>+'ocean volumes'!B36</f>
        <v>LBc2_off</v>
      </c>
      <c r="AB16" s="3">
        <f>'ocean volumes'!C161</f>
        <v>6500453.78993575</v>
      </c>
      <c r="AC16" s="3">
        <f>'ocean volumes'!D161</f>
        <v>15223750</v>
      </c>
      <c r="AE16" s="7">
        <f>+AG12</f>
        <v>10764816.860088702</v>
      </c>
      <c r="AG16" s="3">
        <f>'ocean volumes'!S119</f>
        <v>9414152.228121197</v>
      </c>
      <c r="AH16" s="3" t="str">
        <f>'ocean volumes'!T47</f>
        <v>CPc3_near</v>
      </c>
      <c r="AI16" s="3"/>
      <c r="AJ16" s="3"/>
      <c r="AK16" s="3"/>
      <c r="AM16" s="58">
        <f>'ocean volumes'!S36</f>
        <v>10764816.860088702</v>
      </c>
      <c r="AN16" s="58" t="str">
        <f>'ocean volumes'!T36</f>
        <v>LBc2_off</v>
      </c>
    </row>
    <row r="17" spans="1:31" ht="12.75">
      <c r="A17" s="6"/>
      <c r="C17" s="42"/>
      <c r="D17" s="13"/>
      <c r="E17" s="13"/>
      <c r="F17" s="13"/>
      <c r="G17" s="3"/>
      <c r="H17" s="26">
        <f>'[1]LB 1955(+0.15)-1995'!$BE$38</f>
        <v>-574564.9206704524</v>
      </c>
      <c r="I17" s="26"/>
      <c r="Z17">
        <v>12</v>
      </c>
      <c r="AA17" s="6" t="str">
        <f>+'ocean volumes'!B35</f>
        <v>LBc1_off</v>
      </c>
      <c r="AB17" s="3">
        <f>'ocean volumes'!C160</f>
        <v>12556711.3296663</v>
      </c>
      <c r="AC17" s="3">
        <f>'ocean volumes'!D160</f>
        <v>21537812.5</v>
      </c>
      <c r="AE17" s="7">
        <f>+AG11</f>
        <v>15229533.270674389</v>
      </c>
    </row>
    <row r="18" spans="1:9" ht="12.75">
      <c r="A18" s="6"/>
      <c r="C18" s="42"/>
      <c r="D18" s="13"/>
      <c r="E18" s="13"/>
      <c r="F18" s="13"/>
      <c r="G18" s="3"/>
      <c r="H18" s="26"/>
      <c r="I18" s="26"/>
    </row>
    <row r="19" spans="1:31" ht="12.75">
      <c r="A19" s="6"/>
      <c r="C19" s="42"/>
      <c r="D19" s="13"/>
      <c r="E19" s="13"/>
      <c r="F19" s="13"/>
      <c r="G19" s="3"/>
      <c r="H19" s="26"/>
      <c r="I19" s="26"/>
      <c r="Z19">
        <f>'ocean volumes'!A121</f>
        <v>1</v>
      </c>
      <c r="AA19" t="str">
        <f>'ocean volumes'!B121</f>
        <v>CPdn_near</v>
      </c>
      <c r="AB19" s="3">
        <f>'ocean volumes'!C121</f>
        <v>-6159237.24164885</v>
      </c>
      <c r="AC19" s="3">
        <f>'ocean volumes'!D121</f>
        <v>9269687.50000001</v>
      </c>
      <c r="AE19" s="7">
        <f>'ocean volumes'!S121</f>
        <v>6555026.336339864</v>
      </c>
    </row>
    <row r="20" spans="1:31" ht="12.75">
      <c r="A20" s="6"/>
      <c r="C20" s="42"/>
      <c r="D20" s="13"/>
      <c r="E20" s="13"/>
      <c r="F20" s="13"/>
      <c r="G20" s="3"/>
      <c r="H20" s="26"/>
      <c r="I20" s="26"/>
      <c r="Z20">
        <f>'ocean volumes'!A122</f>
        <v>2</v>
      </c>
      <c r="AA20" t="str">
        <f>'ocean volumes'!B122</f>
        <v>CPc5_near</v>
      </c>
      <c r="AB20" s="3">
        <f>'ocean volumes'!C122</f>
        <v>-5666434.62593206</v>
      </c>
      <c r="AC20" s="3">
        <f>'ocean volumes'!D122</f>
        <v>12589375</v>
      </c>
      <c r="AE20" s="7">
        <f>'ocean volumes'!S122</f>
        <v>8902146.531554623</v>
      </c>
    </row>
    <row r="21" spans="1:31" ht="12.75">
      <c r="A21" s="6"/>
      <c r="C21" s="42"/>
      <c r="D21" s="13"/>
      <c r="E21" s="13"/>
      <c r="F21" s="13"/>
      <c r="G21" s="3"/>
      <c r="H21" s="26"/>
      <c r="I21" s="26"/>
      <c r="Z21">
        <f>'ocean volumes'!A123</f>
        <v>3</v>
      </c>
      <c r="AA21" t="str">
        <f>'ocean volumes'!B123</f>
        <v>CPc4_near</v>
      </c>
      <c r="AB21" s="3">
        <f>'ocean volumes'!C123</f>
        <v>-5539666.72464379</v>
      </c>
      <c r="AC21" s="3">
        <f>'ocean volumes'!D123</f>
        <v>11930312.5</v>
      </c>
      <c r="AE21" s="7">
        <f>'ocean volumes'!S123</f>
        <v>8436137.843510568</v>
      </c>
    </row>
    <row r="22" spans="1:31" ht="12.75">
      <c r="A22" s="6"/>
      <c r="C22" s="42"/>
      <c r="D22" s="13"/>
      <c r="E22" s="13"/>
      <c r="F22" s="13"/>
      <c r="G22" s="3"/>
      <c r="H22" s="26"/>
      <c r="I22" s="26"/>
      <c r="AA22" s="6"/>
      <c r="AB22" s="3"/>
      <c r="AE22" s="7"/>
    </row>
    <row r="23" spans="1:28" ht="12.75">
      <c r="A23" s="6"/>
      <c r="C23" s="42"/>
      <c r="D23" s="13"/>
      <c r="E23" s="13"/>
      <c r="F23" s="13"/>
      <c r="G23" s="3"/>
      <c r="H23" s="26"/>
      <c r="I23" s="26"/>
      <c r="AB23" s="3"/>
    </row>
    <row r="24" spans="1:39" ht="12.75">
      <c r="A24" s="6" t="s">
        <v>58</v>
      </c>
      <c r="B24" s="6"/>
      <c r="C24" s="6"/>
      <c r="D24" s="18" t="s">
        <v>64</v>
      </c>
      <c r="E24" s="13"/>
      <c r="F24" s="13"/>
      <c r="G24" s="13"/>
      <c r="H24" s="27"/>
      <c r="I24" s="27"/>
      <c r="Q24" s="16"/>
      <c r="R24" s="17"/>
      <c r="AD24" s="18"/>
      <c r="AE24" s="18"/>
      <c r="AF24" s="18"/>
      <c r="AL24" s="3"/>
      <c r="AM24" s="1"/>
    </row>
    <row r="25" spans="1:49" ht="12.75">
      <c r="A25" s="6"/>
      <c r="B25" s="6"/>
      <c r="C25" s="6"/>
      <c r="D25" s="18"/>
      <c r="E25" s="13"/>
      <c r="F25" s="13"/>
      <c r="G25" s="13"/>
      <c r="H25" s="27"/>
      <c r="I25" s="27"/>
      <c r="Q25" s="16"/>
      <c r="R25" s="17"/>
      <c r="AB25" s="18">
        <f>1999-1958</f>
        <v>41</v>
      </c>
      <c r="AC25" s="18"/>
      <c r="AD25" s="18"/>
      <c r="AE25" s="18"/>
      <c r="AF25" s="18"/>
      <c r="AV25" s="3"/>
      <c r="AW25" s="1"/>
    </row>
    <row r="26" spans="18:53" ht="13.5" thickBot="1">
      <c r="R26" s="15"/>
      <c r="S26" s="15" t="s">
        <v>35</v>
      </c>
      <c r="T26" s="15" t="s">
        <v>62</v>
      </c>
      <c r="U26" s="15" t="s">
        <v>61</v>
      </c>
      <c r="V26" s="15" t="s">
        <v>60</v>
      </c>
      <c r="W26" s="16"/>
      <c r="X26" s="16"/>
      <c r="Z26" s="36"/>
      <c r="AA26" s="37" t="s">
        <v>104</v>
      </c>
      <c r="AB26" s="37" t="str">
        <f>+T26</f>
        <v>1958-1998</v>
      </c>
      <c r="AC26" s="37" t="s">
        <v>105</v>
      </c>
      <c r="AD26" s="37" t="str">
        <f>+U26</f>
        <v>RMS error</v>
      </c>
      <c r="AE26" s="37" t="str">
        <f>+V26</f>
        <v>% error - total volume</v>
      </c>
      <c r="AF26" s="93" t="s">
        <v>187</v>
      </c>
      <c r="AG26" s="21" t="s">
        <v>151</v>
      </c>
      <c r="AI26" s="37" t="s">
        <v>106</v>
      </c>
      <c r="AL26" t="str">
        <f aca="true" t="shared" si="4" ref="AL26:AN31">+AA26</f>
        <v>area (km2)</v>
      </c>
      <c r="AM26" s="6" t="str">
        <f t="shared" si="4"/>
        <v>1958-1998</v>
      </c>
      <c r="AN26" s="28" t="str">
        <f t="shared" si="4"/>
        <v>vol rate</v>
      </c>
      <c r="AO26" s="28" t="str">
        <f>+AD26</f>
        <v>RMS error</v>
      </c>
      <c r="AP26" s="82" t="str">
        <f>+AE26</f>
        <v>% error - total volume</v>
      </c>
      <c r="AV26" s="19" t="s">
        <v>63</v>
      </c>
      <c r="AW26" s="1"/>
      <c r="BA26" t="s">
        <v>119</v>
      </c>
    </row>
    <row r="27" spans="8:54" ht="12.75">
      <c r="H27" s="4" t="s">
        <v>82</v>
      </c>
      <c r="K27" t="s">
        <v>20</v>
      </c>
      <c r="R27" s="6" t="s">
        <v>39</v>
      </c>
      <c r="S27" s="3">
        <f>+C15</f>
        <v>-1045625.765</v>
      </c>
      <c r="T27" s="3">
        <f>+F15</f>
        <v>-7478637.6492395755</v>
      </c>
      <c r="U27" s="7">
        <f>+J15</f>
        <v>-1170602.6280246458</v>
      </c>
      <c r="V27" s="19">
        <f aca="true" t="shared" si="5" ref="V27:V33">+ABS(U27/T27*100)</f>
        <v>15.652618604187518</v>
      </c>
      <c r="W27" s="24"/>
      <c r="X27" s="19"/>
      <c r="Z27" t="str">
        <f aca="true" t="shared" si="6" ref="Z27:Z56">+R27</f>
        <v>LBds</v>
      </c>
      <c r="AA27" s="38">
        <f aca="true" t="shared" si="7" ref="AA27:AB42">+S27/1000000</f>
        <v>-1.045625765</v>
      </c>
      <c r="AB27" s="33">
        <f t="shared" si="7"/>
        <v>-7.478637649239576</v>
      </c>
      <c r="AC27" s="38">
        <f aca="true" t="shared" si="8" ref="AC27:AC35">+AB27/AB$25</f>
        <v>-0.18240579632291648</v>
      </c>
      <c r="AD27" s="35">
        <f aca="true" t="shared" si="9" ref="AD27:AD34">+U27/1000000</f>
        <v>-1.1706026280246458</v>
      </c>
      <c r="AE27" s="35">
        <f aca="true" t="shared" si="10" ref="AE27:AE34">+V27</f>
        <v>15.652618604187518</v>
      </c>
      <c r="AF27" s="19">
        <f>+'sum 1958-2000'!AA27</f>
        <v>-7.478637649239576</v>
      </c>
      <c r="AG27" s="19">
        <f>+(AB27-AF27)/AB27*100</f>
        <v>0</v>
      </c>
      <c r="AI27" s="46">
        <f>+AA27*1000000/B15/$AB$25</f>
        <v>-7.544638903474078</v>
      </c>
      <c r="AK27" t="s">
        <v>165</v>
      </c>
      <c r="AL27" s="19">
        <f t="shared" si="4"/>
        <v>-1.045625765</v>
      </c>
      <c r="AM27" s="80">
        <f t="shared" si="4"/>
        <v>-7.478637649239576</v>
      </c>
      <c r="AN27" s="76">
        <f t="shared" si="4"/>
        <v>-0.18240579632291648</v>
      </c>
      <c r="AO27" s="56">
        <f>+ABS(AD27)</f>
        <v>1.1706026280246458</v>
      </c>
      <c r="AP27" s="85">
        <f aca="true" t="shared" si="11" ref="AP27:AP32">+AO27/AM27*100</f>
        <v>-15.652618604187515</v>
      </c>
      <c r="AR27" s="19"/>
      <c r="AX27" t="s">
        <v>109</v>
      </c>
      <c r="AY27" t="s">
        <v>108</v>
      </c>
      <c r="BA27" t="s">
        <v>109</v>
      </c>
      <c r="BB27" t="s">
        <v>108</v>
      </c>
    </row>
    <row r="28" spans="8:54" ht="12.75">
      <c r="H28" t="s">
        <v>83</v>
      </c>
      <c r="I28" t="s">
        <v>84</v>
      </c>
      <c r="J28" t="s">
        <v>52</v>
      </c>
      <c r="K28" s="22">
        <v>0.4</v>
      </c>
      <c r="L28" s="22"/>
      <c r="O28" s="22"/>
      <c r="P28" s="22"/>
      <c r="R28" t="s">
        <v>75</v>
      </c>
      <c r="S28" s="3">
        <f aca="true" t="shared" si="12" ref="S28:S34">+AC6</f>
        <v>23218400</v>
      </c>
      <c r="T28" s="3">
        <f>+AB6-AC6*0.15</f>
        <v>-40566093.3333333</v>
      </c>
      <c r="U28" s="3">
        <f aca="true" t="shared" si="13" ref="U28:U34">+AE6</f>
        <v>11609200</v>
      </c>
      <c r="V28" s="19">
        <f t="shared" si="5"/>
        <v>28.61798868480313</v>
      </c>
      <c r="W28" s="24"/>
      <c r="X28" s="19"/>
      <c r="Z28" t="str">
        <f t="shared" si="6"/>
        <v>inlet</v>
      </c>
      <c r="AA28" s="38">
        <f t="shared" si="7"/>
        <v>23.2184</v>
      </c>
      <c r="AB28" s="33">
        <f t="shared" si="7"/>
        <v>-40.5660933333333</v>
      </c>
      <c r="AC28" s="38">
        <f t="shared" si="8"/>
        <v>-0.9894169105691049</v>
      </c>
      <c r="AD28" s="35">
        <f t="shared" si="9"/>
        <v>11.6092</v>
      </c>
      <c r="AE28" s="35">
        <f t="shared" si="10"/>
        <v>28.61798868480313</v>
      </c>
      <c r="AF28" s="19" t="e">
        <f>+'sum 1958-2000'!#REF!</f>
        <v>#REF!</v>
      </c>
      <c r="AG28" s="19" t="e">
        <f aca="true" t="shared" si="14" ref="AG28:AG56">+(AB28-AF28)/AB28*100</f>
        <v>#REF!</v>
      </c>
      <c r="AI28" s="44">
        <f aca="true" t="shared" si="15" ref="AI28:AI34">+AB28/AA28/AB$25</f>
        <v>-0.04261348372709166</v>
      </c>
      <c r="AK28" t="str">
        <f>+Z28</f>
        <v>inlet</v>
      </c>
      <c r="AL28" s="19">
        <f t="shared" si="4"/>
        <v>23.2184</v>
      </c>
      <c r="AM28" s="80">
        <f t="shared" si="4"/>
        <v>-40.5660933333333</v>
      </c>
      <c r="AN28" s="76">
        <f t="shared" si="4"/>
        <v>-0.9894169105691049</v>
      </c>
      <c r="AO28" s="56">
        <f>+AD28</f>
        <v>11.6092</v>
      </c>
      <c r="AP28" s="85">
        <f t="shared" si="11"/>
        <v>-28.617988684803127</v>
      </c>
      <c r="AU28" s="48" t="s">
        <v>116</v>
      </c>
      <c r="AV28">
        <v>41</v>
      </c>
      <c r="AW28">
        <f>1885+AV28/2</f>
        <v>1905.5</v>
      </c>
      <c r="AX28" s="49">
        <f>'[3]sum 1868-1926_35'!AH24</f>
        <v>-47.4949627098539</v>
      </c>
      <c r="AY28" s="49">
        <f>'[3]sum 1868-1926_35'!AH23</f>
        <v>171.531513323295</v>
      </c>
      <c r="AZ28">
        <f>+AW28</f>
        <v>1905.5</v>
      </c>
      <c r="BA28">
        <f aca="true" t="shared" si="16" ref="BA28:BB30">+AX28/$AV28</f>
        <v>-1.158413724630583</v>
      </c>
      <c r="BB28">
        <f t="shared" si="16"/>
        <v>4.183695446909634</v>
      </c>
    </row>
    <row r="29" spans="6:54" ht="12.75">
      <c r="F29" s="13"/>
      <c r="H29" s="23">
        <v>1000000</v>
      </c>
      <c r="I29">
        <v>40</v>
      </c>
      <c r="J29">
        <f>+H29*I29</f>
        <v>40000000</v>
      </c>
      <c r="K29">
        <f>+J29*K28</f>
        <v>16000000</v>
      </c>
      <c r="R29" s="6" t="s">
        <v>76</v>
      </c>
      <c r="S29" s="3">
        <f t="shared" si="12"/>
        <v>43465937.4999998</v>
      </c>
      <c r="T29" s="3">
        <f aca="true" t="shared" si="17" ref="T29:T34">+AB7</f>
        <v>-62879580.6220513</v>
      </c>
      <c r="U29" s="7">
        <f t="shared" si="13"/>
        <v>30735059.15688051</v>
      </c>
      <c r="V29" s="19">
        <f t="shared" si="5"/>
        <v>48.879236872807645</v>
      </c>
      <c r="W29" s="24"/>
      <c r="X29" s="19"/>
      <c r="Z29" t="str">
        <f t="shared" si="6"/>
        <v>innerdelta</v>
      </c>
      <c r="AA29" s="38">
        <f t="shared" si="7"/>
        <v>43.4659374999998</v>
      </c>
      <c r="AB29" s="33">
        <f t="shared" si="7"/>
        <v>-62.8795806220513</v>
      </c>
      <c r="AC29" s="38">
        <f t="shared" si="8"/>
        <v>-1.5336483078549097</v>
      </c>
      <c r="AD29" s="35">
        <f t="shared" si="9"/>
        <v>30.73505915688051</v>
      </c>
      <c r="AE29" s="35">
        <f t="shared" si="10"/>
        <v>48.879236872807645</v>
      </c>
      <c r="AF29" s="19">
        <f>+'sum 1958-2000'!AA28</f>
        <v>-47.0713887968463</v>
      </c>
      <c r="AG29" s="19">
        <f t="shared" si="14"/>
        <v>25.140421848903376</v>
      </c>
      <c r="AI29" s="44">
        <f t="shared" si="15"/>
        <v>-0.035283911864432166</v>
      </c>
      <c r="AK29" t="str">
        <f>+Z29</f>
        <v>innerdelta</v>
      </c>
      <c r="AL29" s="19">
        <f t="shared" si="4"/>
        <v>43.4659374999998</v>
      </c>
      <c r="AM29" s="80">
        <f t="shared" si="4"/>
        <v>-62.8795806220513</v>
      </c>
      <c r="AN29" s="76">
        <f t="shared" si="4"/>
        <v>-1.5336483078549097</v>
      </c>
      <c r="AO29" s="56">
        <f>+AD29</f>
        <v>30.73505915688051</v>
      </c>
      <c r="AP29" s="85">
        <f t="shared" si="11"/>
        <v>-48.879236872807645</v>
      </c>
      <c r="AU29" s="48" t="s">
        <v>117</v>
      </c>
      <c r="AV29">
        <v>29</v>
      </c>
      <c r="AW29">
        <f>1926+AV29/2</f>
        <v>1940.5</v>
      </c>
      <c r="AX29" s="50" t="str">
        <f>'[2]sum 1926-1958'!AG30</f>
        <v>Inner Delta (6)</v>
      </c>
      <c r="AY29" s="50" t="str">
        <f>'[2]sum 1926-1958'!AG31</f>
        <v>Outer Delta (7)</v>
      </c>
      <c r="AZ29">
        <f>+AW29</f>
        <v>1940.5</v>
      </c>
      <c r="BA29" t="e">
        <f t="shared" si="16"/>
        <v>#VALUE!</v>
      </c>
      <c r="BB29" t="e">
        <f t="shared" si="16"/>
        <v>#VALUE!</v>
      </c>
    </row>
    <row r="30" spans="6:54" ht="12.75">
      <c r="F30" s="13"/>
      <c r="R30" s="6" t="s">
        <v>77</v>
      </c>
      <c r="S30" s="3">
        <f t="shared" si="12"/>
        <v>18410312.5</v>
      </c>
      <c r="T30" s="3">
        <f t="shared" si="17"/>
        <v>37192746.0550078</v>
      </c>
      <c r="U30" s="7">
        <f t="shared" si="13"/>
        <v>13018056.812513461</v>
      </c>
      <c r="V30" s="19">
        <f t="shared" si="5"/>
        <v>35.00160163828681</v>
      </c>
      <c r="W30" s="24"/>
      <c r="X30" s="19"/>
      <c r="Z30" t="str">
        <f t="shared" si="6"/>
        <v>outerdelta</v>
      </c>
      <c r="AA30" s="38">
        <f t="shared" si="7"/>
        <v>18.4103125</v>
      </c>
      <c r="AB30" s="33">
        <f t="shared" si="7"/>
        <v>37.1927460550078</v>
      </c>
      <c r="AC30" s="38">
        <f t="shared" si="8"/>
        <v>0.9071401476831171</v>
      </c>
      <c r="AD30" s="35">
        <f t="shared" si="9"/>
        <v>13.01805681251346</v>
      </c>
      <c r="AE30" s="35">
        <f t="shared" si="10"/>
        <v>35.00160163828681</v>
      </c>
      <c r="AF30" s="19">
        <f>+'sum 1958-2000'!AA29</f>
        <v>45.1302333704763</v>
      </c>
      <c r="AG30" s="19">
        <f t="shared" si="14"/>
        <v>-21.34149305278241</v>
      </c>
      <c r="AI30" s="44">
        <f t="shared" si="15"/>
        <v>0.04927347907229262</v>
      </c>
      <c r="AK30" t="str">
        <f>+Z30</f>
        <v>outerdelta</v>
      </c>
      <c r="AL30" s="19">
        <f t="shared" si="4"/>
        <v>18.4103125</v>
      </c>
      <c r="AM30" s="80">
        <f t="shared" si="4"/>
        <v>37.1927460550078</v>
      </c>
      <c r="AN30" s="76">
        <f t="shared" si="4"/>
        <v>0.9071401476831171</v>
      </c>
      <c r="AO30" s="56">
        <f>+AD30</f>
        <v>13.01805681251346</v>
      </c>
      <c r="AP30" s="85">
        <f t="shared" si="11"/>
        <v>35.0016016382868</v>
      </c>
      <c r="AU30" s="48" t="s">
        <v>118</v>
      </c>
      <c r="AV30">
        <v>40</v>
      </c>
      <c r="AW30">
        <f>1950+AV30/2</f>
        <v>1970</v>
      </c>
      <c r="AX30" s="50">
        <f>+AB29</f>
        <v>-62.8795806220513</v>
      </c>
      <c r="AY30" s="50">
        <f>+AB30</f>
        <v>37.1927460550078</v>
      </c>
      <c r="AZ30">
        <f>+AW30</f>
        <v>1970</v>
      </c>
      <c r="BA30">
        <f t="shared" si="16"/>
        <v>-1.5719895155512824</v>
      </c>
      <c r="BB30">
        <f t="shared" si="16"/>
        <v>0.929818651375195</v>
      </c>
    </row>
    <row r="31" spans="6:51" ht="12.75">
      <c r="F31" s="13"/>
      <c r="R31" s="6" t="str">
        <f>+AA9</f>
        <v>delta_north</v>
      </c>
      <c r="S31" s="3">
        <f t="shared" si="12"/>
        <v>24233437.5</v>
      </c>
      <c r="T31" s="3">
        <f t="shared" si="17"/>
        <v>11606372.764618</v>
      </c>
      <c r="U31" s="7">
        <f t="shared" si="13"/>
        <v>17135627.987710375</v>
      </c>
      <c r="V31" s="19">
        <f>+ABS(U31/T31*100)</f>
        <v>147.6398211157606</v>
      </c>
      <c r="W31" s="24"/>
      <c r="X31" s="19"/>
      <c r="Z31" t="str">
        <f t="shared" si="6"/>
        <v>delta_north</v>
      </c>
      <c r="AA31" s="38">
        <f t="shared" si="7"/>
        <v>24.2334375</v>
      </c>
      <c r="AB31" s="33">
        <f t="shared" si="7"/>
        <v>11.606372764618</v>
      </c>
      <c r="AC31" s="38">
        <f t="shared" si="8"/>
        <v>0.2830822625516585</v>
      </c>
      <c r="AD31" s="35">
        <f t="shared" si="9"/>
        <v>17.135627987710375</v>
      </c>
      <c r="AE31" s="35">
        <f t="shared" si="10"/>
        <v>147.6398211157606</v>
      </c>
      <c r="AF31" s="19">
        <f>+'sum 1958-2000'!AA30</f>
        <v>22.0207759773163</v>
      </c>
      <c r="AG31" s="19">
        <f t="shared" si="14"/>
        <v>-89.73004248533691</v>
      </c>
      <c r="AI31" s="44">
        <f t="shared" si="15"/>
        <v>0.011681473689057052</v>
      </c>
      <c r="AK31" t="str">
        <f>+Z31</f>
        <v>delta_north</v>
      </c>
      <c r="AL31" s="19">
        <f t="shared" si="4"/>
        <v>24.2334375</v>
      </c>
      <c r="AM31" s="80">
        <f t="shared" si="4"/>
        <v>11.606372764618</v>
      </c>
      <c r="AN31" s="76">
        <f t="shared" si="4"/>
        <v>0.2830822625516585</v>
      </c>
      <c r="AO31" s="56">
        <f>+AD31</f>
        <v>17.135627987710375</v>
      </c>
      <c r="AP31" s="85">
        <f t="shared" si="11"/>
        <v>147.6398211157606</v>
      </c>
      <c r="AR31" s="19">
        <f>SUM(AM27,AM29:AM30)</f>
        <v>-33.16547221628308</v>
      </c>
      <c r="AU31" s="48"/>
      <c r="AX31" s="50"/>
      <c r="AY31" s="50"/>
    </row>
    <row r="32" spans="6:49" ht="12.75">
      <c r="F32" s="13"/>
      <c r="R32" s="6" t="s">
        <v>78</v>
      </c>
      <c r="S32" s="3">
        <f t="shared" si="12"/>
        <v>3007187.5</v>
      </c>
      <c r="T32" s="3">
        <f t="shared" si="17"/>
        <v>5537922.07569708</v>
      </c>
      <c r="U32" s="7">
        <f t="shared" si="13"/>
        <v>2126402.6735494207</v>
      </c>
      <c r="V32" s="19">
        <f t="shared" si="5"/>
        <v>38.3971216005556</v>
      </c>
      <c r="W32" s="24"/>
      <c r="X32" s="19"/>
      <c r="Z32" t="str">
        <f t="shared" si="6"/>
        <v>disposal site A</v>
      </c>
      <c r="AA32" s="38">
        <f t="shared" si="7"/>
        <v>3.0071875</v>
      </c>
      <c r="AB32" s="33">
        <f t="shared" si="7"/>
        <v>5.537922075697081</v>
      </c>
      <c r="AC32" s="38">
        <f t="shared" si="8"/>
        <v>0.13507127013895318</v>
      </c>
      <c r="AD32" s="35">
        <f t="shared" si="9"/>
        <v>2.126402673549421</v>
      </c>
      <c r="AE32" s="35">
        <f t="shared" si="10"/>
        <v>38.3971216005556</v>
      </c>
      <c r="AF32" s="19">
        <f>+'sum 1958-2000'!AA31</f>
        <v>6.57392096226358</v>
      </c>
      <c r="AG32" s="19">
        <f t="shared" si="14"/>
        <v>-18.70735760463177</v>
      </c>
      <c r="AI32" s="44">
        <f t="shared" si="15"/>
        <v>0.04491614511531229</v>
      </c>
      <c r="AJ32" s="19">
        <f>SUM(AM30,AM32)</f>
        <v>87.81002636180477</v>
      </c>
      <c r="AK32" s="15" t="s">
        <v>166</v>
      </c>
      <c r="AL32" s="21">
        <f>+AA32+AA33+AA34</f>
        <v>14.8928125</v>
      </c>
      <c r="AM32" s="81">
        <f>+AB32+AB33+AB34</f>
        <v>50.61728030679697</v>
      </c>
      <c r="AN32" s="78">
        <f>+AC32+AC33+AC34</f>
        <v>1.2345678123609016</v>
      </c>
      <c r="AO32" s="79">
        <f>+AD32+AD33+AD34</f>
        <v>10.53080870968978</v>
      </c>
      <c r="AP32" s="84">
        <f t="shared" si="11"/>
        <v>20.804769924147198</v>
      </c>
      <c r="AQ32" s="16"/>
      <c r="AR32" s="19">
        <f>SUM(AO32,AO30)</f>
        <v>23.54886552220324</v>
      </c>
      <c r="AV32" s="3"/>
      <c r="AW32" s="1"/>
    </row>
    <row r="33" spans="6:49" ht="12.75">
      <c r="F33" s="13"/>
      <c r="R33" s="6" t="s">
        <v>79</v>
      </c>
      <c r="S33" s="3">
        <f t="shared" si="12"/>
        <v>9531562.5</v>
      </c>
      <c r="T33" s="3">
        <f t="shared" si="17"/>
        <v>42076101.0915125</v>
      </c>
      <c r="U33" s="7">
        <f t="shared" si="13"/>
        <v>6739832.479053402</v>
      </c>
      <c r="V33" s="19">
        <f t="shared" si="5"/>
        <v>16.01819632573548</v>
      </c>
      <c r="W33" s="24"/>
      <c r="X33" s="19"/>
      <c r="Z33" t="str">
        <f t="shared" si="6"/>
        <v>disposal site B</v>
      </c>
      <c r="AA33" s="38">
        <f t="shared" si="7"/>
        <v>9.5315625</v>
      </c>
      <c r="AB33" s="33">
        <f t="shared" si="7"/>
        <v>42.0761010915125</v>
      </c>
      <c r="AC33" s="38">
        <f t="shared" si="8"/>
        <v>1.0262463680856706</v>
      </c>
      <c r="AD33" s="35">
        <f t="shared" si="9"/>
        <v>6.739832479053402</v>
      </c>
      <c r="AE33" s="35">
        <f t="shared" si="10"/>
        <v>16.01819632573548</v>
      </c>
      <c r="AF33" s="19">
        <f>+'sum 1958-2000'!AA32</f>
        <v>45.7853257159667</v>
      </c>
      <c r="AG33" s="19">
        <f t="shared" si="14"/>
        <v>-8.815514100003952</v>
      </c>
      <c r="AI33" s="44">
        <f t="shared" si="15"/>
        <v>0.10766821998866091</v>
      </c>
      <c r="AK33" t="s">
        <v>51</v>
      </c>
      <c r="AM33" s="80">
        <f>SUM(AM27:AM32)</f>
        <v>-11.50791247820139</v>
      </c>
      <c r="AN33" s="77">
        <f>SUM(AN27:AN32)</f>
        <v>-0.28068079215125374</v>
      </c>
      <c r="AO33" s="56"/>
      <c r="AP33" s="85"/>
      <c r="AQ33" s="16"/>
      <c r="AV33" s="3"/>
      <c r="AW33" s="1"/>
    </row>
    <row r="34" spans="6:49" ht="13.5" thickBot="1">
      <c r="F34" s="13"/>
      <c r="R34" s="54" t="s">
        <v>80</v>
      </c>
      <c r="S34" s="20">
        <f t="shared" si="12"/>
        <v>2354062.5</v>
      </c>
      <c r="T34" s="20">
        <f t="shared" si="17"/>
        <v>3003257.13958739</v>
      </c>
      <c r="U34" s="59">
        <f t="shared" si="13"/>
        <v>1664573.557086957</v>
      </c>
      <c r="V34" s="21">
        <f>+ABS(U34/T34*100)</f>
        <v>55.42560892124104</v>
      </c>
      <c r="W34" s="24"/>
      <c r="X34" s="24"/>
      <c r="Z34" s="15" t="str">
        <f t="shared" si="6"/>
        <v>disposal site F</v>
      </c>
      <c r="AA34" s="39">
        <f t="shared" si="7"/>
        <v>2.3540625</v>
      </c>
      <c r="AB34" s="34">
        <f t="shared" si="7"/>
        <v>3.0032571395873897</v>
      </c>
      <c r="AC34" s="39">
        <f t="shared" si="8"/>
        <v>0.0732501741362778</v>
      </c>
      <c r="AD34" s="34">
        <f t="shared" si="9"/>
        <v>1.6645735570869569</v>
      </c>
      <c r="AE34" s="34">
        <f t="shared" si="10"/>
        <v>55.42560892124104</v>
      </c>
      <c r="AF34" s="21">
        <f>+'sum 1958-2000'!AA33</f>
        <v>3.84844395540526</v>
      </c>
      <c r="AG34" s="21">
        <f t="shared" si="14"/>
        <v>-28.14233935140127</v>
      </c>
      <c r="AI34" s="45">
        <f t="shared" si="15"/>
        <v>0.031116495053244254</v>
      </c>
      <c r="AM34" s="6"/>
      <c r="AN34" s="28"/>
      <c r="AO34" s="28"/>
      <c r="AP34" s="83"/>
      <c r="AV34" s="36" t="s">
        <v>110</v>
      </c>
      <c r="AW34" s="36" t="s">
        <v>83</v>
      </c>
    </row>
    <row r="35" spans="6:49" ht="12.75">
      <c r="F35" s="13"/>
      <c r="R35" t="s">
        <v>103</v>
      </c>
      <c r="S35" s="3"/>
      <c r="T35" s="3">
        <f>SUM(T27:T34)</f>
        <v>-11507912.47820141</v>
      </c>
      <c r="U35" s="3"/>
      <c r="V35" s="19"/>
      <c r="W35" s="32"/>
      <c r="X35" s="32"/>
      <c r="Z35" t="str">
        <f t="shared" si="6"/>
        <v>subtotal</v>
      </c>
      <c r="AA35" s="38"/>
      <c r="AB35" s="33">
        <f>SUM(AB27:AB34)</f>
        <v>-11.50791247820139</v>
      </c>
      <c r="AC35" s="38">
        <f t="shared" si="8"/>
        <v>-0.2806807921512534</v>
      </c>
      <c r="AD35" s="33"/>
      <c r="AE35" s="33"/>
      <c r="AF35" s="19">
        <f>+'sum 1958-2000'!AA34</f>
        <v>68.80867353534227</v>
      </c>
      <c r="AG35" s="19"/>
      <c r="AI35" s="38"/>
      <c r="AJ35" s="2">
        <f>+AO35+AO27</f>
        <v>43.99236640231508</v>
      </c>
      <c r="AK35" t="s">
        <v>115</v>
      </c>
      <c r="AL35" s="19">
        <f>+AA37</f>
        <v>0</v>
      </c>
      <c r="AM35" s="80">
        <f>+AB37</f>
        <v>122.49345207119576</v>
      </c>
      <c r="AN35" s="76">
        <f>+AC37</f>
        <v>2.987645172468189</v>
      </c>
      <c r="AO35" s="76">
        <f>+AD37</f>
        <v>42.82176377429043</v>
      </c>
      <c r="AP35" s="85">
        <f>+AO35/AM35*100</f>
        <v>34.958410470301324</v>
      </c>
      <c r="AU35" t="s">
        <v>115</v>
      </c>
      <c r="AV35" s="1">
        <f>+AB37</f>
        <v>122.49345207119576</v>
      </c>
      <c r="AW35" s="1">
        <f>+AC37</f>
        <v>2.987645172468189</v>
      </c>
    </row>
    <row r="36" spans="10:49" ht="12.75">
      <c r="J36" s="6"/>
      <c r="S36" s="3"/>
      <c r="T36" s="3"/>
      <c r="W36" s="16"/>
      <c r="AA36" s="38"/>
      <c r="AB36" s="33"/>
      <c r="AD36" s="19"/>
      <c r="AF36" s="19"/>
      <c r="AG36" s="19"/>
      <c r="AK36" s="15" t="s">
        <v>168</v>
      </c>
      <c r="AL36" s="21">
        <f>+AA55+AA56</f>
        <v>0</v>
      </c>
      <c r="AM36" s="81">
        <f>+AB55+AB56</f>
        <v>-24.554549944494596</v>
      </c>
      <c r="AN36" s="79">
        <f>+AC55+AC56</f>
        <v>-0.5988914620608438</v>
      </c>
      <c r="AO36" s="79">
        <f>+AD55+AD56</f>
        <v>0</v>
      </c>
      <c r="AP36" s="84">
        <f>+AO36/AM36*100</f>
        <v>0</v>
      </c>
      <c r="AU36" t="s">
        <v>112</v>
      </c>
      <c r="AV36" s="1">
        <f>+AB54+AB55+AB56</f>
        <v>-156.7193587512</v>
      </c>
      <c r="AW36" s="1">
        <f>+AC54+AC55+AC56</f>
        <v>-3.8224233841756097</v>
      </c>
    </row>
    <row r="37" spans="10:49" ht="12.75">
      <c r="J37" s="6"/>
      <c r="R37" s="54" t="s">
        <v>69</v>
      </c>
      <c r="S37" s="20">
        <f>+P11</f>
        <v>7696809.062</v>
      </c>
      <c r="T37" s="20">
        <f>+S11</f>
        <v>122493452.07119577</v>
      </c>
      <c r="U37" s="59">
        <f>+X11</f>
        <v>42821763.774290435</v>
      </c>
      <c r="V37" s="21">
        <f>+ABS(U37/T37*100)</f>
        <v>34.958410470301324</v>
      </c>
      <c r="W37" s="24"/>
      <c r="X37" s="24"/>
      <c r="Z37" s="15" t="str">
        <f t="shared" si="6"/>
        <v>LBc</v>
      </c>
      <c r="AA37" s="39"/>
      <c r="AB37" s="34">
        <f t="shared" si="7"/>
        <v>122.49345207119576</v>
      </c>
      <c r="AC37" s="39">
        <f>+AB37/AB$25</f>
        <v>2.987645172468189</v>
      </c>
      <c r="AD37" s="34">
        <f>+U37/1000000</f>
        <v>42.82176377429043</v>
      </c>
      <c r="AE37" s="34">
        <f>+V37</f>
        <v>34.958410470301324</v>
      </c>
      <c r="AF37" s="21">
        <f>+'sum 1958-2000'!AA36</f>
        <v>127.0402397447635</v>
      </c>
      <c r="AG37" s="21">
        <f t="shared" si="14"/>
        <v>-3.7118618152136387</v>
      </c>
      <c r="AI37" s="47">
        <f>+AA37*1000000/O11/$AB$25</f>
        <v>0</v>
      </c>
      <c r="AK37" t="s">
        <v>51</v>
      </c>
      <c r="AM37" s="6"/>
      <c r="AN37" s="28"/>
      <c r="AO37" s="28"/>
      <c r="AP37" s="83"/>
      <c r="AV37" s="1"/>
      <c r="AW37" s="1"/>
    </row>
    <row r="38" spans="10:49" ht="12.75">
      <c r="J38" s="6"/>
      <c r="R38" t="s">
        <v>103</v>
      </c>
      <c r="S38" s="3"/>
      <c r="T38" s="3">
        <f>SUM(T35,T37)</f>
        <v>110985539.59299436</v>
      </c>
      <c r="V38" s="19"/>
      <c r="W38" s="32"/>
      <c r="X38" s="3"/>
      <c r="Z38" t="str">
        <f t="shared" si="6"/>
        <v>subtotal</v>
      </c>
      <c r="AA38" s="38"/>
      <c r="AB38" s="33">
        <f>+AB37+AB35</f>
        <v>110.98553959299437</v>
      </c>
      <c r="AC38" s="38">
        <f>+AB38/AB$25</f>
        <v>2.706964380316936</v>
      </c>
      <c r="AD38" s="35"/>
      <c r="AE38" s="35"/>
      <c r="AF38" s="19" t="e">
        <f>+'sum 1958-2000'!#REF!</f>
        <v>#REF!</v>
      </c>
      <c r="AG38" s="19"/>
      <c r="AI38" s="38"/>
      <c r="AK38" t="s">
        <v>103</v>
      </c>
      <c r="AM38" s="6"/>
      <c r="AN38" s="28"/>
      <c r="AO38" s="28"/>
      <c r="AP38" s="83"/>
      <c r="AU38" t="s">
        <v>108</v>
      </c>
      <c r="AV38" s="1">
        <f>+AB30</f>
        <v>37.1927460550078</v>
      </c>
      <c r="AW38" s="1">
        <f>+AC30</f>
        <v>0.9071401476831171</v>
      </c>
    </row>
    <row r="39" spans="10:49" ht="12.75">
      <c r="J39" s="6"/>
      <c r="W39" s="16"/>
      <c r="AA39" s="38"/>
      <c r="AB39" s="33"/>
      <c r="AD39" s="24"/>
      <c r="AE39" s="16"/>
      <c r="AF39" s="19"/>
      <c r="AG39" s="19"/>
      <c r="AM39" s="6"/>
      <c r="AN39" s="28"/>
      <c r="AO39" s="28"/>
      <c r="AP39" s="83"/>
      <c r="AU39" t="s">
        <v>109</v>
      </c>
      <c r="AV39" s="1">
        <f>+AB29+AB27</f>
        <v>-70.35821827129088</v>
      </c>
      <c r="AW39" s="1">
        <f>+AC29+AC27</f>
        <v>-1.7160541041778261</v>
      </c>
    </row>
    <row r="40" spans="10:49" ht="12.75">
      <c r="J40" s="6"/>
      <c r="R40" s="55" t="s">
        <v>73</v>
      </c>
      <c r="S40" s="3">
        <f>+AC13</f>
        <v>72538125.0000001</v>
      </c>
      <c r="T40" s="3">
        <f>+AB13</f>
        <v>-36575743.6671386</v>
      </c>
      <c r="U40" s="60">
        <f>+AE13</f>
        <v>51292200.082057506</v>
      </c>
      <c r="V40" s="24">
        <f>+ABS(U40/T40*100)</f>
        <v>140.2355630793117</v>
      </c>
      <c r="W40" s="24"/>
      <c r="X40" s="24"/>
      <c r="Z40" t="str">
        <f t="shared" si="6"/>
        <v>LB_off_w</v>
      </c>
      <c r="AA40" s="38">
        <f t="shared" si="7"/>
        <v>72.53812500000011</v>
      </c>
      <c r="AB40" s="33">
        <f t="shared" si="7"/>
        <v>-36.575743667138596</v>
      </c>
      <c r="AC40" s="40">
        <f>+AB40/AB$25</f>
        <v>-0.8920913089545999</v>
      </c>
      <c r="AD40" s="35">
        <f>+U40/1000000</f>
        <v>51.292200082057505</v>
      </c>
      <c r="AE40" s="35">
        <f>+V40</f>
        <v>140.2355630793117</v>
      </c>
      <c r="AF40" s="19">
        <f>+'sum 1958-2000'!AA49</f>
        <v>-5.13259974701929</v>
      </c>
      <c r="AG40" s="19">
        <f t="shared" si="14"/>
        <v>85.96720330903165</v>
      </c>
      <c r="AI40" s="39"/>
      <c r="AK40" t="s">
        <v>170</v>
      </c>
      <c r="AL40" s="19">
        <f>+AA49</f>
        <v>0</v>
      </c>
      <c r="AM40" s="80">
        <f>+AB49</f>
        <v>14.14329781675297</v>
      </c>
      <c r="AN40" s="56">
        <f>+AC49</f>
        <v>0.34495848333543827</v>
      </c>
      <c r="AO40" s="56">
        <f>+AD49</f>
        <v>0</v>
      </c>
      <c r="AP40" s="85">
        <f>+AO40/AM40*100</f>
        <v>0</v>
      </c>
      <c r="AU40" t="s">
        <v>111</v>
      </c>
      <c r="AV40" s="1">
        <f>+AB32+AB33+AB34</f>
        <v>50.61728030679697</v>
      </c>
      <c r="AW40" s="1">
        <f>+AC32+AC33+AC34</f>
        <v>1.2345678123609016</v>
      </c>
    </row>
    <row r="41" spans="10:49" ht="12.75">
      <c r="J41" s="6"/>
      <c r="R41" s="6" t="s">
        <v>71</v>
      </c>
      <c r="S41" s="3">
        <f>+AC17</f>
        <v>21537812.5</v>
      </c>
      <c r="T41" s="3">
        <f>+AB17</f>
        <v>12556711.3296663</v>
      </c>
      <c r="U41" s="7">
        <f>+AE17</f>
        <v>15229533.270674389</v>
      </c>
      <c r="V41" s="19">
        <f>+ABS(U41/T41*100)</f>
        <v>121.2860029257288</v>
      </c>
      <c r="W41" s="32"/>
      <c r="X41" s="3"/>
      <c r="Z41" t="str">
        <f t="shared" si="6"/>
        <v>LBc1_off</v>
      </c>
      <c r="AA41" s="38">
        <f t="shared" si="7"/>
        <v>21.5378125</v>
      </c>
      <c r="AB41" s="33">
        <f t="shared" si="7"/>
        <v>12.5567113296663</v>
      </c>
      <c r="AC41" s="40">
        <f>+AB41/AB$25</f>
        <v>0.30626125194308046</v>
      </c>
      <c r="AD41" s="35">
        <f>+U41/1000000</f>
        <v>15.22953327067439</v>
      </c>
      <c r="AE41" s="35">
        <f>+V41</f>
        <v>121.2860029257288</v>
      </c>
      <c r="AF41" s="19">
        <f>+'sum 1958-2000'!AA38</f>
        <v>22.635543814939</v>
      </c>
      <c r="AG41" s="19">
        <f t="shared" si="14"/>
        <v>-80.26649829450645</v>
      </c>
      <c r="AI41" s="38"/>
      <c r="AK41" s="15" t="s">
        <v>169</v>
      </c>
      <c r="AL41" s="21">
        <f>+AA45</f>
        <v>0</v>
      </c>
      <c r="AM41" s="81">
        <f>+AB45</f>
        <v>0</v>
      </c>
      <c r="AN41" s="79">
        <f>+AC45</f>
        <v>0</v>
      </c>
      <c r="AO41" s="79">
        <f>+AD45</f>
        <v>0</v>
      </c>
      <c r="AP41" s="84" t="e">
        <f>+AO41/AM41*100</f>
        <v>#DIV/0!</v>
      </c>
      <c r="AU41" t="s">
        <v>51</v>
      </c>
      <c r="AV41" s="1">
        <f>SUM(AV38:AV40)</f>
        <v>17.451808090513893</v>
      </c>
      <c r="AW41" s="1">
        <f>SUM(AW38:AW40)</f>
        <v>0.42565385586619264</v>
      </c>
    </row>
    <row r="42" spans="15:49" ht="12.75">
      <c r="O42" s="16"/>
      <c r="P42" s="16"/>
      <c r="R42" s="54" t="s">
        <v>72</v>
      </c>
      <c r="S42" s="20">
        <f>+AC16</f>
        <v>15223750</v>
      </c>
      <c r="T42" s="20">
        <f>+AB16</f>
        <v>6500453.78993575</v>
      </c>
      <c r="U42" s="59">
        <f>+AE16</f>
        <v>10764816.860088702</v>
      </c>
      <c r="V42" s="21">
        <f>+ABS(U42/T42*100)</f>
        <v>165.60100583678022</v>
      </c>
      <c r="W42" s="16"/>
      <c r="Y42" s="16"/>
      <c r="Z42" s="15" t="str">
        <f t="shared" si="6"/>
        <v>LBc2_off</v>
      </c>
      <c r="AA42" s="39">
        <f t="shared" si="7"/>
        <v>15.22375</v>
      </c>
      <c r="AB42" s="34">
        <f t="shared" si="7"/>
        <v>6.50045378993575</v>
      </c>
      <c r="AC42" s="39">
        <f>+AB42/AB$25</f>
        <v>0.15854765341306706</v>
      </c>
      <c r="AD42" s="34">
        <f>+U42/1000000</f>
        <v>10.764816860088702</v>
      </c>
      <c r="AE42" s="34">
        <f>+V42</f>
        <v>165.60100583678022</v>
      </c>
      <c r="AF42" s="21">
        <f>+'sum 1958-2000'!AA37</f>
        <v>13.3767269655118</v>
      </c>
      <c r="AG42" s="21">
        <f t="shared" si="14"/>
        <v>-105.78143307813615</v>
      </c>
      <c r="AK42" t="s">
        <v>51</v>
      </c>
      <c r="AM42" s="6"/>
      <c r="AN42" s="28"/>
      <c r="AO42" s="28"/>
      <c r="AP42" s="83"/>
      <c r="AV42" s="1"/>
      <c r="AW42" s="1"/>
    </row>
    <row r="43" spans="15:49" ht="12.75">
      <c r="O43" s="16"/>
      <c r="P43" s="32"/>
      <c r="R43" t="s">
        <v>51</v>
      </c>
      <c r="S43" s="3"/>
      <c r="T43" s="3">
        <f>SUM(T40:T42)</f>
        <v>-17518578.54753655</v>
      </c>
      <c r="V43" s="19"/>
      <c r="W43" s="24"/>
      <c r="X43" s="19"/>
      <c r="Y43" s="16"/>
      <c r="Z43" t="str">
        <f t="shared" si="6"/>
        <v>sum</v>
      </c>
      <c r="AA43" s="38"/>
      <c r="AB43" s="33">
        <f>SUM(AB40:AB42)</f>
        <v>-17.518578547536546</v>
      </c>
      <c r="AC43" s="40">
        <f>+AB43/AB$25</f>
        <v>-0.4272824035984523</v>
      </c>
      <c r="AD43" s="24"/>
      <c r="AE43" s="16"/>
      <c r="AF43" s="19">
        <f>+'sum 1958-2000'!AA39</f>
        <v>163.0525105252143</v>
      </c>
      <c r="AG43" s="19"/>
      <c r="AK43" t="s">
        <v>103</v>
      </c>
      <c r="AM43" s="6"/>
      <c r="AN43" s="28"/>
      <c r="AO43" s="28"/>
      <c r="AP43" s="83"/>
      <c r="AV43" s="1"/>
      <c r="AW43" s="1"/>
    </row>
    <row r="44" spans="14:49" ht="12.75">
      <c r="N44" s="16"/>
      <c r="O44" s="16"/>
      <c r="P44" s="32"/>
      <c r="R44" t="s">
        <v>103</v>
      </c>
      <c r="T44" s="3">
        <f>SUM(T38,T43)</f>
        <v>93466961.04545781</v>
      </c>
      <c r="W44" s="24"/>
      <c r="X44" s="19"/>
      <c r="Y44" s="16"/>
      <c r="Z44" t="str">
        <f t="shared" si="6"/>
        <v>subtotal</v>
      </c>
      <c r="AA44" s="38"/>
      <c r="AB44" s="33">
        <f>+AB43+AB38</f>
        <v>93.46696104545782</v>
      </c>
      <c r="AC44" s="40">
        <f>+AB44/AB$25</f>
        <v>2.2796819767184835</v>
      </c>
      <c r="AD44" s="35"/>
      <c r="AE44" s="35"/>
      <c r="AF44" s="19">
        <f>+'sum 1958-2000'!AA40</f>
        <v>231.86118406055658</v>
      </c>
      <c r="AG44" s="19"/>
      <c r="AI44" s="46">
        <f>+AA44*1000000/B14/$AB$25</f>
        <v>0</v>
      </c>
      <c r="AM44" s="6"/>
      <c r="AP44" s="86"/>
      <c r="AU44" t="s">
        <v>113</v>
      </c>
      <c r="AV44" s="1">
        <f>+AB45</f>
        <v>0</v>
      </c>
      <c r="AW44" s="1">
        <f>+AC45</f>
        <v>0</v>
      </c>
    </row>
    <row r="45" spans="14:49" ht="12.75">
      <c r="N45" s="90"/>
      <c r="P45" s="16"/>
      <c r="W45" s="16"/>
      <c r="X45" s="24"/>
      <c r="Y45" s="16"/>
      <c r="AA45" s="38"/>
      <c r="AB45" s="33"/>
      <c r="AC45" s="40"/>
      <c r="AD45" s="35"/>
      <c r="AE45" s="35"/>
      <c r="AF45" s="19"/>
      <c r="AG45" s="19"/>
      <c r="AI45" s="47">
        <f>+AA45*1000000/B8/$AB$25</f>
        <v>0</v>
      </c>
      <c r="AK45" t="s">
        <v>167</v>
      </c>
      <c r="AL45" s="19">
        <f>+AA54</f>
        <v>0</v>
      </c>
      <c r="AM45" s="80">
        <f>+AB54</f>
        <v>-132.1648088067054</v>
      </c>
      <c r="AN45" s="56">
        <f>+AC54</f>
        <v>-3.223531922114766</v>
      </c>
      <c r="AO45" s="56">
        <f>+AD54</f>
        <v>0</v>
      </c>
      <c r="AP45" s="85">
        <f>+AO45/AM45*100</f>
        <v>0</v>
      </c>
      <c r="AU45" t="s">
        <v>114</v>
      </c>
      <c r="AV45" s="1">
        <f>+AB49+AB50</f>
        <v>121.75355667896378</v>
      </c>
      <c r="AW45" s="1">
        <f>+AC49+AC50</f>
        <v>2.9695989433893604</v>
      </c>
    </row>
    <row r="46" spans="14:48" ht="12.75">
      <c r="N46" s="16"/>
      <c r="O46" s="16"/>
      <c r="P46" s="16"/>
      <c r="R46" s="6" t="s">
        <v>85</v>
      </c>
      <c r="S46" s="7">
        <f>+C14</f>
        <v>17176.145999999993</v>
      </c>
      <c r="T46" s="7">
        <f>+F14</f>
        <v>28395.271000000008</v>
      </c>
      <c r="U46" s="7">
        <f>+J14</f>
        <v>161671.95081119076</v>
      </c>
      <c r="V46" s="19">
        <f>+ABS(U46/T46*100)</f>
        <v>569.3622392657944</v>
      </c>
      <c r="W46" s="16"/>
      <c r="X46" s="3"/>
      <c r="Y46" s="16"/>
      <c r="Z46" t="str">
        <f t="shared" si="6"/>
        <v>CPdn</v>
      </c>
      <c r="AA46" s="38"/>
      <c r="AB46" s="33"/>
      <c r="AC46" s="40"/>
      <c r="AD46" s="40">
        <f>+U46/1000000</f>
        <v>0.16167195081119076</v>
      </c>
      <c r="AE46" s="35">
        <f>+V46</f>
        <v>569.3622392657944</v>
      </c>
      <c r="AF46" s="19"/>
      <c r="AG46" s="19"/>
      <c r="AI46" s="38"/>
      <c r="AK46" s="15" t="s">
        <v>171</v>
      </c>
      <c r="AL46" s="21">
        <f>+AA50</f>
        <v>0</v>
      </c>
      <c r="AM46" s="81">
        <f>+AB50</f>
        <v>107.6102588622108</v>
      </c>
      <c r="AN46" s="79">
        <f>+AC50</f>
        <v>2.624640460053922</v>
      </c>
      <c r="AO46" s="79">
        <f>+AD50</f>
        <v>0</v>
      </c>
      <c r="AP46" s="84">
        <f>+AO46/AM46*100</f>
        <v>0</v>
      </c>
      <c r="AV46" s="19"/>
    </row>
    <row r="47" spans="14:42" ht="12.75">
      <c r="N47" s="16"/>
      <c r="O47" s="16"/>
      <c r="P47" s="32"/>
      <c r="R47" t="str">
        <f>+AA19</f>
        <v>CPdn_near</v>
      </c>
      <c r="S47" s="3">
        <f>+AC19</f>
        <v>9269687.50000001</v>
      </c>
      <c r="T47" s="3">
        <f>+AB19</f>
        <v>-6159237.24164885</v>
      </c>
      <c r="U47" s="3">
        <f>+AE19</f>
        <v>6555026.336339864</v>
      </c>
      <c r="V47" s="24">
        <f>+ABS(U47/T47*100)</f>
        <v>106.42594332971431</v>
      </c>
      <c r="W47" s="16"/>
      <c r="X47" s="3"/>
      <c r="Y47" s="16"/>
      <c r="Z47" t="str">
        <f t="shared" si="6"/>
        <v>CPdn_near</v>
      </c>
      <c r="AA47" s="38">
        <f>+S47/1000000</f>
        <v>9.269687500000009</v>
      </c>
      <c r="AB47" s="33">
        <f>+T47/1000000</f>
        <v>-6.15923724164885</v>
      </c>
      <c r="AC47" s="40">
        <f>+AB47/AB$25</f>
        <v>-0.15022529857680123</v>
      </c>
      <c r="AD47" s="35">
        <f>+U47/1000000</f>
        <v>6.555026336339864</v>
      </c>
      <c r="AE47" s="35">
        <f>+V47</f>
        <v>106.42594332971431</v>
      </c>
      <c r="AF47" s="19">
        <f>+'sum 1958-2000'!AA43</f>
        <v>0.33720149078930295</v>
      </c>
      <c r="AG47" s="19">
        <f t="shared" si="14"/>
        <v>105.4747280801126</v>
      </c>
      <c r="AI47" s="38"/>
      <c r="AK47" t="s">
        <v>51</v>
      </c>
      <c r="AM47" s="6"/>
      <c r="AP47" s="86"/>
    </row>
    <row r="48" spans="14:39" ht="12.75">
      <c r="N48" s="16"/>
      <c r="O48" s="16"/>
      <c r="P48" s="16"/>
      <c r="R48" s="91" t="s">
        <v>70</v>
      </c>
      <c r="S48" s="20"/>
      <c r="T48" s="89">
        <f>+F8</f>
        <v>20302535.05840182</v>
      </c>
      <c r="U48" s="89"/>
      <c r="V48" s="21"/>
      <c r="W48" s="16"/>
      <c r="Z48" s="15" t="str">
        <f t="shared" si="6"/>
        <v>CPc</v>
      </c>
      <c r="AA48" s="39"/>
      <c r="AB48" s="34">
        <f>+T48/1000000</f>
        <v>20.30253505840182</v>
      </c>
      <c r="AC48" s="39">
        <f>+AB48/AB$25</f>
        <v>0.4951837819122395</v>
      </c>
      <c r="AD48" s="34"/>
      <c r="AE48" s="34"/>
      <c r="AF48" s="21">
        <f>+'sum 1958-2000'!AA44</f>
        <v>50.476595951927706</v>
      </c>
      <c r="AG48" s="21">
        <f t="shared" si="14"/>
        <v>-148.62213416564904</v>
      </c>
      <c r="AM48" s="6"/>
    </row>
    <row r="49" spans="18:39" ht="12.75">
      <c r="R49" t="s">
        <v>51</v>
      </c>
      <c r="S49" s="3"/>
      <c r="T49" s="3">
        <f>SUM(T46:T48)</f>
        <v>14171693.087752968</v>
      </c>
      <c r="V49" s="19"/>
      <c r="W49" s="16"/>
      <c r="X49" s="19"/>
      <c r="Z49" t="str">
        <f t="shared" si="6"/>
        <v>sum</v>
      </c>
      <c r="AA49" s="38"/>
      <c r="AB49" s="33">
        <f>SUM(AB46:AB48)</f>
        <v>14.14329781675297</v>
      </c>
      <c r="AC49" s="40">
        <f>+AB49/AB$25</f>
        <v>0.34495848333543827</v>
      </c>
      <c r="AD49" s="35"/>
      <c r="AE49" s="35"/>
      <c r="AF49" s="19">
        <f>+'sum 1958-2000'!AA46</f>
        <v>20.57400590816191</v>
      </c>
      <c r="AG49" s="19"/>
      <c r="AI49" s="44" t="e">
        <f>+AB49/AA49/AB$25</f>
        <v>#DIV/0!</v>
      </c>
      <c r="AK49" t="s">
        <v>51</v>
      </c>
      <c r="AM49" s="80">
        <f>SUM(AM27:AM32,AM35:AM36,AM40:AM41,AM45:AM46)</f>
        <v>76.01973752075816</v>
      </c>
    </row>
    <row r="50" spans="18:35" ht="12.75">
      <c r="R50" t="s">
        <v>103</v>
      </c>
      <c r="S50" s="3"/>
      <c r="T50" s="3">
        <f>+T49+T44</f>
        <v>107638654.13321078</v>
      </c>
      <c r="V50" s="19"/>
      <c r="W50" s="24"/>
      <c r="X50" s="24"/>
      <c r="Z50" t="str">
        <f t="shared" si="6"/>
        <v>subtotal</v>
      </c>
      <c r="AA50" s="38"/>
      <c r="AB50" s="33">
        <f>+AB49+AB44</f>
        <v>107.6102588622108</v>
      </c>
      <c r="AC50" s="40">
        <f>+AB50/AB$25</f>
        <v>2.624640460053922</v>
      </c>
      <c r="AD50" s="35"/>
      <c r="AE50" s="35"/>
      <c r="AF50" s="19">
        <f>+'sum 1958-2000'!AA47</f>
        <v>252.4351899687185</v>
      </c>
      <c r="AG50" s="19"/>
      <c r="AI50" s="45" t="e">
        <f>+AB50/AA50/AB$25</f>
        <v>#DIV/0!</v>
      </c>
    </row>
    <row r="51" spans="23:35" ht="12.75">
      <c r="W51" s="32"/>
      <c r="X51" s="32"/>
      <c r="AA51" s="38"/>
      <c r="AB51" s="33"/>
      <c r="AC51" s="40"/>
      <c r="AD51" s="35"/>
      <c r="AE51" s="35"/>
      <c r="AF51" s="19"/>
      <c r="AG51" s="19"/>
      <c r="AI51" s="38"/>
    </row>
    <row r="52" spans="18:50" ht="12.75">
      <c r="R52" s="6" t="str">
        <f>+AA2</f>
        <v>CPdn_off</v>
      </c>
      <c r="S52" s="3">
        <f>+AC2</f>
        <v>41350000</v>
      </c>
      <c r="T52" s="3">
        <f>+AB2</f>
        <v>-49049861.1324511</v>
      </c>
      <c r="U52" s="7">
        <f>+AE2</f>
        <v>29238865.40206374</v>
      </c>
      <c r="V52" s="19">
        <f>+ABS(U52/T52*100)</f>
        <v>59.61049578327853</v>
      </c>
      <c r="W52" s="32"/>
      <c r="X52" s="3"/>
      <c r="Y52" s="16"/>
      <c r="Z52" t="str">
        <f t="shared" si="6"/>
        <v>CPdn_off</v>
      </c>
      <c r="AA52" s="38">
        <f>+S52/1000000</f>
        <v>41.35</v>
      </c>
      <c r="AB52" s="33">
        <f>+T52/1000000</f>
        <v>-49.0498611324511</v>
      </c>
      <c r="AC52" s="40">
        <f>+AB52/AB$25</f>
        <v>-1.1963380764012463</v>
      </c>
      <c r="AD52" s="35">
        <f>+U52/1000000</f>
        <v>29.238865402063738</v>
      </c>
      <c r="AE52" s="35">
        <f>+V52</f>
        <v>59.61049578327853</v>
      </c>
      <c r="AF52" s="19">
        <f>+'sum 1958-2000'!AA45</f>
        <v>-30.2681868055551</v>
      </c>
      <c r="AG52" s="19">
        <f t="shared" si="14"/>
        <v>38.29098369143018</v>
      </c>
      <c r="AI52" s="38"/>
      <c r="AV52" t="s">
        <v>86</v>
      </c>
      <c r="AW52" t="s">
        <v>87</v>
      </c>
      <c r="AX52" t="s">
        <v>88</v>
      </c>
    </row>
    <row r="53" spans="18:50" ht="12.75">
      <c r="R53" s="54" t="str">
        <f>+AA3</f>
        <v>CP_off</v>
      </c>
      <c r="S53" s="20">
        <f>+AC3</f>
        <v>130432187.5</v>
      </c>
      <c r="T53" s="20">
        <f>+AB3</f>
        <v>-83114947.6742543</v>
      </c>
      <c r="U53" s="59">
        <f>+AE3</f>
        <v>92229484.26624525</v>
      </c>
      <c r="V53" s="21">
        <f>+ABS(U53/T53*100)</f>
        <v>110.96618219350003</v>
      </c>
      <c r="W53" s="16"/>
      <c r="Z53" s="15" t="str">
        <f t="shared" si="6"/>
        <v>CP_off</v>
      </c>
      <c r="AA53" s="39">
        <f>+S53/1000000</f>
        <v>130.4321875</v>
      </c>
      <c r="AB53" s="34">
        <f>+T53/1000000</f>
        <v>-83.1149476742543</v>
      </c>
      <c r="AC53" s="39">
        <f>+AB53/AB$25</f>
        <v>-2.0271938457135192</v>
      </c>
      <c r="AD53" s="34">
        <f>+U53/1000000</f>
        <v>92.22948426624525</v>
      </c>
      <c r="AE53" s="34">
        <f>+V53</f>
        <v>110.96618219350003</v>
      </c>
      <c r="AF53" s="21">
        <f>+'sum 1958-2000'!AA50</f>
        <v>-25.838772956181803</v>
      </c>
      <c r="AG53" s="21">
        <f t="shared" si="14"/>
        <v>68.91200237838132</v>
      </c>
      <c r="AU53" t="s">
        <v>38</v>
      </c>
      <c r="AV53" s="19">
        <f>SUM(AB37,AB55:AB56,AB40)</f>
        <v>61.36315845956257</v>
      </c>
      <c r="AW53" s="19">
        <f>+AB55+S10/1000000</f>
        <v>17.035951159008842</v>
      </c>
      <c r="AX53" s="19">
        <f>+AV53-AW53</f>
        <v>44.327207300553724</v>
      </c>
    </row>
    <row r="54" spans="18:50" ht="12.75">
      <c r="R54" t="s">
        <v>51</v>
      </c>
      <c r="S54" s="3"/>
      <c r="T54" s="3">
        <f>SUM(T52:T53)</f>
        <v>-132164808.8067054</v>
      </c>
      <c r="U54" s="3"/>
      <c r="V54" s="19"/>
      <c r="W54" s="24"/>
      <c r="X54" s="24"/>
      <c r="Y54" s="16"/>
      <c r="Z54" t="str">
        <f t="shared" si="6"/>
        <v>sum</v>
      </c>
      <c r="AA54" s="38"/>
      <c r="AB54" s="33">
        <f>SUM(AB52:AB53)</f>
        <v>-132.1648088067054</v>
      </c>
      <c r="AC54" s="40">
        <f>+AB54/AB$25</f>
        <v>-3.223531922114766</v>
      </c>
      <c r="AD54" s="35"/>
      <c r="AE54" s="35"/>
      <c r="AF54" s="19">
        <f>+'sum 1958-2000'!AA51</f>
        <v>-30.97137270320109</v>
      </c>
      <c r="AG54" s="19"/>
      <c r="AI54" s="44" t="e">
        <f>+AB54/AA54/AB$25</f>
        <v>#DIV/0!</v>
      </c>
      <c r="AU54" t="s">
        <v>37</v>
      </c>
      <c r="AV54" s="19">
        <f>+AX53</f>
        <v>44.327207300553724</v>
      </c>
      <c r="AW54" s="19">
        <f>+AB56+S9/1000000</f>
        <v>-3.149148070495933</v>
      </c>
      <c r="AX54" s="19">
        <f>+AV54-AW54</f>
        <v>47.47635537104966</v>
      </c>
    </row>
    <row r="55" spans="18:35" ht="12.75">
      <c r="R55" s="15"/>
      <c r="S55" s="20"/>
      <c r="T55" s="20"/>
      <c r="U55" s="15"/>
      <c r="V55" s="21"/>
      <c r="W55" s="24"/>
      <c r="X55" s="19"/>
      <c r="Z55" s="15"/>
      <c r="AA55" s="39"/>
      <c r="AB55" s="34"/>
      <c r="AC55" s="39"/>
      <c r="AD55" s="34"/>
      <c r="AE55" s="34"/>
      <c r="AF55" s="21"/>
      <c r="AG55" s="21"/>
      <c r="AI55" s="44" t="e">
        <f>+AB55/AA55/AB$25</f>
        <v>#DIV/0!</v>
      </c>
    </row>
    <row r="56" spans="18:47" ht="12.75">
      <c r="R56" t="s">
        <v>51</v>
      </c>
      <c r="S56" s="3"/>
      <c r="T56" s="3">
        <f>+T54+T50</f>
        <v>-24526154.673494622</v>
      </c>
      <c r="V56" s="19"/>
      <c r="W56" s="32"/>
      <c r="X56" s="24"/>
      <c r="Z56" t="str">
        <f t="shared" si="6"/>
        <v>sum</v>
      </c>
      <c r="AA56" s="38"/>
      <c r="AB56" s="33">
        <f>+AB54+AB50</f>
        <v>-24.554549944494596</v>
      </c>
      <c r="AC56" s="40">
        <f>+AB56/AB$25</f>
        <v>-0.5988914620608438</v>
      </c>
      <c r="AD56" s="35"/>
      <c r="AE56" s="35"/>
      <c r="AF56" s="19">
        <f>+'sum 1958-2000'!AA53</f>
        <v>221.4638172655174</v>
      </c>
      <c r="AG56" s="19">
        <f t="shared" si="14"/>
        <v>1001.9257846962578</v>
      </c>
      <c r="AI56" s="45" t="e">
        <f>+AB56/AA56/AB$25</f>
        <v>#DIV/0!</v>
      </c>
      <c r="AJ56" s="19"/>
      <c r="AU56" s="19">
        <f>SUM(AB28:AB34,AB27)</f>
        <v>-11.507912478201394</v>
      </c>
    </row>
    <row r="57" spans="20:47" ht="12.75">
      <c r="T57" s="3"/>
      <c r="W57" s="32"/>
      <c r="X57" s="3"/>
      <c r="AA57" s="38"/>
      <c r="AB57" s="33"/>
      <c r="AC57" s="40"/>
      <c r="AD57" s="35"/>
      <c r="AE57" s="35"/>
      <c r="AF57" s="19"/>
      <c r="AG57" s="19"/>
      <c r="AI57" s="38"/>
      <c r="AJ57" s="19"/>
      <c r="AU57" s="10"/>
    </row>
    <row r="58" spans="23:35" ht="12.75">
      <c r="W58" s="16"/>
      <c r="X58" s="32"/>
      <c r="Y58" s="16"/>
      <c r="Z58" t="str">
        <f>+R59</f>
        <v>CPc5_near</v>
      </c>
      <c r="AA58" s="38">
        <f aca="true" t="shared" si="18" ref="AA58:AB60">+S59/1000000</f>
        <v>12.589375</v>
      </c>
      <c r="AB58" s="33">
        <f t="shared" si="18"/>
        <v>-5.666434625932061</v>
      </c>
      <c r="AC58" s="40">
        <f>+AB58/AB$25</f>
        <v>-0.1382057225837088</v>
      </c>
      <c r="AD58" s="35">
        <f>+U59/1000000</f>
        <v>8.902146531554623</v>
      </c>
      <c r="AE58" s="35">
        <f>+V59</f>
        <v>157.1031366145926</v>
      </c>
      <c r="AF58" s="19">
        <f>+'sum 1958-2000'!AA57</f>
        <v>2.51664654835955</v>
      </c>
      <c r="AG58" s="19">
        <f>+(AB58-AF58)/AB58*100</f>
        <v>144.41322832601446</v>
      </c>
      <c r="AI58" s="39"/>
    </row>
    <row r="59" spans="18:50" ht="12.75">
      <c r="R59" t="str">
        <f>+AA20</f>
        <v>CPc5_near</v>
      </c>
      <c r="S59" s="3">
        <f>+AC20</f>
        <v>12589375</v>
      </c>
      <c r="T59" s="3">
        <f>+AB20</f>
        <v>-5666434.62593206</v>
      </c>
      <c r="U59" s="3">
        <f>+AE20</f>
        <v>8902146.531554623</v>
      </c>
      <c r="V59" s="24">
        <f>+ABS(U59/T59*100)</f>
        <v>157.1031366145926</v>
      </c>
      <c r="W59" s="24"/>
      <c r="X59" s="32"/>
      <c r="Y59" s="16"/>
      <c r="Z59" t="str">
        <f>+R60</f>
        <v>CPc4_near</v>
      </c>
      <c r="AA59" s="38">
        <f t="shared" si="18"/>
        <v>11.9303125</v>
      </c>
      <c r="AB59" s="33">
        <f t="shared" si="18"/>
        <v>-5.53966672464379</v>
      </c>
      <c r="AC59" s="40">
        <f>+AB59/AB$25</f>
        <v>-0.13511382255228754</v>
      </c>
      <c r="AD59" s="35">
        <f>+U60/1000000</f>
        <v>8.436137843510569</v>
      </c>
      <c r="AE59" s="35">
        <f>+V60</f>
        <v>152.2860176042996</v>
      </c>
      <c r="AF59" s="19">
        <f>+'sum 1958-2000'!AA58</f>
        <v>5.18383682397866</v>
      </c>
      <c r="AG59" s="19">
        <f>+(AB59-AF59)/AB59*100</f>
        <v>193.57669119186932</v>
      </c>
      <c r="AI59" s="38"/>
      <c r="AM59" s="19"/>
      <c r="AU59" s="19" t="str">
        <f>+Z27</f>
        <v>LBds</v>
      </c>
      <c r="AV59" s="19">
        <f>+AB27</f>
        <v>-7.478637649239576</v>
      </c>
      <c r="AW59" s="19">
        <f aca="true" t="shared" si="19" ref="AW59:AW64">+AV59/$AY$62</f>
        <v>-9.781688744950833</v>
      </c>
      <c r="AX59" s="19"/>
    </row>
    <row r="60" spans="18:49" ht="12.75">
      <c r="R60" t="str">
        <f>+AA21</f>
        <v>CPc4_near</v>
      </c>
      <c r="S60" s="3">
        <f>+AC21</f>
        <v>11930312.5</v>
      </c>
      <c r="T60" s="3">
        <f>+AB21</f>
        <v>-5539666.72464379</v>
      </c>
      <c r="U60" s="3">
        <f>+AE21</f>
        <v>8436137.843510568</v>
      </c>
      <c r="V60" s="24">
        <f>+ABS(U60/T60*100)</f>
        <v>152.2860176042996</v>
      </c>
      <c r="W60" s="24"/>
      <c r="Z60" t="str">
        <f>+R61</f>
        <v>CPc3_near</v>
      </c>
      <c r="AA60" s="38">
        <f t="shared" si="18"/>
        <v>13.313125</v>
      </c>
      <c r="AB60" s="33">
        <f t="shared" si="18"/>
        <v>9.121167590378379</v>
      </c>
      <c r="AC60" s="40">
        <f>+AB60/AB$25</f>
        <v>0.22246750220435071</v>
      </c>
      <c r="AD60" s="35">
        <f>+U61/1000000</f>
        <v>9.414152228121196</v>
      </c>
      <c r="AE60" s="35">
        <f>+V61</f>
        <v>103.21213961743096</v>
      </c>
      <c r="AF60" s="19">
        <f>+'sum 1958-2000'!AA59</f>
        <v>13.554142326328</v>
      </c>
      <c r="AG60" s="19">
        <f>+(AB60-AF60)/AB60*100</f>
        <v>-48.60095697206376</v>
      </c>
      <c r="AH60" s="19"/>
      <c r="AU60" t="str">
        <f>+Z28</f>
        <v>inlet</v>
      </c>
      <c r="AV60" s="19">
        <f>+AB28</f>
        <v>-40.5660933333333</v>
      </c>
      <c r="AW60" s="19">
        <f t="shared" si="19"/>
        <v>-53.05844689849872</v>
      </c>
    </row>
    <row r="61" spans="18:50" ht="12.75">
      <c r="R61" t="str">
        <f>+AA5</f>
        <v>CPc3_near</v>
      </c>
      <c r="S61" s="3">
        <f>+AC5</f>
        <v>13313125</v>
      </c>
      <c r="T61" s="3">
        <f>+AB5</f>
        <v>9121167.59037838</v>
      </c>
      <c r="U61" s="3">
        <f>+AE5</f>
        <v>9414152.228121197</v>
      </c>
      <c r="V61" s="24">
        <f>+ABS(U61/T61*100)</f>
        <v>103.21213961743096</v>
      </c>
      <c r="W61" s="24"/>
      <c r="AC61" s="16"/>
      <c r="AG61" s="19"/>
      <c r="AU61" t="str">
        <f>+Z29</f>
        <v>innerdelta</v>
      </c>
      <c r="AV61" s="19">
        <f>+AB29</f>
        <v>-62.8795806220513</v>
      </c>
      <c r="AW61" s="19">
        <f t="shared" si="19"/>
        <v>-82.24338641684125</v>
      </c>
      <c r="AX61" s="19"/>
    </row>
    <row r="62" spans="23:51" ht="12.75">
      <c r="W62" s="32"/>
      <c r="AA62" s="19"/>
      <c r="AB62" s="19"/>
      <c r="AC62" s="16"/>
      <c r="AG62" s="19"/>
      <c r="AV62" s="19">
        <f>SUM(AV59:AV61)</f>
        <v>-110.92431160462417</v>
      </c>
      <c r="AW62" s="19">
        <f t="shared" si="19"/>
        <v>-145.0835220602908</v>
      </c>
      <c r="AY62">
        <f>0.9144^3</f>
        <v>0.764554857984</v>
      </c>
    </row>
    <row r="63" spans="18:50" ht="12.75">
      <c r="R63" s="15" t="s">
        <v>81</v>
      </c>
      <c r="S63" s="20"/>
      <c r="T63" s="20">
        <f>+J29</f>
        <v>40000000</v>
      </c>
      <c r="U63" s="20">
        <f>+K29</f>
        <v>16000000</v>
      </c>
      <c r="V63" s="21">
        <f>+ABS(U63/T63*100)</f>
        <v>40</v>
      </c>
      <c r="W63" s="32"/>
      <c r="AC63" s="16"/>
      <c r="AU63" t="str">
        <f>+Z50</f>
        <v>subtotal</v>
      </c>
      <c r="AV63" s="19">
        <f>+AB50</f>
        <v>107.6102588622108</v>
      </c>
      <c r="AW63" s="19">
        <f t="shared" si="19"/>
        <v>140.74890472341067</v>
      </c>
      <c r="AX63" s="19"/>
    </row>
    <row r="64" spans="18:49" ht="12.75">
      <c r="R64" t="s">
        <v>103</v>
      </c>
      <c r="S64" s="3"/>
      <c r="T64" s="3"/>
      <c r="V64" s="19"/>
      <c r="W64" s="32"/>
      <c r="AC64" s="16"/>
      <c r="AV64" s="19">
        <f>SUM(AV59:AV63)</f>
        <v>-114.23836434703753</v>
      </c>
      <c r="AW64" s="19">
        <f t="shared" si="19"/>
        <v>-149.41813939717093</v>
      </c>
    </row>
    <row r="65" spans="48:49" ht="12.75">
      <c r="AV65" s="19"/>
      <c r="AW65" s="19"/>
    </row>
    <row r="66" ht="12.75">
      <c r="AV66" s="19"/>
    </row>
    <row r="67" spans="47:48" ht="12.75">
      <c r="AU67" s="19">
        <f>SUM(AB27:AB29)</f>
        <v>-110.92431160462417</v>
      </c>
      <c r="AV67" s="19"/>
    </row>
    <row r="68" spans="47:48" ht="12.75">
      <c r="AU68" s="19">
        <f>SUM(AB30:AB34)</f>
        <v>99.41639912642277</v>
      </c>
      <c r="AV68" s="19"/>
    </row>
    <row r="69" spans="47:49" ht="12.75">
      <c r="AU69" s="19">
        <f>SUM(AB55:AB56)</f>
        <v>-24.554549944494596</v>
      </c>
      <c r="AV69" s="19"/>
      <c r="AW69" s="19"/>
    </row>
    <row r="70" ht="12.75">
      <c r="AU70" s="19">
        <f>SUM(AB27:AB34,AB37,AB40,AB45,AB55,AB56)</f>
        <v>49.85524598136118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="75" zoomScaleNormal="75" workbookViewId="0" topLeftCell="F21">
      <selection activeCell="M52" sqref="M52"/>
    </sheetView>
  </sheetViews>
  <sheetFormatPr defaultColWidth="9.140625" defaultRowHeight="12.75"/>
  <cols>
    <col min="2" max="2" width="10.28125" style="0" customWidth="1"/>
    <col min="3" max="3" width="11.7109375" style="0" bestFit="1" customWidth="1"/>
    <col min="4" max="4" width="11.140625" style="0" bestFit="1" customWidth="1"/>
    <col min="5" max="5" width="10.140625" style="0" bestFit="1" customWidth="1"/>
    <col min="6" max="6" width="11.140625" style="0" bestFit="1" customWidth="1"/>
    <col min="7" max="9" width="11.7109375" style="0" bestFit="1" customWidth="1"/>
    <col min="14" max="14" width="13.8515625" style="0" customWidth="1"/>
    <col min="18" max="18" width="12.7109375" style="0" customWidth="1"/>
    <col min="19" max="19" width="12.00390625" style="0" customWidth="1"/>
    <col min="20" max="20" width="11.57421875" style="0" customWidth="1"/>
    <col min="21" max="22" width="11.28125" style="0" customWidth="1"/>
    <col min="23" max="23" width="11.8515625" style="0" customWidth="1"/>
  </cols>
  <sheetData>
    <row r="1" spans="3:9" ht="12.7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</row>
    <row r="2" spans="2:9" ht="12.75">
      <c r="B2" t="s">
        <v>129</v>
      </c>
      <c r="C2" s="3">
        <v>-63602681.8812709</v>
      </c>
      <c r="D2" s="3">
        <v>40996250</v>
      </c>
      <c r="E2" s="3">
        <v>1231845.09817075</v>
      </c>
      <c r="F2" s="3">
        <v>64840427.2598536</v>
      </c>
      <c r="G2" s="3">
        <v>-63608582.1616828</v>
      </c>
      <c r="H2" s="3">
        <v>-63581946.1855872</v>
      </c>
      <c r="I2" s="3">
        <v>-63617517.2965427</v>
      </c>
    </row>
    <row r="3" spans="2:9" ht="12.75">
      <c r="B3" t="s">
        <v>130</v>
      </c>
      <c r="C3" s="3">
        <v>-28764482.7546394</v>
      </c>
      <c r="D3" s="3">
        <v>33562500.0000001</v>
      </c>
      <c r="E3" s="3">
        <v>2545045.03886763</v>
      </c>
      <c r="F3" s="3">
        <v>31312138.983228</v>
      </c>
      <c r="G3" s="3">
        <v>-28767093.9443602</v>
      </c>
      <c r="H3" s="3">
        <v>-28770039.3541382</v>
      </c>
      <c r="I3" s="3">
        <v>-28756314.9654198</v>
      </c>
    </row>
    <row r="4" spans="2:9" ht="12.75">
      <c r="B4" t="s">
        <v>131</v>
      </c>
      <c r="C4" s="3">
        <v>4503655.78372182</v>
      </c>
      <c r="D4" s="3">
        <v>13098750</v>
      </c>
      <c r="E4" s="3">
        <v>6034920.44723105</v>
      </c>
      <c r="F4" s="3">
        <v>1533687.67963638</v>
      </c>
      <c r="G4" s="3">
        <v>4501232.76759468</v>
      </c>
      <c r="H4" s="3">
        <v>4506386.15130762</v>
      </c>
      <c r="I4" s="3">
        <v>4503348.43226317</v>
      </c>
    </row>
    <row r="5" spans="2:9" ht="12.75">
      <c r="B5" t="s">
        <v>74</v>
      </c>
      <c r="C5" s="3">
        <v>-129032493.64726</v>
      </c>
      <c r="D5" s="3">
        <v>129752500</v>
      </c>
      <c r="E5" s="3">
        <v>333547.657575377</v>
      </c>
      <c r="F5" s="3">
        <v>129366028.685915</v>
      </c>
      <c r="G5" s="3">
        <v>-129032481.028339</v>
      </c>
      <c r="H5" s="3">
        <v>-129021332.442091</v>
      </c>
      <c r="I5" s="3">
        <v>-129043667.471351</v>
      </c>
    </row>
    <row r="6" spans="2:9" ht="12.75">
      <c r="B6" t="s">
        <v>76</v>
      </c>
      <c r="C6" s="3">
        <v>-77978749.5547368</v>
      </c>
      <c r="D6" s="3">
        <v>43042499.9999999</v>
      </c>
      <c r="E6" s="3">
        <v>1520334.607469</v>
      </c>
      <c r="F6" s="3">
        <v>79497087.8637829</v>
      </c>
      <c r="G6" s="3">
        <v>-77976753.2563145</v>
      </c>
      <c r="H6" s="3">
        <v>-77964249.732638</v>
      </c>
      <c r="I6" s="3">
        <v>-77995245.6752579</v>
      </c>
    </row>
    <row r="7" spans="2:9" ht="12.75">
      <c r="B7" t="s">
        <v>77</v>
      </c>
      <c r="C7" s="3">
        <v>30675976.7735372</v>
      </c>
      <c r="D7" s="3">
        <v>18140000</v>
      </c>
      <c r="E7" s="3">
        <v>30757143.0431333</v>
      </c>
      <c r="F7" s="3">
        <v>84383.2449108911</v>
      </c>
      <c r="G7" s="3">
        <v>30672759.7982223</v>
      </c>
      <c r="H7" s="3">
        <v>30678336.8595276</v>
      </c>
      <c r="I7" s="3">
        <v>30676833.6628618</v>
      </c>
    </row>
    <row r="8" spans="2:9" ht="12.75">
      <c r="B8" t="s">
        <v>132</v>
      </c>
      <c r="C8" s="3">
        <v>2994609.53820822</v>
      </c>
      <c r="D8" s="3">
        <v>23852500</v>
      </c>
      <c r="E8" s="3">
        <v>6272354.76316903</v>
      </c>
      <c r="F8" s="3">
        <v>3275934.33284293</v>
      </c>
      <c r="G8" s="3">
        <v>2996420.4303261</v>
      </c>
      <c r="H8" s="3">
        <v>2993910.31409851</v>
      </c>
      <c r="I8" s="3">
        <v>2993497.87020004</v>
      </c>
    </row>
    <row r="9" spans="2:9" ht="12.75">
      <c r="B9" t="s">
        <v>122</v>
      </c>
      <c r="C9" s="3">
        <v>4447367.4260525</v>
      </c>
      <c r="D9" s="3">
        <v>2913750</v>
      </c>
      <c r="E9" s="3">
        <v>4834461.81296301</v>
      </c>
      <c r="F9" s="3">
        <v>384294.544581192</v>
      </c>
      <c r="G9" s="3">
        <v>4450167.26838183</v>
      </c>
      <c r="H9" s="3">
        <v>4447853.80041553</v>
      </c>
      <c r="I9" s="3">
        <v>4444081.20936013</v>
      </c>
    </row>
    <row r="10" spans="2:9" ht="12.75">
      <c r="B10" t="s">
        <v>123</v>
      </c>
      <c r="C10" s="3">
        <v>38654086.2853122</v>
      </c>
      <c r="D10" s="3">
        <v>9360000</v>
      </c>
      <c r="E10" s="3">
        <v>38716563.7569925</v>
      </c>
      <c r="F10" s="3">
        <v>53118.5996762016</v>
      </c>
      <c r="G10" s="3">
        <v>38663445.1573162</v>
      </c>
      <c r="H10" s="3">
        <v>38644280.5625342</v>
      </c>
      <c r="I10" s="3">
        <v>38654533.1360862</v>
      </c>
    </row>
    <row r="11" spans="2:9" ht="12.75">
      <c r="B11" t="s">
        <v>124</v>
      </c>
      <c r="C11" s="3">
        <v>2149491.42927772</v>
      </c>
      <c r="D11" s="3">
        <v>2261250</v>
      </c>
      <c r="E11" s="3">
        <v>2199197.99235433</v>
      </c>
      <c r="F11" s="3">
        <v>51074.0795896443</v>
      </c>
      <c r="G11" s="3">
        <v>2148123.91276469</v>
      </c>
      <c r="H11" s="3">
        <v>2152459.52625543</v>
      </c>
      <c r="I11" s="3">
        <v>2147890.84881304</v>
      </c>
    </row>
    <row r="12" spans="2:9" ht="12.75">
      <c r="B12" t="s">
        <v>136</v>
      </c>
      <c r="C12" s="3">
        <v>-62125427.4270249</v>
      </c>
      <c r="D12" s="3">
        <v>72031250</v>
      </c>
      <c r="E12" s="3">
        <v>49303.4449468987</v>
      </c>
      <c r="F12" s="3">
        <v>62139803.1543184</v>
      </c>
      <c r="G12" s="3">
        <v>-62090499.7093716</v>
      </c>
      <c r="H12" s="3">
        <v>-62179287.6704648</v>
      </c>
      <c r="I12" s="3">
        <v>-62106494.9012385</v>
      </c>
    </row>
    <row r="13" spans="2:9" ht="12.75">
      <c r="B13" s="6" t="s">
        <v>127</v>
      </c>
      <c r="C13" s="7">
        <v>5277395.96436547</v>
      </c>
      <c r="D13" s="7">
        <v>10216250</v>
      </c>
      <c r="E13" s="7">
        <v>8735614.30606266</v>
      </c>
      <c r="F13" s="7">
        <v>3461518.43522594</v>
      </c>
      <c r="G13" s="7">
        <v>5274095.87083671</v>
      </c>
      <c r="H13" s="7">
        <v>5327268.25169207</v>
      </c>
      <c r="I13" s="7">
        <v>5230823.77056761</v>
      </c>
    </row>
    <row r="14" spans="2:9" ht="12.75">
      <c r="B14" s="6" t="s">
        <v>126</v>
      </c>
      <c r="C14" s="7">
        <v>9342695.37311771</v>
      </c>
      <c r="D14" s="7">
        <v>9735000</v>
      </c>
      <c r="E14" s="7">
        <v>11077482.0216873</v>
      </c>
      <c r="F14" s="7">
        <v>1754872.14046595</v>
      </c>
      <c r="G14" s="7">
        <v>9322609.88122135</v>
      </c>
      <c r="H14" s="7">
        <v>9383543.85699115</v>
      </c>
      <c r="I14" s="7">
        <v>9321932.38114062</v>
      </c>
    </row>
    <row r="15" spans="2:9" ht="12.75">
      <c r="B15" t="s">
        <v>71</v>
      </c>
      <c r="C15" s="3">
        <v>4920744.29454153</v>
      </c>
      <c r="D15" s="3">
        <v>21217500</v>
      </c>
      <c r="E15" s="3">
        <v>7411758.9473205</v>
      </c>
      <c r="F15" s="3">
        <v>2494969.3063274</v>
      </c>
      <c r="G15" s="3">
        <v>4916789.64099309</v>
      </c>
      <c r="H15" s="3">
        <v>4920163.5522972</v>
      </c>
      <c r="I15" s="3">
        <v>4925279.69033431</v>
      </c>
    </row>
    <row r="16" spans="2:9" ht="12.75">
      <c r="B16" t="s">
        <v>72</v>
      </c>
      <c r="C16" s="3">
        <v>1092398.1380419</v>
      </c>
      <c r="D16" s="3">
        <v>14932500</v>
      </c>
      <c r="E16" s="3">
        <v>3199225.45815795</v>
      </c>
      <c r="F16" s="3">
        <v>2107706.33876329</v>
      </c>
      <c r="G16" s="3">
        <v>1091519.11939466</v>
      </c>
      <c r="H16" s="3">
        <v>1091053.34745702</v>
      </c>
      <c r="I16" s="3">
        <v>1094621.94727401</v>
      </c>
    </row>
    <row r="17" spans="3:9" ht="12.75">
      <c r="C17" s="3"/>
      <c r="D17" s="3"/>
      <c r="E17" s="3"/>
      <c r="F17" s="3"/>
      <c r="G17" s="3"/>
      <c r="H17" s="3"/>
      <c r="I17" s="3"/>
    </row>
    <row r="18" spans="2:9" ht="12.75">
      <c r="B18" s="6" t="s">
        <v>38</v>
      </c>
      <c r="C18" s="7">
        <v>517376.520228539</v>
      </c>
      <c r="D18" s="7">
        <v>476562.5</v>
      </c>
      <c r="E18" s="7">
        <v>515979.252866575</v>
      </c>
      <c r="F18" s="7">
        <v>0.000492078462280294</v>
      </c>
      <c r="G18" s="7">
        <v>515979.252374497</v>
      </c>
      <c r="H18" s="7">
        <v>517366.324628687</v>
      </c>
      <c r="I18" s="7">
        <v>518783.983682435</v>
      </c>
    </row>
    <row r="19" spans="2:23" ht="12.75">
      <c r="B19" s="6" t="s">
        <v>37</v>
      </c>
      <c r="C19" s="7">
        <v>1116325.79088466</v>
      </c>
      <c r="D19" s="7">
        <v>778125</v>
      </c>
      <c r="E19" s="7">
        <v>1115954.18507057</v>
      </c>
      <c r="F19" s="7">
        <v>5.09404022153557E-05</v>
      </c>
      <c r="G19" s="7">
        <v>1115954.18501963</v>
      </c>
      <c r="H19" s="7">
        <v>1119804.37873327</v>
      </c>
      <c r="I19" s="7">
        <v>1113218.80890107</v>
      </c>
      <c r="W19" s="3"/>
    </row>
    <row r="20" spans="2:9" ht="12.75">
      <c r="B20" t="s">
        <v>134</v>
      </c>
      <c r="C20" s="3">
        <v>280216.139193995</v>
      </c>
      <c r="D20" s="3">
        <v>389375</v>
      </c>
      <c r="E20" s="3">
        <v>281100.145436427</v>
      </c>
      <c r="F20" s="3">
        <v>0.000417942740287808</v>
      </c>
      <c r="G20" s="3">
        <v>281100.145018484</v>
      </c>
      <c r="H20" s="3">
        <v>277130.782471012</v>
      </c>
      <c r="I20" s="3">
        <v>282417.490092488</v>
      </c>
    </row>
    <row r="21" spans="2:9" ht="12.75">
      <c r="B21" t="s">
        <v>135</v>
      </c>
      <c r="C21" s="3">
        <v>264470.310288309</v>
      </c>
      <c r="D21" s="3">
        <v>341250</v>
      </c>
      <c r="E21" s="3">
        <v>263747.702021343</v>
      </c>
      <c r="F21" s="3">
        <v>1.65291665715444E-05</v>
      </c>
      <c r="G21" s="3">
        <v>263747.702004814</v>
      </c>
      <c r="H21" s="3">
        <v>265412.993128758</v>
      </c>
      <c r="I21" s="3">
        <v>264250.235731354</v>
      </c>
    </row>
    <row r="24" spans="7:8" ht="12.75">
      <c r="G24" s="4" t="s">
        <v>138</v>
      </c>
      <c r="H24" s="4"/>
    </row>
    <row r="25" spans="7:9" ht="12.75">
      <c r="G25" s="4" t="s">
        <v>19</v>
      </c>
      <c r="H25" s="4" t="s">
        <v>139</v>
      </c>
      <c r="I25" t="s">
        <v>140</v>
      </c>
    </row>
    <row r="26" spans="2:10" ht="12.75">
      <c r="B26" s="16"/>
      <c r="C26" s="16"/>
      <c r="D26" s="16"/>
      <c r="E26" s="16"/>
      <c r="F26" s="16" t="s">
        <v>37</v>
      </c>
      <c r="G26" s="7">
        <f>+C19</f>
        <v>1116325.79088466</v>
      </c>
      <c r="H26" s="3">
        <f>+B39-3*A39</f>
        <v>3693375.843836165</v>
      </c>
      <c r="I26" s="3">
        <f>+C14</f>
        <v>9342695.37311771</v>
      </c>
      <c r="J26" s="16"/>
    </row>
    <row r="27" spans="6:9" ht="12.75">
      <c r="F27" t="s">
        <v>38</v>
      </c>
      <c r="G27" s="7">
        <f>+C18</f>
        <v>517376.520228539</v>
      </c>
      <c r="H27" s="3">
        <f>+B40-3*A40</f>
        <v>2652163.050886147</v>
      </c>
      <c r="I27" s="3">
        <f>+C13</f>
        <v>5277395.96436547</v>
      </c>
    </row>
    <row r="28" spans="6:9" ht="12.75">
      <c r="F28" t="s">
        <v>39</v>
      </c>
      <c r="G28" s="7">
        <f>'land volumes'!C33</f>
        <v>-4291599.66680847</v>
      </c>
      <c r="H28" s="3">
        <f>+B41-3*A41</f>
        <v>-3187037.9824311053</v>
      </c>
      <c r="I28" s="3"/>
    </row>
    <row r="29" spans="6:8" ht="12.75">
      <c r="F29" t="s">
        <v>141</v>
      </c>
      <c r="H29" s="14">
        <f>+B41-3*A41</f>
        <v>-3187037.9824311053</v>
      </c>
    </row>
    <row r="30" spans="6:7" ht="12.75">
      <c r="F30" t="s">
        <v>142</v>
      </c>
      <c r="G30" s="2">
        <f>+G28/A41</f>
        <v>4.104336188395731</v>
      </c>
    </row>
    <row r="32" spans="1:17" ht="12.75">
      <c r="A32" s="41" t="s">
        <v>35</v>
      </c>
      <c r="B32" t="s">
        <v>137</v>
      </c>
      <c r="C32" t="s">
        <v>12</v>
      </c>
      <c r="E32" t="s">
        <v>143</v>
      </c>
      <c r="F32" s="17" t="s">
        <v>145</v>
      </c>
      <c r="G32" s="17" t="s">
        <v>146</v>
      </c>
      <c r="H32" s="5" t="s">
        <v>43</v>
      </c>
      <c r="I32" s="5" t="s">
        <v>144</v>
      </c>
      <c r="J32" s="5" t="s">
        <v>143</v>
      </c>
      <c r="L32" s="4" t="s">
        <v>152</v>
      </c>
      <c r="M32" s="17" t="s">
        <v>145</v>
      </c>
      <c r="N32" s="17" t="s">
        <v>146</v>
      </c>
      <c r="O32" s="5" t="s">
        <v>43</v>
      </c>
      <c r="P32" s="5" t="s">
        <v>144</v>
      </c>
      <c r="Q32" s="5" t="s">
        <v>143</v>
      </c>
    </row>
    <row r="33" spans="1:17" ht="12.75">
      <c r="A33" s="65">
        <v>1918922</v>
      </c>
      <c r="B33" s="66">
        <v>7245443.716143523</v>
      </c>
      <c r="C33" s="2">
        <v>3.775788550104446</v>
      </c>
      <c r="D33" s="6" t="s">
        <v>26</v>
      </c>
      <c r="E33">
        <f>+'[1]1974-1995'!Q22</f>
        <v>2.13</v>
      </c>
      <c r="F33" s="3">
        <f aca="true" t="shared" si="0" ref="F33:F38">+B33-A33*3</f>
        <v>1488677.7161435233</v>
      </c>
      <c r="G33" s="3">
        <f aca="true" t="shared" si="1" ref="G33:G38">+A33*(J33+3)</f>
        <v>9844069.86</v>
      </c>
      <c r="H33" s="3">
        <f aca="true" t="shared" si="2" ref="H33:H38">+F33+G33</f>
        <v>11332747.576143522</v>
      </c>
      <c r="I33" s="62">
        <f>+E33+C33</f>
        <v>5.905788550104446</v>
      </c>
      <c r="J33" s="41">
        <f>+E33</f>
        <v>2.13</v>
      </c>
      <c r="M33" s="3">
        <v>1488677.7161435233</v>
      </c>
      <c r="N33" s="3">
        <v>9844069.86</v>
      </c>
      <c r="O33" s="3">
        <v>11332747.576143522</v>
      </c>
      <c r="P33" s="62">
        <v>5.905788550104446</v>
      </c>
      <c r="Q33" s="41">
        <v>2.13</v>
      </c>
    </row>
    <row r="34" spans="1:17" ht="12.75">
      <c r="A34" s="19">
        <v>678031.375</v>
      </c>
      <c r="B34" s="14">
        <v>3319553.5792934205</v>
      </c>
      <c r="C34" s="2">
        <v>4.895870164258137</v>
      </c>
      <c r="D34" s="6" t="s">
        <v>27</v>
      </c>
      <c r="E34">
        <f>+'[1]1974-1995'!Q23</f>
        <v>12</v>
      </c>
      <c r="F34" s="3">
        <f t="shared" si="0"/>
        <v>1285459.4542934205</v>
      </c>
      <c r="G34" s="3">
        <f t="shared" si="1"/>
        <v>5372234.396712337</v>
      </c>
      <c r="H34" s="3">
        <f t="shared" si="2"/>
        <v>6657693.851005757</v>
      </c>
      <c r="I34" s="62">
        <f>+J34+C34</f>
        <v>9.81915306058773</v>
      </c>
      <c r="J34" s="62">
        <f>+J35</f>
        <v>4.923282896329594</v>
      </c>
      <c r="M34" s="3">
        <v>1285459.4542934205</v>
      </c>
      <c r="N34" s="3">
        <v>8866849.73679595</v>
      </c>
      <c r="O34" s="3">
        <v>10152309.191089371</v>
      </c>
      <c r="P34" s="62">
        <v>14.973214463843021</v>
      </c>
      <c r="Q34" s="62">
        <v>10.077344299584883</v>
      </c>
    </row>
    <row r="35" spans="1:17" ht="12.75">
      <c r="A35" s="19">
        <v>538034.938</v>
      </c>
      <c r="B35" s="14">
        <v>3122081.9883473814</v>
      </c>
      <c r="C35" s="2">
        <v>5.802749538817833</v>
      </c>
      <c r="D35" s="6" t="s">
        <v>28</v>
      </c>
      <c r="E35">
        <f>+'[1]1974-1995'!Q24</f>
        <v>12</v>
      </c>
      <c r="F35" s="3">
        <f t="shared" si="0"/>
        <v>1507977.1743473816</v>
      </c>
      <c r="G35" s="3">
        <f t="shared" si="1"/>
        <v>4263003.021883153</v>
      </c>
      <c r="H35" s="3">
        <f t="shared" si="2"/>
        <v>5770980.196230534</v>
      </c>
      <c r="I35" s="62">
        <f>+J35+C35</f>
        <v>10.726032435147427</v>
      </c>
      <c r="J35" s="62">
        <f>+J36</f>
        <v>4.923282896329594</v>
      </c>
      <c r="M35" s="3">
        <v>1507977.1743473816</v>
      </c>
      <c r="N35" s="3">
        <v>7036068.129431806</v>
      </c>
      <c r="O35" s="3">
        <v>8544045.303779187</v>
      </c>
      <c r="P35" s="62">
        <v>15.880093838402717</v>
      </c>
      <c r="Q35" s="62">
        <v>10.077344299584883</v>
      </c>
    </row>
    <row r="36" spans="1:17" ht="12.75">
      <c r="A36" s="19">
        <v>601317.812</v>
      </c>
      <c r="B36" s="14">
        <v>4168921.090344628</v>
      </c>
      <c r="C36" s="2">
        <v>6.932974555466233</v>
      </c>
      <c r="D36" s="6" t="s">
        <v>29</v>
      </c>
      <c r="E36">
        <f>+'[1]1974-1995'!Q25</f>
        <v>12</v>
      </c>
      <c r="F36" s="3">
        <f t="shared" si="0"/>
        <v>2364967.6543446276</v>
      </c>
      <c r="G36" s="3">
        <f t="shared" si="1"/>
        <v>4764411.135077935</v>
      </c>
      <c r="H36" s="3">
        <f t="shared" si="2"/>
        <v>7129378.789422562</v>
      </c>
      <c r="I36" s="62">
        <f>+J36+C36</f>
        <v>11.856257451795827</v>
      </c>
      <c r="J36" s="62">
        <f>+J37</f>
        <v>4.923282896329594</v>
      </c>
      <c r="M36" s="3">
        <v>2364967.6543446276</v>
      </c>
      <c r="N36" s="3">
        <v>7863640.060997055</v>
      </c>
      <c r="O36" s="3">
        <v>10228607.715341683</v>
      </c>
      <c r="P36" s="62">
        <v>17.010318855051118</v>
      </c>
      <c r="Q36" s="62">
        <v>10.077344299584883</v>
      </c>
    </row>
    <row r="37" spans="1:17" ht="12.75">
      <c r="A37" s="19">
        <v>853907.125</v>
      </c>
      <c r="B37" s="14">
        <v>5765887.243675118</v>
      </c>
      <c r="C37" s="2">
        <v>6.752358745894196</v>
      </c>
      <c r="D37" s="6" t="s">
        <v>30</v>
      </c>
      <c r="E37">
        <f>+'[1]1974-1995'!Q26</f>
        <v>12</v>
      </c>
      <c r="F37" s="3">
        <f t="shared" si="0"/>
        <v>3204165.8686751183</v>
      </c>
      <c r="G37" s="3">
        <f t="shared" si="1"/>
        <v>6765747.718566476</v>
      </c>
      <c r="H37" s="3">
        <f t="shared" si="2"/>
        <v>9969913.587241594</v>
      </c>
      <c r="I37" s="62">
        <f>+J37+C37</f>
        <v>11.675641642223791</v>
      </c>
      <c r="J37" s="62">
        <f>+J38</f>
        <v>4.923282896329594</v>
      </c>
      <c r="M37" s="3">
        <v>3204165.8686751183</v>
      </c>
      <c r="N37" s="3">
        <v>11166837.473493665</v>
      </c>
      <c r="O37" s="3">
        <v>14371003.342168784</v>
      </c>
      <c r="P37" s="62">
        <v>16.82970304547908</v>
      </c>
      <c r="Q37" s="62">
        <v>10.077344299584883</v>
      </c>
    </row>
    <row r="38" spans="1:17" ht="12.75">
      <c r="A38" s="19">
        <v>1093324.375</v>
      </c>
      <c r="B38" s="14">
        <v>7661087.654380767</v>
      </c>
      <c r="C38" s="2">
        <v>7.007149780577028</v>
      </c>
      <c r="D38" s="6" t="s">
        <v>31</v>
      </c>
      <c r="E38">
        <f>+'[1]1974-1995'!Q27</f>
        <v>12</v>
      </c>
      <c r="F38" s="3">
        <f t="shared" si="0"/>
        <v>4381114.529380767</v>
      </c>
      <c r="G38" s="3">
        <f t="shared" si="1"/>
        <v>8662718.320577743</v>
      </c>
      <c r="H38" s="3">
        <f t="shared" si="2"/>
        <v>13043832.84995851</v>
      </c>
      <c r="I38" s="62">
        <f>+J38+C38</f>
        <v>11.930432676906623</v>
      </c>
      <c r="J38" s="62">
        <f>+(J39+J40)/2</f>
        <v>4.923282896329594</v>
      </c>
      <c r="M38" s="3">
        <v>4381114.529380767</v>
      </c>
      <c r="N38" s="3">
        <v>14297779.283003455</v>
      </c>
      <c r="O38" s="3">
        <v>18678893.81238422</v>
      </c>
      <c r="P38" s="62">
        <v>17.08449408016191</v>
      </c>
      <c r="Q38" s="62">
        <v>10.077344299584883</v>
      </c>
    </row>
    <row r="39" spans="1:17" ht="12.75">
      <c r="A39" s="19">
        <v>1104107.875</v>
      </c>
      <c r="B39" s="14">
        <v>7005699.468836165</v>
      </c>
      <c r="C39" s="2">
        <v>6.345122272437523</v>
      </c>
      <c r="D39" s="6" t="s">
        <v>32</v>
      </c>
      <c r="E39">
        <f>+'[1]1974-1995'!Q28</f>
        <v>12</v>
      </c>
      <c r="F39" s="25">
        <f>+(C39-3)*A39+G26</f>
        <v>4809701.634720825</v>
      </c>
      <c r="G39" s="25">
        <f>+I26</f>
        <v>9342695.37311771</v>
      </c>
      <c r="H39" s="3">
        <f>+F39+G39</f>
        <v>14152397.007838534</v>
      </c>
      <c r="I39" s="62">
        <f>+H39/A39</f>
        <v>12.817947709899755</v>
      </c>
      <c r="J39" s="2">
        <f>+I39-C39</f>
        <v>6.472825437462232</v>
      </c>
      <c r="M39" s="25">
        <v>4849411.345210165</v>
      </c>
      <c r="N39" s="25">
        <v>14515301.912582</v>
      </c>
      <c r="O39" s="3">
        <v>19364713.257792167</v>
      </c>
      <c r="P39" s="62">
        <v>17.538787374188566</v>
      </c>
      <c r="Q39" s="62">
        <v>11.193665101751042</v>
      </c>
    </row>
    <row r="40" spans="1:17" ht="12.75">
      <c r="A40" s="19">
        <v>909163.562</v>
      </c>
      <c r="B40" s="14">
        <v>5379653.736886147</v>
      </c>
      <c r="C40" s="2">
        <v>5.917146222899491</v>
      </c>
      <c r="D40" s="6" t="s">
        <v>33</v>
      </c>
      <c r="E40">
        <f>+'[1]1974-1995'!Q29</f>
        <v>12</v>
      </c>
      <c r="F40" s="25">
        <f>+(C40-3)*A40+G27</f>
        <v>3169539.5711146863</v>
      </c>
      <c r="G40" s="25">
        <f>+I27</f>
        <v>5277395.96436547</v>
      </c>
      <c r="H40" s="3">
        <f>+F40+G40</f>
        <v>8446935.535480157</v>
      </c>
      <c r="I40" s="62">
        <f>+H40/A40</f>
        <v>9.290886578096446</v>
      </c>
      <c r="J40" s="2">
        <f>+I40-C40</f>
        <v>3.373740355196955</v>
      </c>
      <c r="M40" s="25">
        <v>3170844.0762387523</v>
      </c>
      <c r="N40" s="25">
        <v>10355845.7027263</v>
      </c>
      <c r="O40" s="3">
        <v>13526689.778965052</v>
      </c>
      <c r="P40" s="62">
        <v>14.878169720318214</v>
      </c>
      <c r="Q40" s="62">
        <v>8.961023497418722</v>
      </c>
    </row>
    <row r="41" spans="1:15" ht="12.75">
      <c r="A41">
        <v>-1045625.765</v>
      </c>
      <c r="B41" s="3">
        <v>-6323915.277431105</v>
      </c>
      <c r="C41" s="2">
        <v>6.047971931364091</v>
      </c>
      <c r="D41" s="6" t="s">
        <v>34</v>
      </c>
      <c r="E41" s="67">
        <f>+'[1]1974-1995'!Q30</f>
        <v>-1.4512124638858621</v>
      </c>
      <c r="F41" s="25">
        <f>+(C41-3)*A41+G28</f>
        <v>-7478637.6492395755</v>
      </c>
      <c r="G41" t="s">
        <v>147</v>
      </c>
      <c r="H41" s="3">
        <f>+F41</f>
        <v>-7478637.6492395755</v>
      </c>
      <c r="M41" s="25">
        <v>-7117447.241683096</v>
      </c>
      <c r="N41" t="s">
        <v>147</v>
      </c>
      <c r="O41" s="3">
        <v>-7117447.241683096</v>
      </c>
    </row>
    <row r="42" spans="7:15" ht="12.75">
      <c r="G42" s="6" t="s">
        <v>148</v>
      </c>
      <c r="H42" s="7">
        <f>SUM(H33:H41)</f>
        <v>69025241.7440816</v>
      </c>
      <c r="N42" s="6" t="s">
        <v>148</v>
      </c>
      <c r="O42" s="7">
        <v>99081562.7359809</v>
      </c>
    </row>
    <row r="43" spans="1:16" ht="12.75">
      <c r="A43" s="3">
        <f>SUM(A33:A40)</f>
        <v>7696809.062</v>
      </c>
      <c r="G43" s="6" t="s">
        <v>149</v>
      </c>
      <c r="H43" s="7">
        <f>SUM(H33:H40)</f>
        <v>76503879.39332117</v>
      </c>
      <c r="I43" s="62">
        <f>+H43/A43</f>
        <v>9.939687833888112</v>
      </c>
      <c r="N43" s="6" t="s">
        <v>149</v>
      </c>
      <c r="O43" s="7">
        <v>106199009.977664</v>
      </c>
      <c r="P43" s="62">
        <f>+O43/A43</f>
        <v>13.797797128940132</v>
      </c>
    </row>
    <row r="44" spans="6:15" ht="12.75">
      <c r="F44" s="68" t="s">
        <v>150</v>
      </c>
      <c r="G44" s="68"/>
      <c r="H44" s="69">
        <f>SUM(H34:H40)</f>
        <v>65171131.817177646</v>
      </c>
      <c r="M44" s="68" t="s">
        <v>150</v>
      </c>
      <c r="N44" s="68"/>
      <c r="O44" s="69">
        <v>94866262.40152046</v>
      </c>
    </row>
    <row r="46" ht="13.5" thickBot="1"/>
    <row r="47" spans="14:15" ht="13.5" thickBot="1">
      <c r="N47" s="70" t="s">
        <v>151</v>
      </c>
      <c r="O47" s="71">
        <f>+(O43-H43)/O43*100</f>
        <v>27.96177722427767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22">
      <selection activeCell="D43" sqref="D43"/>
    </sheetView>
  </sheetViews>
  <sheetFormatPr defaultColWidth="9.140625" defaultRowHeight="12.75"/>
  <cols>
    <col min="3" max="3" width="10.421875" style="0" customWidth="1"/>
    <col min="4" max="4" width="10.28125" style="0" customWidth="1"/>
    <col min="5" max="5" width="9.8515625" style="0" customWidth="1"/>
    <col min="7" max="7" width="10.421875" style="0" customWidth="1"/>
    <col min="8" max="8" width="10.7109375" style="0" customWidth="1"/>
    <col min="9" max="9" width="10.421875" style="0" customWidth="1"/>
    <col min="15" max="15" width="11.00390625" style="0" customWidth="1"/>
  </cols>
  <sheetData>
    <row r="1" spans="3:9" ht="12.7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</row>
    <row r="2" spans="2:9" ht="12.75">
      <c r="B2" t="s">
        <v>129</v>
      </c>
      <c r="C2" s="3">
        <v>-21961814.5001329</v>
      </c>
      <c r="D2" s="3">
        <v>40996249.9999999</v>
      </c>
      <c r="E2" s="3">
        <v>2495932.14254428</v>
      </c>
      <c r="F2" s="3">
        <v>24462132.5781683</v>
      </c>
      <c r="G2" s="3">
        <v>-21966200.435624</v>
      </c>
      <c r="H2" s="3">
        <v>-21949829.097742</v>
      </c>
      <c r="I2" s="3">
        <v>-21969413.9670325</v>
      </c>
    </row>
    <row r="3" spans="2:9" ht="12.75">
      <c r="B3" t="s">
        <v>130</v>
      </c>
      <c r="C3" s="3">
        <v>3907128.23955969</v>
      </c>
      <c r="D3" s="3">
        <v>33562500</v>
      </c>
      <c r="E3" s="3">
        <v>12357035.996383</v>
      </c>
      <c r="F3" s="3">
        <v>8436559.90444</v>
      </c>
      <c r="G3" s="3">
        <v>3920476.09194306</v>
      </c>
      <c r="H3" s="3">
        <v>3893065.21047097</v>
      </c>
      <c r="I3" s="3">
        <v>3907843.41626505</v>
      </c>
    </row>
    <row r="4" spans="2:9" ht="12.75">
      <c r="B4" t="s">
        <v>131</v>
      </c>
      <c r="C4" s="3">
        <v>17631899.4548422</v>
      </c>
      <c r="D4" s="3">
        <v>13098750</v>
      </c>
      <c r="E4" s="3">
        <v>17648942.7737612</v>
      </c>
      <c r="F4" s="3">
        <v>28589.2559148768</v>
      </c>
      <c r="G4" s="3">
        <v>17620353.5178463</v>
      </c>
      <c r="H4" s="3">
        <v>17640080.5248272</v>
      </c>
      <c r="I4" s="3">
        <v>17635264.3218531</v>
      </c>
    </row>
    <row r="5" spans="2:9" ht="12.75">
      <c r="B5" t="s">
        <v>74</v>
      </c>
      <c r="C5" s="3">
        <v>2097682.8511055</v>
      </c>
      <c r="D5" s="3">
        <v>129752500</v>
      </c>
      <c r="E5" s="3">
        <v>22573219.5432306</v>
      </c>
      <c r="F5" s="3">
        <v>20473200.5786461</v>
      </c>
      <c r="G5" s="3">
        <v>2100018.96458468</v>
      </c>
      <c r="H5" s="3">
        <v>2097556.44232839</v>
      </c>
      <c r="I5" s="3">
        <v>2095473.14640341</v>
      </c>
    </row>
    <row r="6" spans="2:9" ht="12.75">
      <c r="B6" t="s">
        <v>76</v>
      </c>
      <c r="C6" s="3">
        <v>-34659609.4734185</v>
      </c>
      <c r="D6" s="3">
        <v>43042500</v>
      </c>
      <c r="E6" s="3">
        <v>7470207.54760181</v>
      </c>
      <c r="F6" s="3">
        <v>42133560.2992572</v>
      </c>
      <c r="G6" s="3">
        <v>-34663352.7516552</v>
      </c>
      <c r="H6" s="3">
        <v>-34645405.40437</v>
      </c>
      <c r="I6" s="3">
        <v>-34670070.2642302</v>
      </c>
    </row>
    <row r="7" spans="2:9" ht="12.75">
      <c r="B7" t="s">
        <v>77</v>
      </c>
      <c r="C7" s="3">
        <v>49398598.3107986</v>
      </c>
      <c r="D7" s="3">
        <v>18140000</v>
      </c>
      <c r="E7" s="3">
        <v>49390259.8081127</v>
      </c>
      <c r="F7" s="3">
        <v>0</v>
      </c>
      <c r="G7" s="3">
        <v>49390259.8081128</v>
      </c>
      <c r="H7" s="3">
        <v>49401670.2029962</v>
      </c>
      <c r="I7" s="3">
        <v>49403864.9212869</v>
      </c>
    </row>
    <row r="8" spans="2:9" ht="12.75">
      <c r="B8" t="s">
        <v>132</v>
      </c>
      <c r="C8" s="3">
        <v>27589806.2821241</v>
      </c>
      <c r="D8" s="3">
        <v>23852500</v>
      </c>
      <c r="E8" s="3">
        <v>27645803.9549619</v>
      </c>
      <c r="F8" s="3">
        <v>56883.5392959276</v>
      </c>
      <c r="G8" s="3">
        <v>27588920.4156659</v>
      </c>
      <c r="H8" s="3">
        <v>27591688.0757103</v>
      </c>
      <c r="I8" s="3">
        <v>27588810.354996</v>
      </c>
    </row>
    <row r="9" spans="2:9" ht="12.75">
      <c r="B9" t="s">
        <v>122</v>
      </c>
      <c r="C9" s="3">
        <v>7550127.84303344</v>
      </c>
      <c r="D9" s="3">
        <v>2913750</v>
      </c>
      <c r="E9" s="3">
        <v>7577594.8254597</v>
      </c>
      <c r="F9" s="3">
        <v>29927.5567964913</v>
      </c>
      <c r="G9" s="3">
        <v>7547667.26866321</v>
      </c>
      <c r="H9" s="3">
        <v>7557853.80098427</v>
      </c>
      <c r="I9" s="3">
        <v>7544862.45945283</v>
      </c>
    </row>
    <row r="10" spans="2:9" ht="12.75">
      <c r="B10" t="s">
        <v>123</v>
      </c>
      <c r="C10" s="3">
        <v>48336254.9831096</v>
      </c>
      <c r="D10" s="3">
        <v>9360000</v>
      </c>
      <c r="E10" s="3">
        <v>48351902.8287585</v>
      </c>
      <c r="F10" s="3">
        <v>957.665601571838</v>
      </c>
      <c r="G10" s="3">
        <v>48350945.163157</v>
      </c>
      <c r="H10" s="3">
        <v>48313169.4576053</v>
      </c>
      <c r="I10" s="3">
        <v>48344650.3285665</v>
      </c>
    </row>
    <row r="11" spans="2:9" ht="12.75">
      <c r="B11" t="s">
        <v>124</v>
      </c>
      <c r="C11" s="3">
        <v>4598769.4909161</v>
      </c>
      <c r="D11" s="3">
        <v>2261250</v>
      </c>
      <c r="E11" s="3">
        <v>4595623.9075085</v>
      </c>
      <c r="F11" s="3">
        <v>0</v>
      </c>
      <c r="G11" s="3">
        <v>4595623.90750849</v>
      </c>
      <c r="H11" s="3">
        <v>4601348.40935556</v>
      </c>
      <c r="I11" s="3">
        <v>4599336.15588427</v>
      </c>
    </row>
    <row r="12" spans="2:9" ht="12.75">
      <c r="B12" t="s">
        <v>136</v>
      </c>
      <c r="C12" s="3">
        <v>10859303.4804128</v>
      </c>
      <c r="D12" s="3">
        <v>72031250.0000002</v>
      </c>
      <c r="E12" s="3">
        <v>15139041.2999879</v>
      </c>
      <c r="F12" s="3">
        <v>4267041.0056043</v>
      </c>
      <c r="G12" s="3">
        <v>10872000.2943836</v>
      </c>
      <c r="H12" s="3">
        <v>10854045.6683609</v>
      </c>
      <c r="I12" s="3">
        <v>10851864.4784939</v>
      </c>
    </row>
    <row r="13" spans="2:9" ht="12.75">
      <c r="B13" s="6" t="s">
        <v>127</v>
      </c>
      <c r="C13" s="7">
        <v>15487970.9833909</v>
      </c>
      <c r="D13" s="7">
        <v>10216250</v>
      </c>
      <c r="E13" s="7">
        <v>17281580.1611703</v>
      </c>
      <c r="F13" s="7">
        <v>1802521.31017737</v>
      </c>
      <c r="G13" s="7">
        <v>15479058.8509929</v>
      </c>
      <c r="H13" s="7">
        <v>15564098.6937888</v>
      </c>
      <c r="I13" s="7">
        <v>15420755.405391</v>
      </c>
    </row>
    <row r="14" spans="2:9" ht="12.75">
      <c r="B14" s="6" t="s">
        <v>126</v>
      </c>
      <c r="C14" s="7">
        <v>19282674.6073896</v>
      </c>
      <c r="D14" s="7">
        <v>9735000</v>
      </c>
      <c r="E14" s="7">
        <v>20095245.9644821</v>
      </c>
      <c r="F14" s="7">
        <v>842615.540094735</v>
      </c>
      <c r="G14" s="7">
        <v>19252630.4243874</v>
      </c>
      <c r="H14" s="7">
        <v>19346006.1756797</v>
      </c>
      <c r="I14" s="7">
        <v>19249387.2221017</v>
      </c>
    </row>
    <row r="15" spans="2:9" ht="12.75">
      <c r="B15" t="s">
        <v>71</v>
      </c>
      <c r="C15" s="3">
        <v>26669261.3574961</v>
      </c>
      <c r="D15" s="3">
        <v>21217500</v>
      </c>
      <c r="E15" s="3">
        <v>26667418.1601683</v>
      </c>
      <c r="F15" s="3">
        <v>628.527851008956</v>
      </c>
      <c r="G15" s="3">
        <v>26666789.6323174</v>
      </c>
      <c r="H15" s="3">
        <v>26697941.3226296</v>
      </c>
      <c r="I15" s="3">
        <v>26643053.1175413</v>
      </c>
    </row>
    <row r="16" spans="2:9" ht="12.75">
      <c r="B16" t="s">
        <v>72</v>
      </c>
      <c r="C16" s="3">
        <v>16471560.469671</v>
      </c>
      <c r="D16" s="3">
        <v>14932500</v>
      </c>
      <c r="E16" s="3">
        <v>16452182.7348116</v>
      </c>
      <c r="F16" s="3">
        <v>663.610763729185</v>
      </c>
      <c r="G16" s="3">
        <v>16451519.1240479</v>
      </c>
      <c r="H16" s="3">
        <v>16507720.0207172</v>
      </c>
      <c r="I16" s="3">
        <v>16455442.264248</v>
      </c>
    </row>
    <row r="18" spans="2:9" ht="12.75">
      <c r="B18" s="6" t="s">
        <v>38</v>
      </c>
      <c r="C18" s="7">
        <v>679501.853508377</v>
      </c>
      <c r="D18" s="7">
        <v>476562.5</v>
      </c>
      <c r="E18" s="7">
        <v>677685.284105263</v>
      </c>
      <c r="F18" s="7">
        <v>0.00049207846030207</v>
      </c>
      <c r="G18" s="7">
        <v>677685.283613185</v>
      </c>
      <c r="H18" s="7">
        <v>679547.289426034</v>
      </c>
      <c r="I18" s="7">
        <v>681272.987485911</v>
      </c>
    </row>
    <row r="19" spans="2:9" ht="12.75">
      <c r="B19" s="6" t="s">
        <v>37</v>
      </c>
      <c r="C19" s="7">
        <v>1389872.25463371</v>
      </c>
      <c r="D19" s="7">
        <v>778125</v>
      </c>
      <c r="E19" s="7">
        <v>1389545.67428849</v>
      </c>
      <c r="F19" s="7">
        <v>5.09403925157006E-05</v>
      </c>
      <c r="G19" s="7">
        <v>1389545.67423754</v>
      </c>
      <c r="H19" s="7">
        <v>1394186.55652803</v>
      </c>
      <c r="I19" s="7">
        <v>1385884.53313555</v>
      </c>
    </row>
    <row r="20" spans="2:9" ht="12.75">
      <c r="B20" t="s">
        <v>134</v>
      </c>
      <c r="C20" s="3">
        <v>363349.294816881</v>
      </c>
      <c r="D20" s="3">
        <v>389375</v>
      </c>
      <c r="E20" s="3">
        <v>364473.301162328</v>
      </c>
      <c r="F20" s="3">
        <v>0.000417939667387385</v>
      </c>
      <c r="G20" s="3">
        <v>364473.300744388</v>
      </c>
      <c r="H20" s="3">
        <v>359389.837255477</v>
      </c>
      <c r="I20" s="3">
        <v>366184.746450779</v>
      </c>
    </row>
    <row r="21" spans="2:9" ht="12.75">
      <c r="B21" t="s">
        <v>135</v>
      </c>
      <c r="C21" s="3">
        <v>338801.341486932</v>
      </c>
      <c r="D21" s="3">
        <v>341250</v>
      </c>
      <c r="E21" s="3">
        <v>337899.252329112</v>
      </c>
      <c r="F21" s="3">
        <v>1.65291622088175E-05</v>
      </c>
      <c r="G21" s="3">
        <v>337899.252312583</v>
      </c>
      <c r="H21" s="3">
        <v>339922.091734907</v>
      </c>
      <c r="I21" s="3">
        <v>338582.680413307</v>
      </c>
    </row>
    <row r="24" spans="7:8" ht="12.75">
      <c r="G24" s="4" t="s">
        <v>138</v>
      </c>
      <c r="H24" s="4"/>
    </row>
    <row r="25" spans="7:9" ht="12.75">
      <c r="G25" s="4" t="s">
        <v>19</v>
      </c>
      <c r="H25" s="4" t="s">
        <v>139</v>
      </c>
      <c r="I25" t="s">
        <v>140</v>
      </c>
    </row>
    <row r="26" spans="2:10" ht="12.75">
      <c r="B26" s="16"/>
      <c r="C26" s="16"/>
      <c r="D26" s="16"/>
      <c r="E26" s="16"/>
      <c r="F26" s="16" t="s">
        <v>37</v>
      </c>
      <c r="G26" s="7">
        <f>+C19</f>
        <v>1389872.25463371</v>
      </c>
      <c r="H26" s="3">
        <f>+B39-3*A39</f>
        <v>3693375.843836165</v>
      </c>
      <c r="I26" s="3">
        <f>+C14</f>
        <v>19282674.6073896</v>
      </c>
      <c r="J26" s="16"/>
    </row>
    <row r="27" spans="6:9" ht="12.75">
      <c r="F27" t="s">
        <v>38</v>
      </c>
      <c r="G27" s="7">
        <f>+C18</f>
        <v>679501.853508377</v>
      </c>
      <c r="H27" s="3">
        <f>+B40-3*A40</f>
        <v>2652163.050886147</v>
      </c>
      <c r="I27" s="3">
        <f>+C13</f>
        <v>15487970.9833909</v>
      </c>
    </row>
    <row r="28" spans="6:9" ht="12.75">
      <c r="F28" t="s">
        <v>39</v>
      </c>
      <c r="G28" s="7">
        <f>'land volumes'!C33</f>
        <v>-4291599.66680847</v>
      </c>
      <c r="H28" s="3">
        <f>+B41-3*A41</f>
        <v>-3187037.9824311053</v>
      </c>
      <c r="I28" s="3"/>
    </row>
    <row r="29" spans="6:8" ht="12.75">
      <c r="F29" t="s">
        <v>141</v>
      </c>
      <c r="H29" s="14">
        <f>+B41-3*A41</f>
        <v>-3187037.9824311053</v>
      </c>
    </row>
    <row r="30" spans="6:7" ht="12.75">
      <c r="F30" t="s">
        <v>142</v>
      </c>
      <c r="G30" s="2">
        <f>+G28/A41</f>
        <v>4.104336188395731</v>
      </c>
    </row>
    <row r="32" spans="1:17" ht="12.75">
      <c r="A32" s="41" t="s">
        <v>35</v>
      </c>
      <c r="B32" t="s">
        <v>137</v>
      </c>
      <c r="C32" t="s">
        <v>12</v>
      </c>
      <c r="E32" t="s">
        <v>143</v>
      </c>
      <c r="F32" s="17" t="s">
        <v>145</v>
      </c>
      <c r="G32" s="17" t="s">
        <v>146</v>
      </c>
      <c r="H32" s="5" t="s">
        <v>43</v>
      </c>
      <c r="I32" s="5" t="s">
        <v>144</v>
      </c>
      <c r="J32" s="5" t="s">
        <v>143</v>
      </c>
      <c r="L32" s="4" t="s">
        <v>152</v>
      </c>
      <c r="M32" s="17" t="s">
        <v>145</v>
      </c>
      <c r="N32" s="17" t="s">
        <v>146</v>
      </c>
      <c r="O32" s="5" t="s">
        <v>43</v>
      </c>
      <c r="P32" s="5" t="s">
        <v>144</v>
      </c>
      <c r="Q32" s="5" t="s">
        <v>143</v>
      </c>
    </row>
    <row r="33" spans="1:17" ht="12.75">
      <c r="A33" s="65">
        <v>1918922</v>
      </c>
      <c r="B33" s="66">
        <v>7245443.716143523</v>
      </c>
      <c r="C33" s="2">
        <v>3.775788550104446</v>
      </c>
      <c r="D33" s="6" t="s">
        <v>26</v>
      </c>
      <c r="E33">
        <f>+'[1]1974-1995'!Q22</f>
        <v>2.13</v>
      </c>
      <c r="F33" s="3">
        <f aca="true" t="shared" si="0" ref="F33:F38">+B33-A33*3</f>
        <v>1488677.7161435233</v>
      </c>
      <c r="G33" s="3">
        <f aca="true" t="shared" si="1" ref="G33:G38">+A33*(J33+3)</f>
        <v>9844069.86</v>
      </c>
      <c r="H33" s="3">
        <f aca="true" t="shared" si="2" ref="H33:H38">+F33+G33</f>
        <v>11332747.576143522</v>
      </c>
      <c r="I33" s="62">
        <f>+E33+C33</f>
        <v>5.905788550104446</v>
      </c>
      <c r="J33" s="41">
        <f>+E33</f>
        <v>2.13</v>
      </c>
      <c r="M33" s="3">
        <v>1488677.7161435233</v>
      </c>
      <c r="N33" s="3">
        <v>9844069.86</v>
      </c>
      <c r="O33" s="3">
        <v>11332747.576143522</v>
      </c>
      <c r="P33" s="62">
        <v>5.905788550104446</v>
      </c>
      <c r="Q33" s="41">
        <v>2.13</v>
      </c>
    </row>
    <row r="34" spans="1:17" ht="12.75">
      <c r="A34" s="19">
        <v>678031.375</v>
      </c>
      <c r="B34" s="14">
        <v>3319553.5792934205</v>
      </c>
      <c r="C34" s="2">
        <v>4.895870164258137</v>
      </c>
      <c r="D34" s="6" t="s">
        <v>27</v>
      </c>
      <c r="E34">
        <f>+'[1]1974-1995'!Q23</f>
        <v>12</v>
      </c>
      <c r="F34" s="3">
        <f t="shared" si="0"/>
        <v>1285459.4542934205</v>
      </c>
      <c r="G34" s="3">
        <f t="shared" si="1"/>
        <v>12376141.42712511</v>
      </c>
      <c r="H34" s="3">
        <f t="shared" si="2"/>
        <v>13661600.88141853</v>
      </c>
      <c r="I34" s="62">
        <f>+J34+C34</f>
        <v>20.148921399719196</v>
      </c>
      <c r="J34" s="62">
        <f>+J35</f>
        <v>15.253051235461058</v>
      </c>
      <c r="M34" s="3">
        <v>1285459.4542934205</v>
      </c>
      <c r="N34" s="3">
        <v>8866849.73679595</v>
      </c>
      <c r="O34" s="3">
        <v>10152309.191089371</v>
      </c>
      <c r="P34" s="62">
        <v>14.973214463843021</v>
      </c>
      <c r="Q34" s="62">
        <v>10.077344299584883</v>
      </c>
    </row>
    <row r="35" spans="1:17" ht="12.75">
      <c r="A35" s="19">
        <v>538034.938</v>
      </c>
      <c r="B35" s="14">
        <v>3122081.9883473814</v>
      </c>
      <c r="C35" s="2">
        <v>5.802749538817833</v>
      </c>
      <c r="D35" s="6" t="s">
        <v>28</v>
      </c>
      <c r="E35">
        <f>+'[1]1974-1995'!Q24</f>
        <v>12</v>
      </c>
      <c r="F35" s="3">
        <f t="shared" si="0"/>
        <v>1507977.1743473816</v>
      </c>
      <c r="G35" s="3">
        <f t="shared" si="1"/>
        <v>9820779.289782112</v>
      </c>
      <c r="H35" s="3">
        <f t="shared" si="2"/>
        <v>11328756.464129495</v>
      </c>
      <c r="I35" s="62">
        <f>+J35+C35</f>
        <v>21.055800774278893</v>
      </c>
      <c r="J35" s="62">
        <f>+J36</f>
        <v>15.253051235461058</v>
      </c>
      <c r="M35" s="3">
        <v>1507977.1743473816</v>
      </c>
      <c r="N35" s="3">
        <v>7036068.129431806</v>
      </c>
      <c r="O35" s="3">
        <v>8544045.303779187</v>
      </c>
      <c r="P35" s="62">
        <v>15.880093838402717</v>
      </c>
      <c r="Q35" s="62">
        <v>10.077344299584883</v>
      </c>
    </row>
    <row r="36" spans="1:17" ht="12.75">
      <c r="A36" s="19">
        <v>601317.812</v>
      </c>
      <c r="B36" s="14">
        <v>4168921.090344628</v>
      </c>
      <c r="C36" s="2">
        <v>6.932974555466233</v>
      </c>
      <c r="D36" s="6" t="s">
        <v>29</v>
      </c>
      <c r="E36">
        <f>+'[1]1974-1995'!Q25</f>
        <v>12</v>
      </c>
      <c r="F36" s="3">
        <f t="shared" si="0"/>
        <v>2364967.6543446276</v>
      </c>
      <c r="G36" s="3">
        <f t="shared" si="1"/>
        <v>10975884.83123134</v>
      </c>
      <c r="H36" s="3">
        <f t="shared" si="2"/>
        <v>13340852.485575968</v>
      </c>
      <c r="I36" s="62">
        <f>+J36+C36</f>
        <v>22.18602579092729</v>
      </c>
      <c r="J36" s="62">
        <f>+J37</f>
        <v>15.253051235461058</v>
      </c>
      <c r="M36" s="3">
        <v>2364967.6543446276</v>
      </c>
      <c r="N36" s="3">
        <v>7863640.060997055</v>
      </c>
      <c r="O36" s="3">
        <v>10228607.715341683</v>
      </c>
      <c r="P36" s="62">
        <v>17.010318855051118</v>
      </c>
      <c r="Q36" s="62">
        <v>10.077344299584883</v>
      </c>
    </row>
    <row r="37" spans="1:17" ht="12.75">
      <c r="A37" s="19">
        <v>853907.125</v>
      </c>
      <c r="B37" s="14">
        <v>5765887.243675118</v>
      </c>
      <c r="C37" s="2">
        <v>6.752358745894196</v>
      </c>
      <c r="D37" s="6" t="s">
        <v>30</v>
      </c>
      <c r="E37">
        <f>+'[1]1974-1995'!Q26</f>
        <v>12</v>
      </c>
      <c r="F37" s="3">
        <f t="shared" si="0"/>
        <v>3204165.8686751183</v>
      </c>
      <c r="G37" s="3">
        <f t="shared" si="1"/>
        <v>15586410.50295025</v>
      </c>
      <c r="H37" s="3">
        <f t="shared" si="2"/>
        <v>18790576.371625368</v>
      </c>
      <c r="I37" s="62">
        <f>+J37+C37</f>
        <v>22.005409981355253</v>
      </c>
      <c r="J37" s="62">
        <f>+J38</f>
        <v>15.253051235461058</v>
      </c>
      <c r="M37" s="3">
        <v>3204165.8686751183</v>
      </c>
      <c r="N37" s="3">
        <v>11166837.473493665</v>
      </c>
      <c r="O37" s="3">
        <v>14371003.342168784</v>
      </c>
      <c r="P37" s="62">
        <v>16.82970304547908</v>
      </c>
      <c r="Q37" s="62">
        <v>10.077344299584883</v>
      </c>
    </row>
    <row r="38" spans="1:17" ht="12.75">
      <c r="A38" s="19">
        <v>1093324.375</v>
      </c>
      <c r="B38" s="14">
        <v>7661087.654380767</v>
      </c>
      <c r="C38" s="2">
        <v>7.007149780577028</v>
      </c>
      <c r="D38" s="6" t="s">
        <v>31</v>
      </c>
      <c r="E38">
        <f>+'[1]1974-1995'!Q27</f>
        <v>12</v>
      </c>
      <c r="F38" s="3">
        <f t="shared" si="0"/>
        <v>4381114.529380767</v>
      </c>
      <c r="G38" s="3">
        <f t="shared" si="1"/>
        <v>19956505.83385344</v>
      </c>
      <c r="H38" s="3">
        <f t="shared" si="2"/>
        <v>24337620.363234207</v>
      </c>
      <c r="I38" s="62">
        <f>+J38+C38</f>
        <v>22.260201016038085</v>
      </c>
      <c r="J38" s="62">
        <f>+(J39+J40)/2</f>
        <v>15.253051235461058</v>
      </c>
      <c r="M38" s="3">
        <v>4381114.529380767</v>
      </c>
      <c r="N38" s="3">
        <v>14297779.283003455</v>
      </c>
      <c r="O38" s="3">
        <v>18678893.81238422</v>
      </c>
      <c r="P38" s="62">
        <v>17.08449408016191</v>
      </c>
      <c r="Q38" s="62">
        <v>10.077344299584883</v>
      </c>
    </row>
    <row r="39" spans="1:17" ht="12.75">
      <c r="A39" s="19">
        <v>1104107.875</v>
      </c>
      <c r="B39" s="14">
        <v>7005699.468836165</v>
      </c>
      <c r="C39" s="2">
        <v>6.345122272437523</v>
      </c>
      <c r="D39" s="6" t="s">
        <v>32</v>
      </c>
      <c r="E39">
        <f>+'[1]1974-1995'!Q28</f>
        <v>12</v>
      </c>
      <c r="F39" s="25">
        <f>+(C39-3)*A39+G26</f>
        <v>5083248.098469875</v>
      </c>
      <c r="G39" s="25">
        <f>+I26</f>
        <v>19282674.6073896</v>
      </c>
      <c r="H39" s="3">
        <f>+F39+G39</f>
        <v>24365922.705859475</v>
      </c>
      <c r="I39" s="62">
        <f>+H39/A39</f>
        <v>22.068425792053585</v>
      </c>
      <c r="J39" s="2">
        <f>+I39-C39</f>
        <v>15.723303519616062</v>
      </c>
      <c r="M39" s="25">
        <v>4849411.345210165</v>
      </c>
      <c r="N39" s="25">
        <v>14515301.912582</v>
      </c>
      <c r="O39" s="3">
        <v>19364713.257792167</v>
      </c>
      <c r="P39" s="62">
        <v>17.538787374188566</v>
      </c>
      <c r="Q39" s="62">
        <v>11.193665101751042</v>
      </c>
    </row>
    <row r="40" spans="1:17" ht="12.75">
      <c r="A40" s="19">
        <v>909163.562</v>
      </c>
      <c r="B40" s="14">
        <v>5379653.736886147</v>
      </c>
      <c r="C40" s="2">
        <v>5.917146222899491</v>
      </c>
      <c r="D40" s="6" t="s">
        <v>33</v>
      </c>
      <c r="E40">
        <f>+'[1]1974-1995'!Q29</f>
        <v>12</v>
      </c>
      <c r="F40" s="25">
        <f>+(C40-3)*A40+G27</f>
        <v>3331664.904394524</v>
      </c>
      <c r="G40" s="25">
        <f>+I27</f>
        <v>15487970.9833909</v>
      </c>
      <c r="H40" s="3">
        <f>+F40+G40</f>
        <v>18819635.887785424</v>
      </c>
      <c r="I40" s="62">
        <f>+H40/A40</f>
        <v>20.699945174205546</v>
      </c>
      <c r="J40" s="2">
        <f>+I40-C40</f>
        <v>14.782798951306056</v>
      </c>
      <c r="M40" s="25">
        <v>3170844.0762387523</v>
      </c>
      <c r="N40" s="25">
        <v>10355845.7027263</v>
      </c>
      <c r="O40" s="3">
        <v>13526689.778965052</v>
      </c>
      <c r="P40" s="62">
        <v>14.878169720318214</v>
      </c>
      <c r="Q40" s="62">
        <v>8.961023497418722</v>
      </c>
    </row>
    <row r="41" spans="1:15" ht="12.75">
      <c r="A41">
        <v>-1045625.765</v>
      </c>
      <c r="B41" s="3">
        <v>-6323915.277431105</v>
      </c>
      <c r="C41" s="2">
        <v>6.047971931364091</v>
      </c>
      <c r="D41" s="6" t="s">
        <v>34</v>
      </c>
      <c r="E41" s="67">
        <f>+'[1]1974-1995'!Q30</f>
        <v>-1.4512124638858621</v>
      </c>
      <c r="F41" s="25">
        <f>+(C41-3)*A41+G28</f>
        <v>-7478637.6492395755</v>
      </c>
      <c r="G41" t="s">
        <v>147</v>
      </c>
      <c r="H41" s="3">
        <f>+F41</f>
        <v>-7478637.6492395755</v>
      </c>
      <c r="M41" s="25">
        <v>-7117447.241683096</v>
      </c>
      <c r="N41" t="s">
        <v>147</v>
      </c>
      <c r="O41" s="3">
        <v>-7117447.241683096</v>
      </c>
    </row>
    <row r="42" spans="7:15" ht="12.75">
      <c r="G42" s="6" t="s">
        <v>148</v>
      </c>
      <c r="H42" s="7">
        <f>SUM(H33:H41)</f>
        <v>128499075.08653241</v>
      </c>
      <c r="N42" s="6" t="s">
        <v>148</v>
      </c>
      <c r="O42" s="7">
        <v>99081562.7359809</v>
      </c>
    </row>
    <row r="43" spans="1:16" ht="12.75">
      <c r="A43" s="3">
        <f>SUM(A33:A40)</f>
        <v>7696809.062</v>
      </c>
      <c r="G43" s="6" t="s">
        <v>149</v>
      </c>
      <c r="H43" s="7">
        <f>SUM(H33:H40)</f>
        <v>135977712.73577198</v>
      </c>
      <c r="I43" s="62">
        <f>+H43/A43</f>
        <v>17.66676445270145</v>
      </c>
      <c r="N43" s="6" t="s">
        <v>149</v>
      </c>
      <c r="O43" s="7">
        <f>SUM(O33:O40)</f>
        <v>106199009.977664</v>
      </c>
      <c r="P43" s="62">
        <f>+O43/A43</f>
        <v>13.797797128940132</v>
      </c>
    </row>
    <row r="44" spans="6:15" ht="12.75">
      <c r="F44" s="68" t="s">
        <v>150</v>
      </c>
      <c r="G44" s="68"/>
      <c r="H44" s="69">
        <f>SUM(H34:H40)</f>
        <v>124644965.15962847</v>
      </c>
      <c r="M44" s="68" t="s">
        <v>150</v>
      </c>
      <c r="N44" s="68"/>
      <c r="O44" s="69">
        <v>94866262.40152046</v>
      </c>
    </row>
    <row r="46" ht="13.5" thickBot="1"/>
    <row r="47" spans="5:15" ht="13.5" thickBot="1">
      <c r="E47" t="s">
        <v>160</v>
      </c>
      <c r="F47" t="s">
        <v>157</v>
      </c>
      <c r="G47" t="s">
        <v>158</v>
      </c>
      <c r="H47" t="s">
        <v>159</v>
      </c>
      <c r="N47" s="70" t="s">
        <v>151</v>
      </c>
      <c r="O47" s="71">
        <f>+(O43-H43)/O43*100</f>
        <v>-28.040471153517448</v>
      </c>
    </row>
    <row r="48" spans="5:8" ht="12.75">
      <c r="E48" s="74" t="s">
        <v>156</v>
      </c>
      <c r="F48" s="2">
        <f>+Q38</f>
        <v>10.077344299584883</v>
      </c>
      <c r="G48" s="3">
        <f>+O43/1000000</f>
        <v>106.19900997766399</v>
      </c>
      <c r="H48">
        <v>0</v>
      </c>
    </row>
    <row r="49" spans="5:8" ht="12.75">
      <c r="E49" s="74" t="s">
        <v>154</v>
      </c>
      <c r="F49" s="2">
        <f>+'+0.5'!J38</f>
        <v>4.923282896329594</v>
      </c>
      <c r="G49" s="3">
        <f>+'+0.5'!H43/1000000</f>
        <v>76.50387939332117</v>
      </c>
      <c r="H49" s="3">
        <f>+'+0.5'!O47</f>
        <v>27.96177722427767</v>
      </c>
    </row>
    <row r="50" spans="5:8" ht="12.75">
      <c r="E50" s="74" t="s">
        <v>155</v>
      </c>
      <c r="F50" s="2">
        <f>+J38</f>
        <v>15.253051235461058</v>
      </c>
      <c r="G50" s="3">
        <f>+H43/1000000</f>
        <v>135.97771273577197</v>
      </c>
      <c r="H50" s="3">
        <f>+O47</f>
        <v>-28.040471153517448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Ecology</dc:creator>
  <cp:keywords/>
  <dc:description/>
  <cp:lastModifiedBy>NINS461</cp:lastModifiedBy>
  <cp:lastPrinted>2000-07-28T01:07:22Z</cp:lastPrinted>
  <dcterms:created xsi:type="dcterms:W3CDTF">2000-02-24T19:48:24Z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