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2030" windowHeight="6570" tabRatio="877" activeTab="3"/>
  </bookViews>
  <sheets>
    <sheet name="list" sheetId="1" r:id="rId1"/>
    <sheet name="source" sheetId="2" r:id="rId2"/>
    <sheet name="cond" sheetId="3" r:id="rId3"/>
    <sheet name="emiss 1" sheetId="4" r:id="rId4"/>
    <sheet name="emiss 2" sheetId="5" r:id="rId5"/>
    <sheet name="feed 1" sheetId="6" r:id="rId6"/>
    <sheet name="feed 2" sheetId="7" r:id="rId7"/>
    <sheet name="process 1" sheetId="8" r:id="rId8"/>
    <sheet name="process 2" sheetId="9" r:id="rId9"/>
    <sheet name="df c11" sheetId="10" r:id="rId10"/>
    <sheet name="df c12" sheetId="11" r:id="rId11"/>
  </sheets>
  <definedNames>
    <definedName name="_xlnm.Print_Titles" localSheetId="5">'feed 1'!$B:$B</definedName>
    <definedName name="_xlnm.Print_Titles" localSheetId="6">'feed 2'!$B:$B</definedName>
  </definedNames>
  <calcPr fullCalcOnLoad="1"/>
</workbook>
</file>

<file path=xl/sharedStrings.xml><?xml version="1.0" encoding="utf-8"?>
<sst xmlns="http://schemas.openxmlformats.org/spreadsheetml/2006/main" count="1297" uniqueCount="255">
  <si>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</si>
  <si>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</si>
  <si>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</si>
  <si>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</si>
  <si>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</si>
  <si>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</si>
  <si>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</si>
  <si>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</si>
  <si>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</si>
  <si>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</si>
  <si>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</si>
  <si>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</si>
  <si>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>Units</t>
  </si>
  <si>
    <t>PM</t>
  </si>
  <si>
    <t>gr/dscf</t>
  </si>
  <si>
    <t>y</t>
  </si>
  <si>
    <t>ppmv</t>
  </si>
  <si>
    <t>dscfm</t>
  </si>
  <si>
    <t>%</t>
  </si>
  <si>
    <t>°F</t>
  </si>
  <si>
    <t>Feedstream Description</t>
  </si>
  <si>
    <t>Heating Value</t>
  </si>
  <si>
    <t>Btu/lb</t>
  </si>
  <si>
    <t>Ash</t>
  </si>
  <si>
    <t>Chlorine</t>
  </si>
  <si>
    <t>HCl</t>
  </si>
  <si>
    <t>Cl2</t>
  </si>
  <si>
    <t>DRE</t>
  </si>
  <si>
    <t>lb/hr</t>
  </si>
  <si>
    <t>Run 1</t>
  </si>
  <si>
    <t>Run 2</t>
  </si>
  <si>
    <t>Run 3</t>
  </si>
  <si>
    <t>MMBtu/hr</t>
  </si>
  <si>
    <t>Spike</t>
  </si>
  <si>
    <t>ug/dscm</t>
  </si>
  <si>
    <t>SVM</t>
  </si>
  <si>
    <t>LVM</t>
  </si>
  <si>
    <t>Stack Gas Flowrate</t>
  </si>
  <si>
    <t>Oxygen</t>
  </si>
  <si>
    <t>mg/dscm</t>
  </si>
  <si>
    <t>HW</t>
  </si>
  <si>
    <t>Combustor Characteristics</t>
  </si>
  <si>
    <t>Supplemental Fuel</t>
  </si>
  <si>
    <t>Capacity (MMBtu/hr)</t>
  </si>
  <si>
    <t xml:space="preserve">    Gas Velocity (ft/sec)</t>
  </si>
  <si>
    <t xml:space="preserve">    Gas Temperature (°F)</t>
  </si>
  <si>
    <t>Feedrate MTEC Calculations</t>
  </si>
  <si>
    <t>Source Description</t>
  </si>
  <si>
    <t>Soot Blowing</t>
  </si>
  <si>
    <t>Haz Waste Description</t>
  </si>
  <si>
    <t xml:space="preserve">   Temperature</t>
  </si>
  <si>
    <t xml:space="preserve">   Stack Gas Flowrate</t>
  </si>
  <si>
    <t>PM, HCl/Cl2</t>
  </si>
  <si>
    <t xml:space="preserve">   O2</t>
  </si>
  <si>
    <t xml:space="preserve">   Moisture</t>
  </si>
  <si>
    <t>Total Chlorine</t>
  </si>
  <si>
    <t>Sampling Train</t>
  </si>
  <si>
    <t>Trial burn</t>
  </si>
  <si>
    <t>*</t>
  </si>
  <si>
    <t>HWC Burn Status (Date if Terminated)</t>
  </si>
  <si>
    <t>CO (RA)</t>
  </si>
  <si>
    <t>Feed Rate</t>
  </si>
  <si>
    <t>Total</t>
  </si>
  <si>
    <t>Hazardous Wastes</t>
  </si>
  <si>
    <t>PCDD/PCDF</t>
  </si>
  <si>
    <t>Facility Name and ID:</t>
  </si>
  <si>
    <t>Condition ID:</t>
  </si>
  <si>
    <t>Condition/Test Date:</t>
  </si>
  <si>
    <t>I-TEF</t>
  </si>
  <si>
    <t>Wght Fact</t>
  </si>
  <si>
    <t xml:space="preserve"> TEQ</t>
  </si>
  <si>
    <t>TEQ</t>
  </si>
  <si>
    <t>1/2 ND</t>
  </si>
  <si>
    <t>2,3,7,8-TCDD</t>
  </si>
  <si>
    <t>1,2,3,7,8-PCDD</t>
  </si>
  <si>
    <t>1,2,3,4,7,8-HxCDD</t>
  </si>
  <si>
    <t>1,2,3,6,7,8-HxCDD</t>
  </si>
  <si>
    <t>1,2,3,7,8,9-HxCDD</t>
  </si>
  <si>
    <t>1,2,3,4,6,7,8-HpCDD</t>
  </si>
  <si>
    <t>OCDD</t>
  </si>
  <si>
    <t>2,3,7,8-TCDF</t>
  </si>
  <si>
    <t>1,2,3,7,8-PCDF</t>
  </si>
  <si>
    <t>2,3,4,7,8-PCDF</t>
  </si>
  <si>
    <t>1,2,3,4,7,8-HxCDF</t>
  </si>
  <si>
    <t>1,2,3,6,7,8-HxCDF</t>
  </si>
  <si>
    <t>2,3,4,6,7,8-HxCDF</t>
  </si>
  <si>
    <t>1,2,3,7,8,9-HxCDF</t>
  </si>
  <si>
    <t>1,2,3,4,6,7,8-HpCDF</t>
  </si>
  <si>
    <t>1,2,3,4,7,8,9-HpCDF</t>
  </si>
  <si>
    <t>OCDF</t>
  </si>
  <si>
    <t>Total TCDD</t>
  </si>
  <si>
    <t>Total PCDD</t>
  </si>
  <si>
    <t>Total HxCDD</t>
  </si>
  <si>
    <t>Total HpCDD</t>
  </si>
  <si>
    <t>Total TCDF</t>
  </si>
  <si>
    <t>Total PCDF</t>
  </si>
  <si>
    <t>Total HxCDF</t>
  </si>
  <si>
    <t xml:space="preserve"> </t>
  </si>
  <si>
    <t>Total HpCDF</t>
  </si>
  <si>
    <t>Gas sample volume (dscf)</t>
  </si>
  <si>
    <t>O2 (%)</t>
  </si>
  <si>
    <t>PCDD/PCDF (ng in sample)</t>
  </si>
  <si>
    <t>PCDD/PCDF (ng/dscm @ 7% O2)</t>
  </si>
  <si>
    <t>TEQ Cond Avg</t>
  </si>
  <si>
    <t>Total Cond Avg</t>
  </si>
  <si>
    <t>Detected in sample volume (ng)</t>
  </si>
  <si>
    <t>nd</t>
  </si>
  <si>
    <t>Arsenic</t>
  </si>
  <si>
    <t>Antimony</t>
  </si>
  <si>
    <t>Barium</t>
  </si>
  <si>
    <t>Beryllium</t>
  </si>
  <si>
    <t>Cadmium</t>
  </si>
  <si>
    <t>Chromium</t>
  </si>
  <si>
    <t>Copper</t>
  </si>
  <si>
    <t>Lead</t>
  </si>
  <si>
    <t>Mercury</t>
  </si>
  <si>
    <t>Nickel</t>
  </si>
  <si>
    <t>Selenium</t>
  </si>
  <si>
    <t>Silver</t>
  </si>
  <si>
    <t>Thallium</t>
  </si>
  <si>
    <t>Zinc</t>
  </si>
  <si>
    <t>Trial Burn</t>
  </si>
  <si>
    <t>Metals</t>
  </si>
  <si>
    <t>Density</t>
  </si>
  <si>
    <t>g/cc</t>
  </si>
  <si>
    <t>in. w.c.</t>
  </si>
  <si>
    <t>Cascade</t>
  </si>
  <si>
    <t>Virginia</t>
  </si>
  <si>
    <t>Kiln #2</t>
  </si>
  <si>
    <t>VAD046970521</t>
  </si>
  <si>
    <t>RCRA Testing, Kilns 1,2,3,4, Certification of Compliance, August 1999</t>
  </si>
  <si>
    <t>Solite Corp</t>
  </si>
  <si>
    <t>Solite/Entropy/Blue Ridge</t>
  </si>
  <si>
    <t>Entropy</t>
  </si>
  <si>
    <t>May 25-26, 1999</t>
  </si>
  <si>
    <t>CO (MHRA)</t>
  </si>
  <si>
    <t>Cobalt</t>
  </si>
  <si>
    <t>Manganese</t>
  </si>
  <si>
    <t>LBM</t>
  </si>
  <si>
    <t>g/hr</t>
  </si>
  <si>
    <t>RM</t>
  </si>
  <si>
    <t>The raw material was excavated from the Virginia Solite quarry</t>
  </si>
  <si>
    <t>Max baghouse inlet temperature</t>
  </si>
  <si>
    <t>Trial Burn, organics DRE, HCl/Cl2 emissions limits</t>
  </si>
  <si>
    <r>
      <t>CO, PM, HCl/Cl2, Metals, Cr</t>
    </r>
    <r>
      <rPr>
        <vertAlign val="superscript"/>
        <sz val="10"/>
        <rFont val="Arial"/>
        <family val="2"/>
      </rPr>
      <t>+6</t>
    </r>
  </si>
  <si>
    <t>Trial Burn Report, Solite Corp, Virginia Solite Div., March 2000</t>
  </si>
  <si>
    <t>POHC DRE</t>
  </si>
  <si>
    <t>POHC Feedrate</t>
  </si>
  <si>
    <t>Emission Rate</t>
  </si>
  <si>
    <t>Perchloroethylene</t>
  </si>
  <si>
    <t>1,2,4 Trichlorobenzene</t>
  </si>
  <si>
    <t>D/F</t>
  </si>
  <si>
    <t>Kiln maximum negative pressure</t>
  </si>
  <si>
    <t>Nov 8-19, 1999</t>
  </si>
  <si>
    <t>Trial Burn Report, Kiln 1 DRE Retest, Kilns 1-4 D/F. Solite Corp, Virginia Solite Div., July 2000</t>
  </si>
  <si>
    <t>Trial Burn, D/F Retest</t>
  </si>
  <si>
    <t>D/F, CO</t>
  </si>
  <si>
    <t>Solite/Entropy/B3 Systems</t>
  </si>
  <si>
    <t>May 11-19, 2000</t>
  </si>
  <si>
    <t>Detected in sample volume (pg)</t>
  </si>
  <si>
    <t>COC, Metals SRE</t>
  </si>
  <si>
    <t>Baghouse inlet temperature</t>
  </si>
  <si>
    <t>CO, PM, HCl/Cl2, POHC DRE, PCCD/F</t>
  </si>
  <si>
    <t>Mid kiln temperature</t>
  </si>
  <si>
    <t>311C10</t>
  </si>
  <si>
    <t>311C11</t>
  </si>
  <si>
    <t>311C12</t>
  </si>
  <si>
    <t>QS/FF</t>
  </si>
  <si>
    <t>May 9-19, 2000</t>
  </si>
  <si>
    <t>Solite Corp, Lightweight Aggregate Kiln #2</t>
  </si>
  <si>
    <t>Cond Avg</t>
  </si>
  <si>
    <t>R1</t>
  </si>
  <si>
    <t>R2</t>
  </si>
  <si>
    <t>R3</t>
  </si>
  <si>
    <t>Max comb chamber temp</t>
  </si>
  <si>
    <t>Min mid kiln temperature</t>
  </si>
  <si>
    <t>Max kiln exit temperature</t>
  </si>
  <si>
    <t>Kiln exit temperature</t>
  </si>
  <si>
    <t>Combustion zone temperature</t>
  </si>
  <si>
    <t>CoC</t>
  </si>
  <si>
    <t>Min baghouse pressure drop</t>
  </si>
  <si>
    <t>311C1</t>
  </si>
  <si>
    <t>Report Name/Date</t>
  </si>
  <si>
    <t>Report Prepare</t>
  </si>
  <si>
    <t>Testing Firm</t>
  </si>
  <si>
    <t>Cond Descr</t>
  </si>
  <si>
    <t/>
  </si>
  <si>
    <t>HC (MHRA)</t>
  </si>
  <si>
    <t>HC (RA)</t>
  </si>
  <si>
    <t>Chromium (Hex)</t>
  </si>
  <si>
    <t>Cr Hex</t>
  </si>
  <si>
    <t>Halogens</t>
  </si>
  <si>
    <t>Raw material shale</t>
  </si>
  <si>
    <t>Liq waste</t>
  </si>
  <si>
    <t>Report Preparation</t>
  </si>
  <si>
    <t>Testing Dates</t>
  </si>
  <si>
    <t>Condition Descr</t>
  </si>
  <si>
    <t>Content</t>
  </si>
  <si>
    <t>Stack Gas Emissions 1</t>
  </si>
  <si>
    <t>Stack Gas Emissions 2</t>
  </si>
  <si>
    <t>Full ND</t>
  </si>
  <si>
    <t>31110</t>
  </si>
  <si>
    <t>Combustion Temperature</t>
  </si>
  <si>
    <t>F</t>
  </si>
  <si>
    <t>in H2O</t>
  </si>
  <si>
    <t>FF Temperature</t>
  </si>
  <si>
    <t>FF Pressure Drop</t>
  </si>
  <si>
    <t>IEA</t>
  </si>
  <si>
    <t>CoC, MAX HW FEED,MAX RAW MATERIAL</t>
  </si>
  <si>
    <t>Emission Test Report for No. 4 Aggregate Kiln Solite Corporation, Leaksville Plant, Cascade, Virginia, Prepared by IEA, August 8, 1992</t>
  </si>
  <si>
    <t>Combustor Type</t>
  </si>
  <si>
    <t>Combustor Class</t>
  </si>
  <si>
    <t xml:space="preserve">BHA, Quench system (air and water).  Baghouse (reverse air cleaning, 580 bags, cloth area = 29,155 ft2, net air to cloth ratio = 2.23:1, design operating temp &lt; 450 °F at inlet), fiberglass cloth material </t>
  </si>
  <si>
    <t>Condition Description</t>
  </si>
  <si>
    <t>Kiln #1(336) for CoC(metals) only</t>
  </si>
  <si>
    <t>Phase I ID No.</t>
  </si>
  <si>
    <t>Process Information 2</t>
  </si>
  <si>
    <t>Process Information 1</t>
  </si>
  <si>
    <t>Feedstream 2</t>
  </si>
  <si>
    <t>Feedstream 1</t>
  </si>
  <si>
    <t>E1</t>
  </si>
  <si>
    <t>E2</t>
  </si>
  <si>
    <t>E3</t>
  </si>
  <si>
    <t>Cond Dates</t>
  </si>
  <si>
    <t>November 8-19, 1999</t>
  </si>
  <si>
    <t>Number of Sister Facilities</t>
  </si>
  <si>
    <t>APCS Detailed Acronym</t>
  </si>
  <si>
    <t>APCS General Class</t>
  </si>
  <si>
    <t>FF</t>
  </si>
  <si>
    <t>Liq</t>
  </si>
  <si>
    <t>source</t>
  </si>
  <si>
    <t>cond</t>
  </si>
  <si>
    <t>emiss 1</t>
  </si>
  <si>
    <t>emiss 2</t>
  </si>
  <si>
    <t>feed 1</t>
  </si>
  <si>
    <t>feed 2</t>
  </si>
  <si>
    <t>process 1</t>
  </si>
  <si>
    <t>process 2</t>
  </si>
  <si>
    <t>df c11</t>
  </si>
  <si>
    <t>df c12</t>
  </si>
  <si>
    <t>Lightweight Aggregate Kiln (LWAK)</t>
  </si>
  <si>
    <t>Feedstream Number</t>
  </si>
  <si>
    <t>Feed Class</t>
  </si>
  <si>
    <t>Raw Material</t>
  </si>
  <si>
    <t>F1</t>
  </si>
  <si>
    <t>Liq HW</t>
  </si>
  <si>
    <t>F2</t>
  </si>
  <si>
    <t>F3</t>
  </si>
  <si>
    <t>F4</t>
  </si>
  <si>
    <t>Feed Class 2</t>
  </si>
  <si>
    <t>Estimated Firing Rate</t>
  </si>
  <si>
    <t>high nds?</t>
  </si>
  <si>
    <t>N</t>
  </si>
  <si>
    <t>Thermal Feedrate</t>
  </si>
  <si>
    <t>lb/min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</si>
</sst>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mmm\-yyyy"/>
    <numFmt numFmtId="173" formatCode="&quot;$&quot;#,##0.0"/>
    <numFmt numFmtId="174" formatCode="#,##0.0"/>
    <numFmt numFmtId="175" formatCode="0.00000000"/>
    <numFmt numFmtId="176" formatCode="0.0000000"/>
    <numFmt numFmtId="177" formatCode="0.0000E+00"/>
    <numFmt numFmtId="178" formatCode="0.000E+00"/>
    <numFmt numFmtId="179" formatCode="0.00000E+00"/>
    <numFmt numFmtId="180" formatCode="0.000000E+00"/>
    <numFmt numFmtId="181" formatCode="0.0000000E+00"/>
    <numFmt numFmtId="182" formatCode="0.00000000E+00"/>
    <numFmt numFmtId="183" formatCode="0.E+00"/>
    <numFmt numFmtId="184" formatCode="0.0.E+00"/>
    <numFmt numFmtId="185" formatCode="0.00.E+00"/>
    <numFmt numFmtId="186" formatCode="_(* #,##0.0_);_(* \(#,##0.0\);_(* &quot;-&quot;??_);_(@_)"/>
    <numFmt numFmtId="187" formatCode="_(* #,##0_);_(* \(#,##0\);_(* &quot;-&quot;??_);_(@_)"/>
    <numFmt numFmtId="188" formatCode="0.0%"/>
    <numFmt numFmtId="189" formatCode="_(* #,##0.0_);_(* \(#,##0.0\);_(* &quot;-&quot;_);_(@_)"/>
    <numFmt numFmtId="190" formatCode="_(* #,##0.00_);_(* \(#,##0.00\);_(* &quot;-&quot;_);_(@_)"/>
    <numFmt numFmtId="191" formatCode="0.0E+00"/>
    <numFmt numFmtId="192" formatCode="0E+00"/>
    <numFmt numFmtId="193" formatCode="dd\-mmm\-yy"/>
    <numFmt numFmtId="194" formatCode="0.00000%"/>
    <numFmt numFmtId="195" formatCode="0.000%"/>
    <numFmt numFmtId="196" formatCode="0.0000%"/>
    <numFmt numFmtId="197" formatCode="0.000000%"/>
    <numFmt numFmtId="198" formatCode="0.0000000%"/>
    <numFmt numFmtId="199" formatCode="0.00000000%"/>
    <numFmt numFmtId="200" formatCode="0.000000000%"/>
    <numFmt numFmtId="201" formatCode="0.0000000000%"/>
    <numFmt numFmtId="202" formatCode="0.00000000000%"/>
    <numFmt numFmtId="203" formatCode="mm/dd/yy"/>
  </numFmts>
  <fonts count="16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48"/>
      <name val="Arial"/>
      <family val="2"/>
    </font>
    <font>
      <b/>
      <sz val="10"/>
      <name val="Helv"/>
      <family val="0"/>
    </font>
    <font>
      <u val="single"/>
      <sz val="10"/>
      <name val="Arial"/>
      <family val="2"/>
    </font>
    <font>
      <sz val="10"/>
      <color indexed="10"/>
      <name val="Helv"/>
      <family val="0"/>
    </font>
    <font>
      <sz val="10"/>
      <color indexed="48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166" fontId="6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165" fontId="1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11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1" fontId="8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193" fontId="0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1" fontId="0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167" fontId="1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" fontId="11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top" wrapText="1"/>
    </xf>
    <xf numFmtId="0" fontId="0" fillId="0" borderId="0" xfId="0" applyFont="1" applyBorder="1" applyAlignment="1">
      <alignment wrapText="1"/>
    </xf>
    <xf numFmtId="165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right"/>
    </xf>
    <xf numFmtId="11" fontId="0" fillId="0" borderId="0" xfId="0" applyNumberFormat="1" applyFont="1" applyFill="1" applyBorder="1" applyAlignment="1">
      <alignment horizontal="right"/>
    </xf>
    <xf numFmtId="11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/>
    </xf>
    <xf numFmtId="11" fontId="1" fillId="0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Fill="1" applyAlignment="1">
      <alignment horizontal="left" vertical="top" wrapText="1"/>
    </xf>
    <xf numFmtId="165" fontId="0" fillId="0" borderId="0" xfId="0" applyNumberFormat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171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164" fontId="0" fillId="0" borderId="0" xfId="0" applyNumberFormat="1" applyFont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166" fontId="0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11" fontId="6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41" fontId="1" fillId="0" borderId="0" xfId="15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Fill="1" applyBorder="1" applyAlignment="1">
      <alignment horizontal="center"/>
    </xf>
    <xf numFmtId="1" fontId="0" fillId="0" borderId="0" xfId="0" applyNumberFormat="1" applyAlignment="1">
      <alignment/>
    </xf>
    <xf numFmtId="17" fontId="0" fillId="0" borderId="0" xfId="0" applyNumberFormat="1" applyFont="1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  <xf numFmtId="17" fontId="0" fillId="0" borderId="0" xfId="0" applyNumberFormat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165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17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Border="1" applyAlignment="1">
      <alignment horizontal="centerContinuous"/>
    </xf>
    <xf numFmtId="1" fontId="0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>
      <selection activeCell="A11" sqref="A11"/>
    </sheetView>
  </sheetViews>
  <sheetFormatPr defaultColWidth="9.140625" defaultRowHeight="12.75"/>
  <sheetData>
    <row r="1" ht="12.75">
      <c r="A1" t="s">
        <v>230</v>
      </c>
    </row>
    <row r="2" ht="12.75">
      <c r="A2" t="s">
        <v>231</v>
      </c>
    </row>
    <row r="3" ht="12.75">
      <c r="A3" t="s">
        <v>232</v>
      </c>
    </row>
    <row r="4" ht="12.75">
      <c r="A4" t="s">
        <v>233</v>
      </c>
    </row>
    <row r="5" ht="12.75">
      <c r="A5" t="s">
        <v>234</v>
      </c>
    </row>
    <row r="6" ht="12.75">
      <c r="A6" t="s">
        <v>235</v>
      </c>
    </row>
    <row r="7" ht="12.75">
      <c r="A7" t="s">
        <v>236</v>
      </c>
    </row>
    <row r="8" ht="12.75">
      <c r="A8" t="s">
        <v>237</v>
      </c>
    </row>
    <row r="9" ht="12.75">
      <c r="A9" t="s">
        <v>238</v>
      </c>
    </row>
    <row r="10" ht="12.75">
      <c r="A10" t="s">
        <v>239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3">
      <selection activeCell="C2" sqref="C2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9.421875" style="0" customWidth="1"/>
    <col min="4" max="4" width="4.28125" style="0" customWidth="1"/>
    <col min="5" max="5" width="9.421875" style="0" customWidth="1"/>
    <col min="6" max="6" width="9.8515625" style="0" customWidth="1"/>
    <col min="8" max="8" width="9.8515625" style="0" customWidth="1"/>
    <col min="9" max="9" width="3.421875" style="0" customWidth="1"/>
    <col min="11" max="11" width="9.28125" style="0" customWidth="1"/>
    <col min="13" max="13" width="9.28125" style="0" customWidth="1"/>
    <col min="14" max="14" width="3.8515625" style="0" customWidth="1"/>
    <col min="16" max="16" width="9.00390625" style="0" customWidth="1"/>
    <col min="18" max="18" width="9.00390625" style="0" customWidth="1"/>
  </cols>
  <sheetData>
    <row r="1" spans="1:18" ht="12.75">
      <c r="A1" s="44" t="s">
        <v>64</v>
      </c>
      <c r="B1" s="21"/>
      <c r="C1" s="21"/>
      <c r="D1" s="21"/>
      <c r="E1" s="45"/>
      <c r="F1" s="46"/>
      <c r="G1" s="45"/>
      <c r="H1" s="46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12.75">
      <c r="A2" s="21" t="s">
        <v>252</v>
      </c>
      <c r="B2" s="21"/>
      <c r="C2" s="21"/>
      <c r="D2" s="21"/>
      <c r="E2" s="45"/>
      <c r="F2" s="46"/>
      <c r="G2" s="45"/>
      <c r="H2" s="46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ht="12.75">
      <c r="A3" s="21" t="s">
        <v>65</v>
      </c>
      <c r="B3" s="21"/>
      <c r="C3" s="8" t="s">
        <v>169</v>
      </c>
      <c r="D3" s="8"/>
      <c r="E3" s="45"/>
      <c r="F3" s="46"/>
      <c r="G3" s="45"/>
      <c r="H3" s="46"/>
      <c r="I3" s="45"/>
      <c r="J3" s="47"/>
      <c r="K3" s="45"/>
      <c r="L3" s="45"/>
      <c r="M3" s="45"/>
      <c r="N3" s="45"/>
      <c r="O3" s="45"/>
      <c r="P3" s="45"/>
      <c r="Q3" s="45"/>
      <c r="R3" s="45"/>
    </row>
    <row r="4" spans="1:18" ht="12.75">
      <c r="A4" s="21" t="s">
        <v>66</v>
      </c>
      <c r="B4" s="21"/>
      <c r="C4" s="70" t="s">
        <v>165</v>
      </c>
      <c r="D4" s="8" t="s">
        <v>121</v>
      </c>
      <c r="E4" s="48"/>
      <c r="F4" s="49"/>
      <c r="G4" s="48"/>
      <c r="H4" s="49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18" ht="12.75">
      <c r="A5" s="21" t="s">
        <v>67</v>
      </c>
      <c r="B5" s="21"/>
      <c r="C5" s="53" t="s">
        <v>153</v>
      </c>
      <c r="D5" s="9"/>
      <c r="E5" s="9"/>
      <c r="F5" s="9"/>
      <c r="G5" s="9"/>
      <c r="H5" s="9"/>
      <c r="I5" s="9"/>
      <c r="J5" s="9"/>
      <c r="K5" s="45"/>
      <c r="L5" s="9"/>
      <c r="M5" s="45"/>
      <c r="N5" s="45"/>
      <c r="O5" s="45"/>
      <c r="P5" s="45"/>
      <c r="Q5" s="45"/>
      <c r="R5" s="45"/>
    </row>
    <row r="6" spans="1:18" ht="14.25" customHeight="1">
      <c r="A6" s="21"/>
      <c r="B6" s="21"/>
      <c r="C6" s="22"/>
      <c r="D6" s="22"/>
      <c r="E6" s="24"/>
      <c r="F6" s="46"/>
      <c r="G6" s="24"/>
      <c r="H6" s="46"/>
      <c r="I6" s="45"/>
      <c r="J6" s="24"/>
      <c r="K6" s="45"/>
      <c r="L6" s="24"/>
      <c r="M6" s="45"/>
      <c r="N6" s="45"/>
      <c r="O6" s="24"/>
      <c r="P6" s="45"/>
      <c r="Q6" s="24"/>
      <c r="R6" s="45"/>
    </row>
    <row r="7" spans="1:18" ht="12.75">
      <c r="A7" s="21"/>
      <c r="B7" s="21"/>
      <c r="C7" s="22" t="s">
        <v>68</v>
      </c>
      <c r="D7" s="22"/>
      <c r="E7" s="125" t="s">
        <v>29</v>
      </c>
      <c r="F7" s="125"/>
      <c r="G7" s="125"/>
      <c r="H7" s="125"/>
      <c r="I7" s="126"/>
      <c r="J7" s="125" t="s">
        <v>30</v>
      </c>
      <c r="K7" s="125"/>
      <c r="L7" s="125"/>
      <c r="M7" s="125"/>
      <c r="N7" s="126"/>
      <c r="O7" s="125" t="s">
        <v>31</v>
      </c>
      <c r="P7" s="125"/>
      <c r="Q7" s="125"/>
      <c r="R7" s="125"/>
    </row>
    <row r="8" spans="1:18" ht="12.75">
      <c r="A8" s="21"/>
      <c r="B8" s="21"/>
      <c r="C8" s="22" t="s">
        <v>69</v>
      </c>
      <c r="D8" s="21"/>
      <c r="E8" s="24" t="s">
        <v>62</v>
      </c>
      <c r="F8" s="49" t="s">
        <v>70</v>
      </c>
      <c r="G8" s="24" t="s">
        <v>62</v>
      </c>
      <c r="H8" s="49" t="s">
        <v>70</v>
      </c>
      <c r="I8" s="45"/>
      <c r="J8" s="24" t="s">
        <v>62</v>
      </c>
      <c r="K8" s="24" t="s">
        <v>71</v>
      </c>
      <c r="L8" s="24" t="s">
        <v>62</v>
      </c>
      <c r="M8" s="24" t="s">
        <v>71</v>
      </c>
      <c r="N8" s="45"/>
      <c r="O8" s="24" t="s">
        <v>62</v>
      </c>
      <c r="P8" s="24" t="s">
        <v>71</v>
      </c>
      <c r="Q8" s="24" t="s">
        <v>62</v>
      </c>
      <c r="R8" s="24" t="s">
        <v>71</v>
      </c>
    </row>
    <row r="9" spans="1:18" ht="12.75">
      <c r="A9" s="21"/>
      <c r="B9" s="21"/>
      <c r="C9" s="22"/>
      <c r="D9" s="21"/>
      <c r="E9" s="24" t="s">
        <v>200</v>
      </c>
      <c r="F9" s="24" t="s">
        <v>200</v>
      </c>
      <c r="G9" s="24" t="s">
        <v>72</v>
      </c>
      <c r="H9" s="49" t="s">
        <v>72</v>
      </c>
      <c r="I9" s="45"/>
      <c r="J9" s="24" t="s">
        <v>200</v>
      </c>
      <c r="K9" s="24" t="s">
        <v>200</v>
      </c>
      <c r="L9" s="24" t="s">
        <v>72</v>
      </c>
      <c r="M9" s="49" t="s">
        <v>72</v>
      </c>
      <c r="N9" s="45"/>
      <c r="O9" s="24" t="s">
        <v>200</v>
      </c>
      <c r="P9" s="24" t="s">
        <v>200</v>
      </c>
      <c r="Q9" s="24" t="s">
        <v>72</v>
      </c>
      <c r="R9" s="49" t="s">
        <v>72</v>
      </c>
    </row>
    <row r="10" spans="1:18" ht="12.75">
      <c r="A10" s="21" t="s">
        <v>105</v>
      </c>
      <c r="B10" s="21"/>
      <c r="C10" s="21"/>
      <c r="D10" s="21"/>
      <c r="E10" s="45"/>
      <c r="F10" s="46"/>
      <c r="G10" s="45"/>
      <c r="H10" s="46"/>
      <c r="I10" s="45"/>
      <c r="J10" s="45"/>
      <c r="K10" s="45"/>
      <c r="L10" s="45"/>
      <c r="M10" s="45"/>
      <c r="N10" s="45"/>
      <c r="O10" s="23"/>
      <c r="P10" s="45"/>
      <c r="Q10" s="45"/>
      <c r="R10" s="45"/>
    </row>
    <row r="11" spans="1:18" ht="12.75">
      <c r="A11" s="21"/>
      <c r="B11" s="21" t="s">
        <v>73</v>
      </c>
      <c r="C11" s="22">
        <v>1</v>
      </c>
      <c r="D11" s="22"/>
      <c r="E11" s="51">
        <v>1.41</v>
      </c>
      <c r="F11" s="51">
        <f aca="true" t="shared" si="0" ref="F11:H35">IF(E11="","",E11*$C11)</f>
        <v>1.41</v>
      </c>
      <c r="G11" s="51">
        <f aca="true" t="shared" si="1" ref="G11:G35">IF(E11=0,"",IF(D11="nd",E11/2,E11))</f>
        <v>1.41</v>
      </c>
      <c r="H11" s="51">
        <f t="shared" si="0"/>
        <v>1.41</v>
      </c>
      <c r="I11" s="51"/>
      <c r="J11" s="51">
        <v>0.76</v>
      </c>
      <c r="K11" s="51">
        <f aca="true" t="shared" si="2" ref="K11:M35">IF(J11="","",J11*$C11)</f>
        <v>0.76</v>
      </c>
      <c r="L11" s="51">
        <f aca="true" t="shared" si="3" ref="L11:L35">IF(J11=0,"",IF(I11="nd",J11/2,J11))</f>
        <v>0.76</v>
      </c>
      <c r="M11" s="51">
        <f t="shared" si="2"/>
        <v>0.76</v>
      </c>
      <c r="N11" s="51"/>
      <c r="O11" s="51">
        <v>0.2</v>
      </c>
      <c r="P11" s="51">
        <f aca="true" t="shared" si="4" ref="P11:R35">IF(O11="","",O11*$C11)</f>
        <v>0.2</v>
      </c>
      <c r="Q11" s="51">
        <f aca="true" t="shared" si="5" ref="Q11:Q35">IF(O11=0,"",IF(N11="nd",O11/2,O11))</f>
        <v>0.2</v>
      </c>
      <c r="R11" s="51">
        <f t="shared" si="4"/>
        <v>0.2</v>
      </c>
    </row>
    <row r="12" spans="1:18" ht="12.75">
      <c r="A12" s="21"/>
      <c r="B12" s="21" t="s">
        <v>74</v>
      </c>
      <c r="C12" s="22">
        <v>0.5</v>
      </c>
      <c r="D12" s="22"/>
      <c r="E12" s="51">
        <v>3.22</v>
      </c>
      <c r="F12" s="51">
        <f t="shared" si="0"/>
        <v>1.61</v>
      </c>
      <c r="G12" s="51">
        <f t="shared" si="1"/>
        <v>3.22</v>
      </c>
      <c r="H12" s="51">
        <f t="shared" si="0"/>
        <v>1.61</v>
      </c>
      <c r="I12" s="51"/>
      <c r="J12" s="51">
        <v>2.59</v>
      </c>
      <c r="K12" s="51">
        <f t="shared" si="2"/>
        <v>1.295</v>
      </c>
      <c r="L12" s="51">
        <f t="shared" si="3"/>
        <v>2.59</v>
      </c>
      <c r="M12" s="51">
        <f t="shared" si="2"/>
        <v>1.295</v>
      </c>
      <c r="N12" s="51"/>
      <c r="O12" s="51">
        <v>0.65</v>
      </c>
      <c r="P12" s="51">
        <f t="shared" si="4"/>
        <v>0.325</v>
      </c>
      <c r="Q12" s="51">
        <f t="shared" si="5"/>
        <v>0.65</v>
      </c>
      <c r="R12" s="51">
        <f t="shared" si="4"/>
        <v>0.325</v>
      </c>
    </row>
    <row r="13" spans="1:18" ht="12.75">
      <c r="A13" s="21"/>
      <c r="B13" s="21" t="s">
        <v>75</v>
      </c>
      <c r="C13" s="22">
        <v>0.1</v>
      </c>
      <c r="D13" s="22"/>
      <c r="E13" s="51">
        <v>2.83</v>
      </c>
      <c r="F13" s="51">
        <f t="shared" si="0"/>
        <v>0.28300000000000003</v>
      </c>
      <c r="G13" s="51">
        <f t="shared" si="1"/>
        <v>2.83</v>
      </c>
      <c r="H13" s="51">
        <f t="shared" si="0"/>
        <v>0.28300000000000003</v>
      </c>
      <c r="I13" s="51"/>
      <c r="J13" s="51">
        <v>1.69</v>
      </c>
      <c r="K13" s="51">
        <f>IF(J13="","",J13*$C13)</f>
        <v>0.169</v>
      </c>
      <c r="L13" s="51">
        <f t="shared" si="3"/>
        <v>1.69</v>
      </c>
      <c r="M13" s="51">
        <f>IF(L13="","",L13*$C13)</f>
        <v>0.169</v>
      </c>
      <c r="N13" s="51"/>
      <c r="O13" s="51">
        <v>0.39</v>
      </c>
      <c r="P13" s="51">
        <f t="shared" si="4"/>
        <v>0.03900000000000001</v>
      </c>
      <c r="Q13" s="51">
        <f t="shared" si="5"/>
        <v>0.39</v>
      </c>
      <c r="R13" s="51">
        <f t="shared" si="4"/>
        <v>0.03900000000000001</v>
      </c>
    </row>
    <row r="14" spans="1:18" ht="12.75">
      <c r="A14" s="21"/>
      <c r="B14" s="21" t="s">
        <v>76</v>
      </c>
      <c r="C14" s="22">
        <v>0.1</v>
      </c>
      <c r="D14" s="22"/>
      <c r="E14" s="51">
        <v>14.99</v>
      </c>
      <c r="F14" s="51">
        <f t="shared" si="0"/>
        <v>1.499</v>
      </c>
      <c r="G14" s="51">
        <f t="shared" si="1"/>
        <v>14.99</v>
      </c>
      <c r="H14" s="51">
        <f t="shared" si="0"/>
        <v>1.499</v>
      </c>
      <c r="I14" s="51"/>
      <c r="J14" s="51">
        <v>12.02</v>
      </c>
      <c r="K14" s="51">
        <f t="shared" si="2"/>
        <v>1.202</v>
      </c>
      <c r="L14" s="51">
        <f t="shared" si="3"/>
        <v>12.02</v>
      </c>
      <c r="M14" s="51">
        <f t="shared" si="2"/>
        <v>1.202</v>
      </c>
      <c r="N14" s="51"/>
      <c r="O14" s="51">
        <v>1.77</v>
      </c>
      <c r="P14" s="51">
        <f t="shared" si="4"/>
        <v>0.17700000000000002</v>
      </c>
      <c r="Q14" s="51">
        <f t="shared" si="5"/>
        <v>1.77</v>
      </c>
      <c r="R14" s="51">
        <f t="shared" si="4"/>
        <v>0.17700000000000002</v>
      </c>
    </row>
    <row r="15" spans="1:18" ht="12.75">
      <c r="A15" s="21"/>
      <c r="B15" s="21" t="s">
        <v>77</v>
      </c>
      <c r="C15" s="22">
        <v>0.1</v>
      </c>
      <c r="D15" s="22"/>
      <c r="E15" s="51">
        <v>11.48</v>
      </c>
      <c r="F15" s="51">
        <f t="shared" si="0"/>
        <v>1.1480000000000001</v>
      </c>
      <c r="G15" s="51">
        <f t="shared" si="1"/>
        <v>11.48</v>
      </c>
      <c r="H15" s="51">
        <f t="shared" si="0"/>
        <v>1.1480000000000001</v>
      </c>
      <c r="I15" s="51"/>
      <c r="J15" s="51">
        <v>7.32</v>
      </c>
      <c r="K15" s="51">
        <f t="shared" si="2"/>
        <v>0.7320000000000001</v>
      </c>
      <c r="L15" s="51">
        <f t="shared" si="3"/>
        <v>7.32</v>
      </c>
      <c r="M15" s="51">
        <f t="shared" si="2"/>
        <v>0.7320000000000001</v>
      </c>
      <c r="N15" s="51"/>
      <c r="O15" s="51">
        <v>1.37</v>
      </c>
      <c r="P15" s="51">
        <f t="shared" si="4"/>
        <v>0.137</v>
      </c>
      <c r="Q15" s="51">
        <f t="shared" si="5"/>
        <v>1.37</v>
      </c>
      <c r="R15" s="51">
        <f t="shared" si="4"/>
        <v>0.137</v>
      </c>
    </row>
    <row r="16" spans="1:18" ht="12.75">
      <c r="A16" s="21"/>
      <c r="B16" s="21" t="s">
        <v>78</v>
      </c>
      <c r="C16" s="22">
        <v>0.01</v>
      </c>
      <c r="D16" s="22"/>
      <c r="E16" s="51">
        <v>51.41</v>
      </c>
      <c r="F16" s="51">
        <f t="shared" si="0"/>
        <v>0.5141</v>
      </c>
      <c r="G16" s="51">
        <f t="shared" si="1"/>
        <v>51.41</v>
      </c>
      <c r="H16" s="51">
        <f t="shared" si="0"/>
        <v>0.5141</v>
      </c>
      <c r="I16" s="51"/>
      <c r="J16" s="51">
        <v>38.94</v>
      </c>
      <c r="K16" s="51">
        <f t="shared" si="2"/>
        <v>0.38939999999999997</v>
      </c>
      <c r="L16" s="51">
        <f t="shared" si="3"/>
        <v>38.94</v>
      </c>
      <c r="M16" s="51">
        <f t="shared" si="2"/>
        <v>0.38939999999999997</v>
      </c>
      <c r="N16" s="51"/>
      <c r="O16" s="51">
        <v>6.13</v>
      </c>
      <c r="P16" s="51">
        <f t="shared" si="4"/>
        <v>0.0613</v>
      </c>
      <c r="Q16" s="51">
        <f t="shared" si="5"/>
        <v>6.13</v>
      </c>
      <c r="R16" s="51">
        <f t="shared" si="4"/>
        <v>0.0613</v>
      </c>
    </row>
    <row r="17" spans="1:18" ht="12.75">
      <c r="A17" s="21"/>
      <c r="B17" s="21" t="s">
        <v>79</v>
      </c>
      <c r="C17" s="22">
        <v>0.001</v>
      </c>
      <c r="D17" s="22"/>
      <c r="E17" s="51">
        <v>21.53</v>
      </c>
      <c r="F17" s="51">
        <f t="shared" si="0"/>
        <v>0.02153</v>
      </c>
      <c r="G17" s="51">
        <f t="shared" si="1"/>
        <v>21.53</v>
      </c>
      <c r="H17" s="51">
        <f t="shared" si="0"/>
        <v>0.02153</v>
      </c>
      <c r="I17" s="51"/>
      <c r="J17" s="51">
        <v>16.7</v>
      </c>
      <c r="K17" s="51">
        <f t="shared" si="2"/>
        <v>0.0167</v>
      </c>
      <c r="L17" s="51">
        <f t="shared" si="3"/>
        <v>16.7</v>
      </c>
      <c r="M17" s="51">
        <f t="shared" si="2"/>
        <v>0.0167</v>
      </c>
      <c r="N17" s="51"/>
      <c r="O17" s="51">
        <v>3.37</v>
      </c>
      <c r="P17" s="51">
        <f t="shared" si="4"/>
        <v>0.00337</v>
      </c>
      <c r="Q17" s="51">
        <f t="shared" si="5"/>
        <v>3.37</v>
      </c>
      <c r="R17" s="51">
        <f t="shared" si="4"/>
        <v>0.00337</v>
      </c>
    </row>
    <row r="18" spans="1:18" ht="12.75">
      <c r="A18" s="21"/>
      <c r="B18" s="21" t="s">
        <v>80</v>
      </c>
      <c r="C18" s="22">
        <v>0.1</v>
      </c>
      <c r="D18" s="22"/>
      <c r="E18" s="51">
        <v>32.51</v>
      </c>
      <c r="F18" s="51">
        <f t="shared" si="0"/>
        <v>3.251</v>
      </c>
      <c r="G18" s="51">
        <f t="shared" si="1"/>
        <v>32.51</v>
      </c>
      <c r="H18" s="51">
        <f t="shared" si="0"/>
        <v>3.251</v>
      </c>
      <c r="I18" s="51"/>
      <c r="J18" s="51">
        <v>26.76</v>
      </c>
      <c r="K18" s="51">
        <f t="shared" si="2"/>
        <v>2.676</v>
      </c>
      <c r="L18" s="51">
        <f t="shared" si="3"/>
        <v>26.76</v>
      </c>
      <c r="M18" s="51">
        <f t="shared" si="2"/>
        <v>2.676</v>
      </c>
      <c r="N18" s="51"/>
      <c r="O18" s="51">
        <v>5.8</v>
      </c>
      <c r="P18" s="51">
        <f t="shared" si="4"/>
        <v>0.58</v>
      </c>
      <c r="Q18" s="51">
        <f t="shared" si="5"/>
        <v>5.8</v>
      </c>
      <c r="R18" s="51">
        <f t="shared" si="4"/>
        <v>0.58</v>
      </c>
    </row>
    <row r="19" spans="1:18" ht="12.75">
      <c r="A19" s="21"/>
      <c r="B19" s="21" t="s">
        <v>81</v>
      </c>
      <c r="C19" s="22">
        <v>0.05</v>
      </c>
      <c r="D19" s="22"/>
      <c r="E19" s="51">
        <v>25.83</v>
      </c>
      <c r="F19" s="51">
        <f t="shared" si="0"/>
        <v>1.2915</v>
      </c>
      <c r="G19" s="51">
        <f t="shared" si="1"/>
        <v>25.83</v>
      </c>
      <c r="H19" s="51">
        <f t="shared" si="0"/>
        <v>1.2915</v>
      </c>
      <c r="I19" s="51"/>
      <c r="J19" s="51">
        <v>18.01</v>
      </c>
      <c r="K19" s="51">
        <f t="shared" si="2"/>
        <v>0.9005000000000001</v>
      </c>
      <c r="L19" s="51">
        <f t="shared" si="3"/>
        <v>18.01</v>
      </c>
      <c r="M19" s="51">
        <f t="shared" si="2"/>
        <v>0.9005000000000001</v>
      </c>
      <c r="N19" s="51"/>
      <c r="O19" s="51">
        <v>4.03</v>
      </c>
      <c r="P19" s="51">
        <f t="shared" si="4"/>
        <v>0.2015</v>
      </c>
      <c r="Q19" s="51">
        <f t="shared" si="5"/>
        <v>4.03</v>
      </c>
      <c r="R19" s="51">
        <f t="shared" si="4"/>
        <v>0.2015</v>
      </c>
    </row>
    <row r="20" spans="1:18" ht="12.75">
      <c r="A20" s="21"/>
      <c r="B20" s="21" t="s">
        <v>82</v>
      </c>
      <c r="C20" s="22">
        <v>0.5</v>
      </c>
      <c r="D20" s="22"/>
      <c r="E20" s="51">
        <v>49.45</v>
      </c>
      <c r="F20" s="51">
        <f t="shared" si="0"/>
        <v>24.725</v>
      </c>
      <c r="G20" s="51">
        <f t="shared" si="1"/>
        <v>49.45</v>
      </c>
      <c r="H20" s="51">
        <f t="shared" si="0"/>
        <v>24.725</v>
      </c>
      <c r="I20" s="51"/>
      <c r="J20" s="51">
        <v>33.4</v>
      </c>
      <c r="K20" s="51">
        <f t="shared" si="2"/>
        <v>16.7</v>
      </c>
      <c r="L20" s="51">
        <f t="shared" si="3"/>
        <v>33.4</v>
      </c>
      <c r="M20" s="51">
        <f t="shared" si="2"/>
        <v>16.7</v>
      </c>
      <c r="N20" s="51"/>
      <c r="O20" s="51">
        <v>6.92</v>
      </c>
      <c r="P20" s="51">
        <f t="shared" si="4"/>
        <v>3.46</v>
      </c>
      <c r="Q20" s="51">
        <f t="shared" si="5"/>
        <v>6.92</v>
      </c>
      <c r="R20" s="51">
        <f t="shared" si="4"/>
        <v>3.46</v>
      </c>
    </row>
    <row r="21" spans="1:18" ht="12.75">
      <c r="A21" s="21"/>
      <c r="B21" s="21" t="s">
        <v>83</v>
      </c>
      <c r="C21" s="22">
        <v>0.1</v>
      </c>
      <c r="D21" s="22"/>
      <c r="E21" s="51">
        <v>35.54</v>
      </c>
      <c r="F21" s="51">
        <f t="shared" si="0"/>
        <v>3.5540000000000003</v>
      </c>
      <c r="G21" s="51">
        <f t="shared" si="1"/>
        <v>35.54</v>
      </c>
      <c r="H21" s="51">
        <f t="shared" si="0"/>
        <v>3.5540000000000003</v>
      </c>
      <c r="I21" s="51"/>
      <c r="J21" s="51">
        <v>32.06</v>
      </c>
      <c r="K21" s="51">
        <f t="shared" si="2"/>
        <v>3.2060000000000004</v>
      </c>
      <c r="L21" s="51">
        <f t="shared" si="3"/>
        <v>32.06</v>
      </c>
      <c r="M21" s="51">
        <f t="shared" si="2"/>
        <v>3.2060000000000004</v>
      </c>
      <c r="N21" s="51"/>
      <c r="O21" s="51">
        <v>6.65</v>
      </c>
      <c r="P21" s="51">
        <f t="shared" si="4"/>
        <v>0.665</v>
      </c>
      <c r="Q21" s="51">
        <f t="shared" si="5"/>
        <v>6.65</v>
      </c>
      <c r="R21" s="51">
        <f t="shared" si="4"/>
        <v>0.665</v>
      </c>
    </row>
    <row r="22" spans="1:18" ht="12.75">
      <c r="A22" s="21"/>
      <c r="B22" s="21" t="s">
        <v>84</v>
      </c>
      <c r="C22" s="22">
        <v>0.1</v>
      </c>
      <c r="D22" s="22"/>
      <c r="E22" s="51">
        <v>20.39</v>
      </c>
      <c r="F22" s="51">
        <f t="shared" si="0"/>
        <v>2.039</v>
      </c>
      <c r="G22" s="51">
        <f t="shared" si="1"/>
        <v>20.39</v>
      </c>
      <c r="H22" s="51">
        <f t="shared" si="0"/>
        <v>2.039</v>
      </c>
      <c r="I22" s="51"/>
      <c r="J22" s="51">
        <v>17</v>
      </c>
      <c r="K22" s="51">
        <f t="shared" si="2"/>
        <v>1.7000000000000002</v>
      </c>
      <c r="L22" s="51">
        <f t="shared" si="3"/>
        <v>17</v>
      </c>
      <c r="M22" s="51">
        <f t="shared" si="2"/>
        <v>1.7000000000000002</v>
      </c>
      <c r="N22" s="51"/>
      <c r="O22" s="51">
        <v>3.53</v>
      </c>
      <c r="P22" s="51">
        <f t="shared" si="4"/>
        <v>0.353</v>
      </c>
      <c r="Q22" s="51">
        <f t="shared" si="5"/>
        <v>3.53</v>
      </c>
      <c r="R22" s="51">
        <f t="shared" si="4"/>
        <v>0.353</v>
      </c>
    </row>
    <row r="23" spans="1:18" ht="12.75">
      <c r="A23" s="21"/>
      <c r="B23" s="21" t="s">
        <v>85</v>
      </c>
      <c r="C23" s="22">
        <v>0.1</v>
      </c>
      <c r="D23" s="22"/>
      <c r="E23" s="51">
        <v>2.34</v>
      </c>
      <c r="F23" s="51">
        <f t="shared" si="0"/>
        <v>0.23399999999999999</v>
      </c>
      <c r="G23" s="51">
        <f t="shared" si="1"/>
        <v>2.34</v>
      </c>
      <c r="H23" s="51">
        <f t="shared" si="0"/>
        <v>0.23399999999999999</v>
      </c>
      <c r="I23" s="51"/>
      <c r="J23" s="51">
        <v>21.49</v>
      </c>
      <c r="K23" s="51">
        <f t="shared" si="2"/>
        <v>2.149</v>
      </c>
      <c r="L23" s="51">
        <f t="shared" si="3"/>
        <v>21.49</v>
      </c>
      <c r="M23" s="51">
        <f t="shared" si="2"/>
        <v>2.149</v>
      </c>
      <c r="N23" s="51"/>
      <c r="O23" s="51">
        <v>0.3</v>
      </c>
      <c r="P23" s="51">
        <f t="shared" si="4"/>
        <v>0.03</v>
      </c>
      <c r="Q23" s="51">
        <f t="shared" si="5"/>
        <v>0.3</v>
      </c>
      <c r="R23" s="51">
        <f t="shared" si="4"/>
        <v>0.03</v>
      </c>
    </row>
    <row r="24" spans="1:18" ht="12.75">
      <c r="A24" s="21"/>
      <c r="B24" s="21" t="s">
        <v>86</v>
      </c>
      <c r="C24" s="22">
        <v>0.1</v>
      </c>
      <c r="D24" s="22"/>
      <c r="E24" s="51">
        <v>22.71</v>
      </c>
      <c r="F24" s="51">
        <f t="shared" si="0"/>
        <v>2.2710000000000004</v>
      </c>
      <c r="G24" s="51">
        <f t="shared" si="1"/>
        <v>22.71</v>
      </c>
      <c r="H24" s="51">
        <f t="shared" si="0"/>
        <v>2.2710000000000004</v>
      </c>
      <c r="I24" s="51"/>
      <c r="J24" s="51">
        <v>2.08</v>
      </c>
      <c r="K24" s="51">
        <f t="shared" si="2"/>
        <v>0.20800000000000002</v>
      </c>
      <c r="L24" s="51">
        <f t="shared" si="3"/>
        <v>2.08</v>
      </c>
      <c r="M24" s="51">
        <f t="shared" si="2"/>
        <v>0.20800000000000002</v>
      </c>
      <c r="N24" s="51"/>
      <c r="O24" s="51">
        <v>3.59</v>
      </c>
      <c r="P24" s="51">
        <f t="shared" si="4"/>
        <v>0.359</v>
      </c>
      <c r="Q24" s="51">
        <f t="shared" si="5"/>
        <v>3.59</v>
      </c>
      <c r="R24" s="51">
        <f t="shared" si="4"/>
        <v>0.359</v>
      </c>
    </row>
    <row r="25" spans="1:18" ht="12.75">
      <c r="A25" s="21"/>
      <c r="B25" s="21" t="s">
        <v>87</v>
      </c>
      <c r="C25" s="22">
        <v>0.01</v>
      </c>
      <c r="D25" s="22"/>
      <c r="E25" s="51">
        <v>25.45</v>
      </c>
      <c r="F25" s="51">
        <f t="shared" si="0"/>
        <v>0.2545</v>
      </c>
      <c r="G25" s="51">
        <f t="shared" si="1"/>
        <v>25.45</v>
      </c>
      <c r="H25" s="51">
        <f t="shared" si="0"/>
        <v>0.2545</v>
      </c>
      <c r="I25" s="51"/>
      <c r="J25" s="51">
        <v>23.8</v>
      </c>
      <c r="K25" s="51">
        <f t="shared" si="2"/>
        <v>0.23800000000000002</v>
      </c>
      <c r="L25" s="51">
        <f t="shared" si="3"/>
        <v>23.8</v>
      </c>
      <c r="M25" s="51">
        <f t="shared" si="2"/>
        <v>0.23800000000000002</v>
      </c>
      <c r="N25" s="51"/>
      <c r="O25" s="51">
        <v>4.34</v>
      </c>
      <c r="P25" s="51">
        <f t="shared" si="4"/>
        <v>0.0434</v>
      </c>
      <c r="Q25" s="51">
        <f t="shared" si="5"/>
        <v>4.34</v>
      </c>
      <c r="R25" s="51">
        <f t="shared" si="4"/>
        <v>0.0434</v>
      </c>
    </row>
    <row r="26" spans="1:18" ht="12.75">
      <c r="A26" s="21"/>
      <c r="B26" s="21" t="s">
        <v>88</v>
      </c>
      <c r="C26" s="22">
        <v>0.01</v>
      </c>
      <c r="D26" s="22"/>
      <c r="E26" s="51">
        <v>4.92</v>
      </c>
      <c r="F26" s="51">
        <f t="shared" si="0"/>
        <v>0.0492</v>
      </c>
      <c r="G26" s="51">
        <f t="shared" si="1"/>
        <v>4.92</v>
      </c>
      <c r="H26" s="51">
        <f t="shared" si="0"/>
        <v>0.0492</v>
      </c>
      <c r="I26" s="51"/>
      <c r="J26" s="51">
        <v>5.96</v>
      </c>
      <c r="K26" s="51">
        <f t="shared" si="2"/>
        <v>0.0596</v>
      </c>
      <c r="L26" s="51">
        <f t="shared" si="3"/>
        <v>5.96</v>
      </c>
      <c r="M26" s="51">
        <f t="shared" si="2"/>
        <v>0.0596</v>
      </c>
      <c r="N26" s="51"/>
      <c r="O26" s="51">
        <v>0.73</v>
      </c>
      <c r="P26" s="51">
        <f t="shared" si="4"/>
        <v>0.0073</v>
      </c>
      <c r="Q26" s="51">
        <f t="shared" si="5"/>
        <v>0.73</v>
      </c>
      <c r="R26" s="51">
        <f t="shared" si="4"/>
        <v>0.0073</v>
      </c>
    </row>
    <row r="27" spans="1:18" ht="12.75">
      <c r="A27" s="21"/>
      <c r="B27" s="21" t="s">
        <v>89</v>
      </c>
      <c r="C27" s="22">
        <v>0.001</v>
      </c>
      <c r="D27" s="22"/>
      <c r="E27" s="51">
        <v>4.32</v>
      </c>
      <c r="F27" s="51">
        <f t="shared" si="0"/>
        <v>0.00432</v>
      </c>
      <c r="G27" s="51">
        <f t="shared" si="1"/>
        <v>4.32</v>
      </c>
      <c r="H27" s="51">
        <f t="shared" si="0"/>
        <v>0.00432</v>
      </c>
      <c r="I27" s="51"/>
      <c r="J27" s="51">
        <v>3.8</v>
      </c>
      <c r="K27" s="51">
        <f t="shared" si="2"/>
        <v>0.0038</v>
      </c>
      <c r="L27" s="51">
        <f t="shared" si="3"/>
        <v>3.8</v>
      </c>
      <c r="M27" s="51">
        <f t="shared" si="2"/>
        <v>0.0038</v>
      </c>
      <c r="N27" s="51"/>
      <c r="O27" s="51">
        <v>0.61</v>
      </c>
      <c r="P27" s="51">
        <f t="shared" si="4"/>
        <v>0.00061</v>
      </c>
      <c r="Q27" s="51">
        <f t="shared" si="5"/>
        <v>0.61</v>
      </c>
      <c r="R27" s="51">
        <f t="shared" si="4"/>
        <v>0.00061</v>
      </c>
    </row>
    <row r="28" spans="1:18" ht="12.75">
      <c r="A28" s="21"/>
      <c r="B28" s="21" t="s">
        <v>90</v>
      </c>
      <c r="C28" s="22">
        <v>0</v>
      </c>
      <c r="D28" s="22"/>
      <c r="E28" s="51">
        <f>E11+74.07</f>
        <v>75.47999999999999</v>
      </c>
      <c r="F28" s="51">
        <f t="shared" si="0"/>
        <v>0</v>
      </c>
      <c r="G28" s="51">
        <f t="shared" si="1"/>
        <v>75.47999999999999</v>
      </c>
      <c r="H28" s="51">
        <f t="shared" si="0"/>
        <v>0</v>
      </c>
      <c r="I28" s="51"/>
      <c r="J28" s="51">
        <f>J11+46.55</f>
        <v>47.309999999999995</v>
      </c>
      <c r="K28" s="51">
        <f t="shared" si="2"/>
        <v>0</v>
      </c>
      <c r="L28" s="51">
        <f t="shared" si="3"/>
        <v>47.309999999999995</v>
      </c>
      <c r="M28" s="51">
        <f t="shared" si="2"/>
        <v>0</v>
      </c>
      <c r="N28" s="51"/>
      <c r="O28" s="51">
        <f>O11+17.39</f>
        <v>17.59</v>
      </c>
      <c r="P28" s="51">
        <f t="shared" si="4"/>
        <v>0</v>
      </c>
      <c r="Q28" s="51">
        <f t="shared" si="5"/>
        <v>17.59</v>
      </c>
      <c r="R28" s="51">
        <f t="shared" si="4"/>
        <v>0</v>
      </c>
    </row>
    <row r="29" spans="1:18" ht="12.75">
      <c r="A29" s="21"/>
      <c r="B29" s="21" t="s">
        <v>91</v>
      </c>
      <c r="C29" s="22">
        <v>0</v>
      </c>
      <c r="D29" s="22"/>
      <c r="E29" s="51">
        <f>E12+114.42</f>
        <v>117.64</v>
      </c>
      <c r="F29" s="51">
        <f t="shared" si="0"/>
        <v>0</v>
      </c>
      <c r="G29" s="51">
        <f t="shared" si="1"/>
        <v>117.64</v>
      </c>
      <c r="H29" s="51">
        <f t="shared" si="0"/>
        <v>0</v>
      </c>
      <c r="I29" s="51"/>
      <c r="J29" s="51">
        <f>J12+97.56</f>
        <v>100.15</v>
      </c>
      <c r="K29" s="51">
        <f t="shared" si="2"/>
        <v>0</v>
      </c>
      <c r="L29" s="51">
        <f t="shared" si="3"/>
        <v>100.15</v>
      </c>
      <c r="M29" s="51">
        <f t="shared" si="2"/>
        <v>0</v>
      </c>
      <c r="N29" s="51"/>
      <c r="O29" s="51">
        <f>O12+22.6</f>
        <v>23.25</v>
      </c>
      <c r="P29" s="51">
        <f t="shared" si="4"/>
        <v>0</v>
      </c>
      <c r="Q29" s="51">
        <f t="shared" si="5"/>
        <v>23.25</v>
      </c>
      <c r="R29" s="51">
        <f t="shared" si="4"/>
        <v>0</v>
      </c>
    </row>
    <row r="30" spans="1:18" ht="12.75">
      <c r="A30" s="21"/>
      <c r="B30" s="21" t="s">
        <v>92</v>
      </c>
      <c r="C30" s="22">
        <v>0</v>
      </c>
      <c r="D30" s="22"/>
      <c r="E30" s="51">
        <f>E13+E14+E15+138.92</f>
        <v>168.22</v>
      </c>
      <c r="F30" s="51">
        <f t="shared" si="0"/>
        <v>0</v>
      </c>
      <c r="G30" s="51">
        <f t="shared" si="1"/>
        <v>168.22</v>
      </c>
      <c r="H30" s="51">
        <f t="shared" si="0"/>
        <v>0</v>
      </c>
      <c r="I30" s="51"/>
      <c r="J30" s="51">
        <f>J13+J14+J15+93.36</f>
        <v>114.39</v>
      </c>
      <c r="K30" s="51">
        <f t="shared" si="2"/>
        <v>0</v>
      </c>
      <c r="L30" s="51">
        <f t="shared" si="3"/>
        <v>114.39</v>
      </c>
      <c r="M30" s="51">
        <f t="shared" si="2"/>
        <v>0</v>
      </c>
      <c r="N30" s="51"/>
      <c r="O30" s="51">
        <f>O13+O14+O15+16.13</f>
        <v>19.66</v>
      </c>
      <c r="P30" s="51">
        <f t="shared" si="4"/>
        <v>0</v>
      </c>
      <c r="Q30" s="51">
        <f t="shared" si="5"/>
        <v>19.66</v>
      </c>
      <c r="R30" s="51">
        <f t="shared" si="4"/>
        <v>0</v>
      </c>
    </row>
    <row r="31" spans="1:18" ht="12.75">
      <c r="A31" s="21"/>
      <c r="B31" s="21" t="s">
        <v>93</v>
      </c>
      <c r="C31" s="22">
        <v>0</v>
      </c>
      <c r="D31" s="22"/>
      <c r="E31" s="51">
        <f>E16+54.76</f>
        <v>106.16999999999999</v>
      </c>
      <c r="F31" s="51">
        <f t="shared" si="0"/>
        <v>0</v>
      </c>
      <c r="G31" s="51">
        <f t="shared" si="1"/>
        <v>106.16999999999999</v>
      </c>
      <c r="H31" s="51">
        <f t="shared" si="0"/>
        <v>0</v>
      </c>
      <c r="I31" s="51"/>
      <c r="J31" s="51">
        <f>J16+39.27</f>
        <v>78.21000000000001</v>
      </c>
      <c r="K31" s="51">
        <f t="shared" si="2"/>
        <v>0</v>
      </c>
      <c r="L31" s="51">
        <f t="shared" si="3"/>
        <v>78.21000000000001</v>
      </c>
      <c r="M31" s="51">
        <f t="shared" si="2"/>
        <v>0</v>
      </c>
      <c r="N31" s="51"/>
      <c r="O31" s="51">
        <f>O16+5.88</f>
        <v>12.01</v>
      </c>
      <c r="P31" s="51">
        <f t="shared" si="4"/>
        <v>0</v>
      </c>
      <c r="Q31" s="51">
        <f t="shared" si="5"/>
        <v>12.01</v>
      </c>
      <c r="R31" s="51">
        <f t="shared" si="4"/>
        <v>0</v>
      </c>
    </row>
    <row r="32" spans="1:18" ht="12.75">
      <c r="A32" s="21"/>
      <c r="B32" s="21" t="s">
        <v>94</v>
      </c>
      <c r="C32" s="22">
        <v>0</v>
      </c>
      <c r="D32" s="22"/>
      <c r="E32" s="50">
        <f>E18+324.8</f>
        <v>357.31</v>
      </c>
      <c r="F32" s="51">
        <f t="shared" si="0"/>
        <v>0</v>
      </c>
      <c r="G32" s="51">
        <f t="shared" si="1"/>
        <v>357.31</v>
      </c>
      <c r="H32" s="51">
        <f t="shared" si="0"/>
        <v>0</v>
      </c>
      <c r="I32" s="51"/>
      <c r="J32" s="50">
        <f>J18+483.95</f>
        <v>510.71</v>
      </c>
      <c r="K32" s="51">
        <f t="shared" si="2"/>
        <v>0</v>
      </c>
      <c r="L32" s="51">
        <f t="shared" si="3"/>
        <v>510.71</v>
      </c>
      <c r="M32" s="51">
        <f t="shared" si="2"/>
        <v>0</v>
      </c>
      <c r="N32" s="51"/>
      <c r="O32" s="51">
        <f>O18+195.89</f>
        <v>201.69</v>
      </c>
      <c r="P32" s="51">
        <f t="shared" si="4"/>
        <v>0</v>
      </c>
      <c r="Q32" s="51">
        <f t="shared" si="5"/>
        <v>201.69</v>
      </c>
      <c r="R32" s="51">
        <f t="shared" si="4"/>
        <v>0</v>
      </c>
    </row>
    <row r="33" spans="1:18" ht="12.75">
      <c r="A33" s="21"/>
      <c r="B33" s="21" t="s">
        <v>95</v>
      </c>
      <c r="C33" s="22">
        <v>0</v>
      </c>
      <c r="D33" s="22"/>
      <c r="E33" s="51">
        <f>E19+E20+286.06</f>
        <v>361.34000000000003</v>
      </c>
      <c r="F33" s="51">
        <f t="shared" si="0"/>
        <v>0</v>
      </c>
      <c r="G33" s="51">
        <f t="shared" si="1"/>
        <v>361.34000000000003</v>
      </c>
      <c r="H33" s="51">
        <f t="shared" si="0"/>
        <v>0</v>
      </c>
      <c r="I33" s="51"/>
      <c r="J33" s="51">
        <f>J19+J20+249.47</f>
        <v>300.88</v>
      </c>
      <c r="K33" s="51">
        <f t="shared" si="2"/>
        <v>0</v>
      </c>
      <c r="L33" s="51">
        <f t="shared" si="3"/>
        <v>300.88</v>
      </c>
      <c r="M33" s="51">
        <f t="shared" si="2"/>
        <v>0</v>
      </c>
      <c r="N33" s="51"/>
      <c r="O33" s="51">
        <f>O19+O20+62.8</f>
        <v>73.75</v>
      </c>
      <c r="P33" s="51">
        <f t="shared" si="4"/>
        <v>0</v>
      </c>
      <c r="Q33" s="51">
        <f t="shared" si="5"/>
        <v>73.75</v>
      </c>
      <c r="R33" s="51">
        <f t="shared" si="4"/>
        <v>0</v>
      </c>
    </row>
    <row r="34" spans="1:18" ht="12.75">
      <c r="A34" s="21"/>
      <c r="B34" s="21" t="s">
        <v>96</v>
      </c>
      <c r="C34" s="22">
        <v>0</v>
      </c>
      <c r="D34" s="22"/>
      <c r="E34" s="51">
        <f>E21+E22+E23+E24+93.24</f>
        <v>174.21999999999997</v>
      </c>
      <c r="F34" s="51">
        <f t="shared" si="0"/>
        <v>0</v>
      </c>
      <c r="G34" s="51">
        <f t="shared" si="1"/>
        <v>174.21999999999997</v>
      </c>
      <c r="H34" s="51">
        <f t="shared" si="0"/>
        <v>0</v>
      </c>
      <c r="I34" s="51"/>
      <c r="J34" s="51">
        <f>J21+J22+J23+J24+78.74</f>
        <v>151.37</v>
      </c>
      <c r="K34" s="51">
        <f t="shared" si="2"/>
        <v>0</v>
      </c>
      <c r="L34" s="51">
        <f t="shared" si="3"/>
        <v>151.37</v>
      </c>
      <c r="M34" s="51">
        <f t="shared" si="2"/>
        <v>0</v>
      </c>
      <c r="N34" s="51"/>
      <c r="O34" s="51">
        <f>O21+O22+O23+O24+18.22</f>
        <v>32.29</v>
      </c>
      <c r="P34" s="51">
        <f t="shared" si="4"/>
        <v>0</v>
      </c>
      <c r="Q34" s="51">
        <f t="shared" si="5"/>
        <v>32.29</v>
      </c>
      <c r="R34" s="51">
        <f t="shared" si="4"/>
        <v>0</v>
      </c>
    </row>
    <row r="35" spans="1:18" ht="12.75">
      <c r="A35" s="21" t="s">
        <v>97</v>
      </c>
      <c r="B35" s="21" t="s">
        <v>98</v>
      </c>
      <c r="C35" s="22">
        <v>0</v>
      </c>
      <c r="D35" s="22"/>
      <c r="E35" s="51">
        <f>E25+E26+13.18</f>
        <v>43.55</v>
      </c>
      <c r="F35" s="51">
        <f t="shared" si="0"/>
        <v>0</v>
      </c>
      <c r="G35" s="51">
        <f t="shared" si="1"/>
        <v>43.55</v>
      </c>
      <c r="H35" s="51">
        <f t="shared" si="0"/>
        <v>0</v>
      </c>
      <c r="I35" s="51"/>
      <c r="J35" s="51">
        <f>J25+J26+14.18</f>
        <v>43.94</v>
      </c>
      <c r="K35" s="51">
        <f t="shared" si="2"/>
        <v>0</v>
      </c>
      <c r="L35" s="51">
        <f t="shared" si="3"/>
        <v>43.94</v>
      </c>
      <c r="M35" s="51">
        <f t="shared" si="2"/>
        <v>0</v>
      </c>
      <c r="N35" s="51"/>
      <c r="O35" s="51">
        <f>O25+O26+2.04</f>
        <v>7.11</v>
      </c>
      <c r="P35" s="51">
        <f t="shared" si="4"/>
        <v>0</v>
      </c>
      <c r="Q35" s="51">
        <f t="shared" si="5"/>
        <v>7.11</v>
      </c>
      <c r="R35" s="51">
        <f t="shared" si="4"/>
        <v>0</v>
      </c>
    </row>
    <row r="36" spans="1:18" s="123" customFormat="1" ht="12.75">
      <c r="A36" s="21"/>
      <c r="B36" s="21"/>
      <c r="C36" s="21"/>
      <c r="D36" s="21"/>
      <c r="E36" s="50"/>
      <c r="F36" s="46"/>
      <c r="G36" s="50"/>
      <c r="H36" s="46"/>
      <c r="I36" s="50"/>
      <c r="J36" s="21"/>
      <c r="K36" s="23"/>
      <c r="L36" s="23"/>
      <c r="M36" s="23"/>
      <c r="N36" s="50"/>
      <c r="O36" s="21"/>
      <c r="P36" s="45"/>
      <c r="Q36" s="50"/>
      <c r="R36" s="45"/>
    </row>
    <row r="37" spans="1:18" s="123" customFormat="1" ht="12.75">
      <c r="A37" s="21"/>
      <c r="B37" s="21" t="s">
        <v>99</v>
      </c>
      <c r="C37" s="21"/>
      <c r="D37" s="21"/>
      <c r="E37" s="50"/>
      <c r="F37" s="50">
        <v>119.676</v>
      </c>
      <c r="G37" s="50">
        <v>119.676</v>
      </c>
      <c r="H37" s="50">
        <v>119.676</v>
      </c>
      <c r="I37" s="50"/>
      <c r="J37" s="50"/>
      <c r="K37" s="50">
        <v>118.13</v>
      </c>
      <c r="L37" s="50">
        <v>118.13</v>
      </c>
      <c r="M37" s="50">
        <v>118.13</v>
      </c>
      <c r="N37" s="50"/>
      <c r="O37" s="50"/>
      <c r="P37" s="50">
        <v>115.33</v>
      </c>
      <c r="Q37" s="50">
        <v>115.33</v>
      </c>
      <c r="R37" s="50">
        <v>115.33</v>
      </c>
    </row>
    <row r="38" spans="1:18" s="123" customFormat="1" ht="12.75">
      <c r="A38" s="21"/>
      <c r="B38" s="21" t="s">
        <v>100</v>
      </c>
      <c r="C38" s="21"/>
      <c r="D38" s="21"/>
      <c r="E38" s="50"/>
      <c r="F38" s="50">
        <v>16</v>
      </c>
      <c r="G38" s="50">
        <v>16</v>
      </c>
      <c r="H38" s="50">
        <v>16</v>
      </c>
      <c r="I38" s="50"/>
      <c r="J38" s="50"/>
      <c r="K38" s="23">
        <v>16</v>
      </c>
      <c r="L38" s="23">
        <v>16</v>
      </c>
      <c r="M38" s="23">
        <v>16</v>
      </c>
      <c r="N38" s="50"/>
      <c r="O38" s="50"/>
      <c r="P38" s="50">
        <v>15.8</v>
      </c>
      <c r="Q38" s="50">
        <v>15.8</v>
      </c>
      <c r="R38" s="50">
        <v>15.8</v>
      </c>
    </row>
    <row r="39" spans="1:18" s="123" customFormat="1" ht="12.75">
      <c r="A39" s="21"/>
      <c r="B39" s="21"/>
      <c r="C39" s="21"/>
      <c r="D39" s="21"/>
      <c r="E39" s="50"/>
      <c r="F39" s="21"/>
      <c r="G39" s="50"/>
      <c r="H39" s="21"/>
      <c r="I39" s="21"/>
      <c r="J39" s="50"/>
      <c r="K39" s="23"/>
      <c r="L39" s="23"/>
      <c r="M39" s="23"/>
      <c r="N39" s="50"/>
      <c r="O39" s="50"/>
      <c r="P39" s="50"/>
      <c r="Q39" s="50"/>
      <c r="R39" s="50"/>
    </row>
    <row r="40" spans="1:18" s="123" customFormat="1" ht="12.75">
      <c r="A40" s="21"/>
      <c r="B40" s="21" t="s">
        <v>101</v>
      </c>
      <c r="C40" s="46"/>
      <c r="D40" s="46"/>
      <c r="E40" s="23"/>
      <c r="F40" s="51">
        <f>SUM(F11:F27)</f>
        <v>44.159150000000004</v>
      </c>
      <c r="G40" s="23">
        <f>SUM(G27,G35,G34,G33,G32,G17,G31,G30,G29,G28)</f>
        <v>1429.7800000000002</v>
      </c>
      <c r="H40" s="51">
        <f>SUM(H11:H27)</f>
        <v>44.159150000000004</v>
      </c>
      <c r="I40" s="46"/>
      <c r="J40" s="23"/>
      <c r="K40" s="51">
        <f>SUM(K11:K27)</f>
        <v>32.405</v>
      </c>
      <c r="L40" s="23">
        <f>SUM(L27,L35,L34,L33,L32,L17,L31,L30,L29,L28)</f>
        <v>1367.4600000000003</v>
      </c>
      <c r="M40" s="51">
        <f>SUM(M11:M27)</f>
        <v>32.405</v>
      </c>
      <c r="N40" s="46"/>
      <c r="O40" s="50"/>
      <c r="P40" s="51">
        <f>SUM(P11:P27)</f>
        <v>6.64248</v>
      </c>
      <c r="Q40" s="23">
        <f>SUM(Q27,Q35,Q34,Q33,Q32,Q17,Q31,Q30,Q29,Q28)</f>
        <v>391.33</v>
      </c>
      <c r="R40" s="51">
        <f>SUM(R11:R27)</f>
        <v>6.64248</v>
      </c>
    </row>
    <row r="41" spans="1:18" s="123" customFormat="1" ht="12.75">
      <c r="A41" s="21"/>
      <c r="B41" s="21" t="s">
        <v>102</v>
      </c>
      <c r="C41" s="46"/>
      <c r="D41" s="23">
        <f>(F41-H41)*2/F41*100</f>
        <v>0</v>
      </c>
      <c r="E41" s="50"/>
      <c r="F41" s="51">
        <f>(F40/F37/0.0283*(21-7)/(21-F38))</f>
        <v>36.50776413158874</v>
      </c>
      <c r="G41" s="50">
        <f>(G40/G37/0.0283*(21-7)/(21-G38))</f>
        <v>1182.044287538663</v>
      </c>
      <c r="H41" s="51">
        <f>(H40/H37/0.0283*(21-7)/(21-H38))</f>
        <v>36.50776413158874</v>
      </c>
      <c r="I41" s="23">
        <f>(K41-M41)*2/K41*100</f>
        <v>0</v>
      </c>
      <c r="J41" s="50"/>
      <c r="K41" s="51">
        <f>K40/K37/0.0283*(21-7)/(21-K38)</f>
        <v>27.14084830181997</v>
      </c>
      <c r="L41" s="50">
        <f>(L40/L37/0.0283*(21-7)/(21-L38))</f>
        <v>1145.3178342480094</v>
      </c>
      <c r="M41" s="51">
        <f>M40/M37/0.0283*(21-7)/(21-M38)</f>
        <v>27.14084830181997</v>
      </c>
      <c r="N41" s="23">
        <f>(P41-R41)*2/P41*100</f>
        <v>0</v>
      </c>
      <c r="O41" s="50"/>
      <c r="P41" s="51">
        <f>P40/P37/0.0283*(21-7)/(21-P38)</f>
        <v>5.479314390201233</v>
      </c>
      <c r="Q41" s="50">
        <f>(Q40/Q37/0.0283*(21-7)/(21-Q38))</f>
        <v>322.8041484983694</v>
      </c>
      <c r="R41" s="51">
        <f>R40/R37/0.0283*(21-7)/(21-R38)</f>
        <v>5.479314390201233</v>
      </c>
    </row>
    <row r="42" spans="1:18" s="123" customFormat="1" ht="12.75">
      <c r="A42" s="21"/>
      <c r="B42" s="21"/>
      <c r="C42" s="21"/>
      <c r="D42" s="21"/>
      <c r="E42" s="51"/>
      <c r="F42" s="46"/>
      <c r="G42" s="51"/>
      <c r="H42" s="46"/>
      <c r="I42" s="51"/>
      <c r="J42" s="51"/>
      <c r="K42" s="51"/>
      <c r="L42" s="51"/>
      <c r="M42" s="51"/>
      <c r="N42" s="51"/>
      <c r="O42" s="51"/>
      <c r="P42" s="45"/>
      <c r="Q42" s="51"/>
      <c r="R42" s="45"/>
    </row>
    <row r="43" spans="1:18" s="123" customFormat="1" ht="12.75">
      <c r="A43" s="50"/>
      <c r="B43" s="21" t="s">
        <v>103</v>
      </c>
      <c r="C43" s="51">
        <f>AVERAGE(H41,M41,R41)</f>
        <v>23.04264227453665</v>
      </c>
      <c r="D43" s="50"/>
      <c r="E43" s="52"/>
      <c r="F43" s="46"/>
      <c r="G43" s="50"/>
      <c r="H43" s="46"/>
      <c r="I43" s="50"/>
      <c r="J43" s="50"/>
      <c r="K43" s="50"/>
      <c r="L43" s="50"/>
      <c r="M43" s="50"/>
      <c r="N43" s="50"/>
      <c r="O43" s="50"/>
      <c r="P43" s="45"/>
      <c r="Q43" s="50"/>
      <c r="R43" s="45"/>
    </row>
    <row r="44" spans="1:18" s="123" customFormat="1" ht="12.75">
      <c r="A44" s="21"/>
      <c r="B44" s="21" t="s">
        <v>104</v>
      </c>
      <c r="C44" s="50">
        <f>AVERAGE(G41,L41,Q41)</f>
        <v>883.3887567616806</v>
      </c>
      <c r="D44" s="21"/>
      <c r="E44" s="45"/>
      <c r="F44" s="46"/>
      <c r="G44" s="45"/>
      <c r="H44" s="46"/>
      <c r="I44" s="45"/>
      <c r="J44" s="45"/>
      <c r="K44" s="45"/>
      <c r="L44" s="45"/>
      <c r="M44" s="45"/>
      <c r="N44" s="45"/>
      <c r="O44" s="45"/>
      <c r="P44" s="45"/>
      <c r="Q44" s="45"/>
      <c r="R44" s="45"/>
    </row>
  </sheetData>
  <printOptions headings="1" horizontalCentered="1"/>
  <pageMargins left="0.25" right="0.25" top="0.5" bottom="0.5" header="0.25" footer="0.25"/>
  <pageSetup horizontalDpi="300" verticalDpi="300" orientation="landscape" pageOrder="overThenDown" scale="80" r:id="rId1"/>
  <headerFooter alignWithMargins="0">
    <oddFooter>&amp;C&amp;P, &amp;A, 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1">
      <selection activeCell="C2" sqref="C2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9.421875" style="0" customWidth="1"/>
    <col min="4" max="4" width="4.28125" style="0" customWidth="1"/>
    <col min="5" max="5" width="9.421875" style="0" customWidth="1"/>
    <col min="6" max="6" width="9.8515625" style="0" customWidth="1"/>
    <col min="8" max="8" width="9.8515625" style="0" customWidth="1"/>
    <col min="9" max="9" width="3.421875" style="0" customWidth="1"/>
    <col min="11" max="11" width="9.28125" style="0" customWidth="1"/>
    <col min="13" max="13" width="9.28125" style="0" customWidth="1"/>
    <col min="14" max="14" width="4.8515625" style="0" customWidth="1"/>
    <col min="16" max="16" width="9.00390625" style="0" customWidth="1"/>
    <col min="18" max="18" width="9.00390625" style="0" customWidth="1"/>
  </cols>
  <sheetData>
    <row r="1" spans="1:18" ht="12.75">
      <c r="A1" s="44" t="s">
        <v>64</v>
      </c>
      <c r="B1" s="21"/>
      <c r="C1" s="21"/>
      <c r="D1" s="21"/>
      <c r="E1" s="45"/>
      <c r="F1" s="46"/>
      <c r="G1" s="45"/>
      <c r="H1" s="46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12.75">
      <c r="A2" s="21" t="s">
        <v>252</v>
      </c>
      <c r="B2" s="21"/>
      <c r="C2" s="21"/>
      <c r="D2" s="21"/>
      <c r="E2" s="45"/>
      <c r="F2" s="46"/>
      <c r="G2" s="45"/>
      <c r="H2" s="46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ht="12.75">
      <c r="A3" s="21" t="s">
        <v>65</v>
      </c>
      <c r="B3" s="21"/>
      <c r="C3" s="8" t="s">
        <v>169</v>
      </c>
      <c r="D3" s="8"/>
      <c r="E3" s="45"/>
      <c r="F3" s="46"/>
      <c r="G3" s="45"/>
      <c r="H3" s="46"/>
      <c r="I3" s="45"/>
      <c r="J3" s="47"/>
      <c r="K3" s="45"/>
      <c r="L3" s="45"/>
      <c r="M3" s="45"/>
      <c r="N3" s="45"/>
      <c r="O3" s="45"/>
      <c r="P3" s="45"/>
      <c r="Q3" s="45"/>
      <c r="R3" s="45"/>
    </row>
    <row r="4" spans="1:18" ht="12.75">
      <c r="A4" s="21" t="s">
        <v>66</v>
      </c>
      <c r="B4" s="21"/>
      <c r="C4" s="70" t="s">
        <v>166</v>
      </c>
      <c r="D4" s="8" t="s">
        <v>121</v>
      </c>
      <c r="E4" s="48"/>
      <c r="F4" s="49"/>
      <c r="G4" s="48"/>
      <c r="H4" s="49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18" ht="12.75">
      <c r="A5" s="21" t="s">
        <v>67</v>
      </c>
      <c r="B5" s="21"/>
      <c r="C5" s="53" t="s">
        <v>158</v>
      </c>
      <c r="D5" s="9"/>
      <c r="E5" s="9"/>
      <c r="F5" s="9"/>
      <c r="G5" s="9"/>
      <c r="H5" s="9"/>
      <c r="I5" s="9"/>
      <c r="J5" s="9"/>
      <c r="K5" s="45"/>
      <c r="L5" s="9"/>
      <c r="M5" s="45"/>
      <c r="N5" s="45"/>
      <c r="O5" s="45"/>
      <c r="P5" s="45"/>
      <c r="Q5" s="45"/>
      <c r="R5" s="45"/>
    </row>
    <row r="6" spans="1:18" ht="14.25" customHeight="1">
      <c r="A6" s="21"/>
      <c r="B6" s="21"/>
      <c r="C6" s="22"/>
      <c r="D6" s="22"/>
      <c r="E6" s="24"/>
      <c r="F6" s="46"/>
      <c r="G6" s="24"/>
      <c r="H6" s="46"/>
      <c r="I6" s="45"/>
      <c r="J6" s="24"/>
      <c r="K6" s="45"/>
      <c r="L6" s="24"/>
      <c r="M6" s="45"/>
      <c r="N6" s="45"/>
      <c r="O6" s="24"/>
      <c r="P6" s="45"/>
      <c r="Q6" s="24"/>
      <c r="R6" s="45"/>
    </row>
    <row r="7" spans="1:18" ht="12.75">
      <c r="A7" s="21"/>
      <c r="B7" s="21"/>
      <c r="C7" s="22" t="s">
        <v>68</v>
      </c>
      <c r="D7" s="22"/>
      <c r="E7" s="125" t="s">
        <v>29</v>
      </c>
      <c r="F7" s="125"/>
      <c r="G7" s="125"/>
      <c r="H7" s="125"/>
      <c r="I7" s="126"/>
      <c r="J7" s="125" t="s">
        <v>30</v>
      </c>
      <c r="K7" s="125"/>
      <c r="L7" s="125"/>
      <c r="M7" s="125"/>
      <c r="N7" s="126"/>
      <c r="O7" s="125" t="s">
        <v>31</v>
      </c>
      <c r="P7" s="125"/>
      <c r="Q7" s="125"/>
      <c r="R7" s="125"/>
    </row>
    <row r="8" spans="1:18" ht="12.75">
      <c r="A8" s="21"/>
      <c r="B8" s="21"/>
      <c r="C8" s="22" t="s">
        <v>69</v>
      </c>
      <c r="D8" s="21"/>
      <c r="E8" s="24" t="s">
        <v>62</v>
      </c>
      <c r="F8" s="49" t="s">
        <v>70</v>
      </c>
      <c r="G8" s="24" t="s">
        <v>62</v>
      </c>
      <c r="H8" s="49" t="s">
        <v>70</v>
      </c>
      <c r="I8" s="45"/>
      <c r="J8" s="24" t="s">
        <v>62</v>
      </c>
      <c r="K8" s="24" t="s">
        <v>71</v>
      </c>
      <c r="L8" s="24" t="s">
        <v>62</v>
      </c>
      <c r="M8" s="24" t="s">
        <v>71</v>
      </c>
      <c r="N8" s="45"/>
      <c r="O8" s="24" t="s">
        <v>62</v>
      </c>
      <c r="P8" s="24" t="s">
        <v>71</v>
      </c>
      <c r="Q8" s="24" t="s">
        <v>62</v>
      </c>
      <c r="R8" s="24" t="s">
        <v>71</v>
      </c>
    </row>
    <row r="9" spans="1:18" ht="12.75">
      <c r="A9" s="21"/>
      <c r="B9" s="21"/>
      <c r="C9" s="22"/>
      <c r="D9" s="21"/>
      <c r="E9" s="24" t="s">
        <v>200</v>
      </c>
      <c r="F9" s="24" t="s">
        <v>200</v>
      </c>
      <c r="G9" s="24" t="s">
        <v>72</v>
      </c>
      <c r="H9" s="49" t="s">
        <v>72</v>
      </c>
      <c r="I9" s="45"/>
      <c r="J9" s="24" t="s">
        <v>200</v>
      </c>
      <c r="K9" s="24" t="s">
        <v>200</v>
      </c>
      <c r="L9" s="24" t="s">
        <v>72</v>
      </c>
      <c r="M9" s="49" t="s">
        <v>72</v>
      </c>
      <c r="N9" s="45"/>
      <c r="O9" s="24" t="s">
        <v>200</v>
      </c>
      <c r="P9" s="24" t="s">
        <v>200</v>
      </c>
      <c r="Q9" s="24" t="s">
        <v>72</v>
      </c>
      <c r="R9" s="49" t="s">
        <v>72</v>
      </c>
    </row>
    <row r="10" spans="1:18" ht="12.75">
      <c r="A10" s="21" t="s">
        <v>159</v>
      </c>
      <c r="B10" s="21"/>
      <c r="C10" s="21"/>
      <c r="D10" s="21"/>
      <c r="E10" s="45"/>
      <c r="F10" s="46"/>
      <c r="G10" s="45"/>
      <c r="H10" s="46"/>
      <c r="I10" s="45"/>
      <c r="J10" s="45"/>
      <c r="K10" s="45"/>
      <c r="L10" s="45"/>
      <c r="M10" s="45"/>
      <c r="N10" s="45"/>
      <c r="O10" s="23"/>
      <c r="P10" s="45"/>
      <c r="Q10" s="45"/>
      <c r="R10" s="45"/>
    </row>
    <row r="11" spans="1:18" ht="12.75">
      <c r="A11" s="21"/>
      <c r="B11" s="21" t="s">
        <v>73</v>
      </c>
      <c r="C11" s="22">
        <v>1</v>
      </c>
      <c r="D11" s="22"/>
      <c r="E11" s="85">
        <v>228</v>
      </c>
      <c r="F11" s="85">
        <f aca="true" t="shared" si="0" ref="F11:H35">IF(E11="","",E11*$C11)</f>
        <v>228</v>
      </c>
      <c r="G11" s="85">
        <f aca="true" t="shared" si="1" ref="G11:G35">IF(E11=0,"",IF(D11="nd",E11/2,E11))</f>
        <v>228</v>
      </c>
      <c r="H11" s="85">
        <f t="shared" si="0"/>
        <v>228</v>
      </c>
      <c r="I11" s="85"/>
      <c r="J11" s="85">
        <v>257</v>
      </c>
      <c r="K11" s="85">
        <f aca="true" t="shared" si="2" ref="K11:M35">IF(J11="","",J11*$C11)</f>
        <v>257</v>
      </c>
      <c r="L11" s="85">
        <f aca="true" t="shared" si="3" ref="L11:L35">IF(J11=0,"",IF(I11="nd",J11/2,J11))</f>
        <v>257</v>
      </c>
      <c r="M11" s="85">
        <f t="shared" si="2"/>
        <v>257</v>
      </c>
      <c r="N11" s="85"/>
      <c r="O11" s="85">
        <v>278</v>
      </c>
      <c r="P11" s="85">
        <f aca="true" t="shared" si="4" ref="P11:R35">IF(O11="","",O11*$C11)</f>
        <v>278</v>
      </c>
      <c r="Q11" s="85">
        <f aca="true" t="shared" si="5" ref="Q11:Q35">IF(O11=0,"",IF(N11="nd",O11/2,O11))</f>
        <v>278</v>
      </c>
      <c r="R11" s="85">
        <f t="shared" si="4"/>
        <v>278</v>
      </c>
    </row>
    <row r="12" spans="1:18" ht="12.75">
      <c r="A12" s="21"/>
      <c r="B12" s="21" t="s">
        <v>74</v>
      </c>
      <c r="C12" s="22">
        <v>0.5</v>
      </c>
      <c r="D12" s="22"/>
      <c r="E12" s="85">
        <v>387</v>
      </c>
      <c r="F12" s="85">
        <f t="shared" si="0"/>
        <v>193.5</v>
      </c>
      <c r="G12" s="85">
        <f t="shared" si="1"/>
        <v>387</v>
      </c>
      <c r="H12" s="85">
        <f t="shared" si="0"/>
        <v>193.5</v>
      </c>
      <c r="I12" s="85"/>
      <c r="J12" s="85">
        <v>557</v>
      </c>
      <c r="K12" s="85">
        <f t="shared" si="2"/>
        <v>278.5</v>
      </c>
      <c r="L12" s="85">
        <f t="shared" si="3"/>
        <v>557</v>
      </c>
      <c r="M12" s="85">
        <f t="shared" si="2"/>
        <v>278.5</v>
      </c>
      <c r="N12" s="85"/>
      <c r="O12" s="85">
        <v>696</v>
      </c>
      <c r="P12" s="85">
        <f t="shared" si="4"/>
        <v>348</v>
      </c>
      <c r="Q12" s="85">
        <f t="shared" si="5"/>
        <v>696</v>
      </c>
      <c r="R12" s="85">
        <f t="shared" si="4"/>
        <v>348</v>
      </c>
    </row>
    <row r="13" spans="1:18" ht="12.75">
      <c r="A13" s="21"/>
      <c r="B13" s="21" t="s">
        <v>75</v>
      </c>
      <c r="C13" s="22">
        <v>0.1</v>
      </c>
      <c r="D13" s="22"/>
      <c r="E13" s="85">
        <v>150</v>
      </c>
      <c r="F13" s="85">
        <f t="shared" si="0"/>
        <v>15</v>
      </c>
      <c r="G13" s="85">
        <f t="shared" si="1"/>
        <v>150</v>
      </c>
      <c r="H13" s="85">
        <f t="shared" si="0"/>
        <v>15</v>
      </c>
      <c r="I13" s="85"/>
      <c r="J13" s="85">
        <v>210</v>
      </c>
      <c r="K13" s="85">
        <f t="shared" si="2"/>
        <v>21</v>
      </c>
      <c r="L13" s="85">
        <f t="shared" si="3"/>
        <v>210</v>
      </c>
      <c r="M13" s="85">
        <f t="shared" si="2"/>
        <v>21</v>
      </c>
      <c r="N13" s="85"/>
      <c r="O13" s="85">
        <v>277</v>
      </c>
      <c r="P13" s="85">
        <f t="shared" si="4"/>
        <v>27.700000000000003</v>
      </c>
      <c r="Q13" s="85">
        <f t="shared" si="5"/>
        <v>277</v>
      </c>
      <c r="R13" s="85">
        <f t="shared" si="4"/>
        <v>27.700000000000003</v>
      </c>
    </row>
    <row r="14" spans="1:18" ht="12.75">
      <c r="A14" s="21"/>
      <c r="B14" s="21" t="s">
        <v>76</v>
      </c>
      <c r="C14" s="22">
        <v>0.1</v>
      </c>
      <c r="D14" s="22"/>
      <c r="E14" s="85">
        <v>279</v>
      </c>
      <c r="F14" s="85">
        <f t="shared" si="0"/>
        <v>27.900000000000002</v>
      </c>
      <c r="G14" s="85">
        <f t="shared" si="1"/>
        <v>279</v>
      </c>
      <c r="H14" s="85">
        <f t="shared" si="0"/>
        <v>27.900000000000002</v>
      </c>
      <c r="I14" s="85"/>
      <c r="J14" s="85">
        <v>413</v>
      </c>
      <c r="K14" s="85">
        <f t="shared" si="2"/>
        <v>41.300000000000004</v>
      </c>
      <c r="L14" s="85">
        <f t="shared" si="3"/>
        <v>413</v>
      </c>
      <c r="M14" s="85">
        <f t="shared" si="2"/>
        <v>41.300000000000004</v>
      </c>
      <c r="N14" s="85"/>
      <c r="O14" s="85">
        <v>488</v>
      </c>
      <c r="P14" s="85">
        <f t="shared" si="4"/>
        <v>48.800000000000004</v>
      </c>
      <c r="Q14" s="85">
        <f t="shared" si="5"/>
        <v>488</v>
      </c>
      <c r="R14" s="85">
        <f t="shared" si="4"/>
        <v>48.800000000000004</v>
      </c>
    </row>
    <row r="15" spans="1:18" ht="12.75">
      <c r="A15" s="21"/>
      <c r="B15" s="21" t="s">
        <v>77</v>
      </c>
      <c r="C15" s="22">
        <v>0.1</v>
      </c>
      <c r="D15" s="22"/>
      <c r="E15" s="85">
        <v>124</v>
      </c>
      <c r="F15" s="85">
        <f t="shared" si="0"/>
        <v>12.4</v>
      </c>
      <c r="G15" s="85">
        <f t="shared" si="1"/>
        <v>124</v>
      </c>
      <c r="H15" s="85">
        <f t="shared" si="0"/>
        <v>12.4</v>
      </c>
      <c r="I15" s="85"/>
      <c r="J15" s="85">
        <v>173</v>
      </c>
      <c r="K15" s="85">
        <f t="shared" si="2"/>
        <v>17.3</v>
      </c>
      <c r="L15" s="85">
        <f t="shared" si="3"/>
        <v>173</v>
      </c>
      <c r="M15" s="85">
        <f t="shared" si="2"/>
        <v>17.3</v>
      </c>
      <c r="N15" s="85"/>
      <c r="O15" s="85">
        <v>209</v>
      </c>
      <c r="P15" s="85">
        <f t="shared" si="4"/>
        <v>20.900000000000002</v>
      </c>
      <c r="Q15" s="85">
        <f t="shared" si="5"/>
        <v>209</v>
      </c>
      <c r="R15" s="85">
        <f t="shared" si="4"/>
        <v>20.900000000000002</v>
      </c>
    </row>
    <row r="16" spans="1:18" ht="12.75">
      <c r="A16" s="21"/>
      <c r="B16" s="21" t="s">
        <v>78</v>
      </c>
      <c r="C16" s="22">
        <v>0.01</v>
      </c>
      <c r="D16" s="22"/>
      <c r="E16" s="85">
        <v>361</v>
      </c>
      <c r="F16" s="85">
        <f t="shared" si="0"/>
        <v>3.61</v>
      </c>
      <c r="G16" s="85">
        <f t="shared" si="1"/>
        <v>361</v>
      </c>
      <c r="H16" s="85">
        <f t="shared" si="0"/>
        <v>3.61</v>
      </c>
      <c r="I16" s="85"/>
      <c r="J16" s="85">
        <v>1070</v>
      </c>
      <c r="K16" s="85">
        <f t="shared" si="2"/>
        <v>10.700000000000001</v>
      </c>
      <c r="L16" s="85">
        <f t="shared" si="3"/>
        <v>1070</v>
      </c>
      <c r="M16" s="85">
        <f t="shared" si="2"/>
        <v>10.700000000000001</v>
      </c>
      <c r="N16" s="85"/>
      <c r="O16" s="85">
        <v>462</v>
      </c>
      <c r="P16" s="85">
        <f t="shared" si="4"/>
        <v>4.62</v>
      </c>
      <c r="Q16" s="85">
        <f t="shared" si="5"/>
        <v>462</v>
      </c>
      <c r="R16" s="85">
        <f t="shared" si="4"/>
        <v>4.62</v>
      </c>
    </row>
    <row r="17" spans="1:18" ht="12.75">
      <c r="A17" s="21"/>
      <c r="B17" s="21" t="s">
        <v>79</v>
      </c>
      <c r="C17" s="22">
        <v>0.001</v>
      </c>
      <c r="D17" s="22"/>
      <c r="E17" s="85">
        <v>491</v>
      </c>
      <c r="F17" s="85">
        <f t="shared" si="0"/>
        <v>0.491</v>
      </c>
      <c r="G17" s="85">
        <f t="shared" si="1"/>
        <v>491</v>
      </c>
      <c r="H17" s="85">
        <f t="shared" si="0"/>
        <v>0.491</v>
      </c>
      <c r="I17" s="85"/>
      <c r="J17" s="85">
        <v>5920</v>
      </c>
      <c r="K17" s="85">
        <f t="shared" si="2"/>
        <v>5.92</v>
      </c>
      <c r="L17" s="85">
        <f t="shared" si="3"/>
        <v>5920</v>
      </c>
      <c r="M17" s="85">
        <f t="shared" si="2"/>
        <v>5.92</v>
      </c>
      <c r="N17" s="85"/>
      <c r="O17" s="85">
        <v>559</v>
      </c>
      <c r="P17" s="85">
        <f t="shared" si="4"/>
        <v>0.559</v>
      </c>
      <c r="Q17" s="85">
        <f t="shared" si="5"/>
        <v>559</v>
      </c>
      <c r="R17" s="85">
        <f t="shared" si="4"/>
        <v>0.559</v>
      </c>
    </row>
    <row r="18" spans="1:18" ht="12.75">
      <c r="A18" s="21"/>
      <c r="B18" s="21" t="s">
        <v>80</v>
      </c>
      <c r="C18" s="22">
        <v>0.1</v>
      </c>
      <c r="D18" s="22"/>
      <c r="E18" s="85">
        <v>4900</v>
      </c>
      <c r="F18" s="85">
        <f t="shared" si="0"/>
        <v>490</v>
      </c>
      <c r="G18" s="85">
        <f t="shared" si="1"/>
        <v>4900</v>
      </c>
      <c r="H18" s="85">
        <f t="shared" si="0"/>
        <v>490</v>
      </c>
      <c r="I18" s="85"/>
      <c r="J18" s="85">
        <v>5160</v>
      </c>
      <c r="K18" s="85">
        <f t="shared" si="2"/>
        <v>516</v>
      </c>
      <c r="L18" s="85">
        <f t="shared" si="3"/>
        <v>5160</v>
      </c>
      <c r="M18" s="85">
        <f t="shared" si="2"/>
        <v>516</v>
      </c>
      <c r="N18" s="85"/>
      <c r="O18" s="85">
        <v>5440</v>
      </c>
      <c r="P18" s="85">
        <f t="shared" si="4"/>
        <v>544</v>
      </c>
      <c r="Q18" s="85">
        <f t="shared" si="5"/>
        <v>5440</v>
      </c>
      <c r="R18" s="85">
        <f t="shared" si="4"/>
        <v>544</v>
      </c>
    </row>
    <row r="19" spans="1:18" ht="12.75">
      <c r="A19" s="21"/>
      <c r="B19" s="21" t="s">
        <v>81</v>
      </c>
      <c r="C19" s="22">
        <v>0.05</v>
      </c>
      <c r="D19" s="22"/>
      <c r="E19" s="85">
        <v>3980</v>
      </c>
      <c r="F19" s="85">
        <f t="shared" si="0"/>
        <v>199</v>
      </c>
      <c r="G19" s="85">
        <f t="shared" si="1"/>
        <v>3980</v>
      </c>
      <c r="H19" s="85">
        <f t="shared" si="0"/>
        <v>199</v>
      </c>
      <c r="I19" s="85"/>
      <c r="J19" s="85">
        <v>5000</v>
      </c>
      <c r="K19" s="85">
        <f t="shared" si="2"/>
        <v>250</v>
      </c>
      <c r="L19" s="85">
        <f t="shared" si="3"/>
        <v>5000</v>
      </c>
      <c r="M19" s="85">
        <f t="shared" si="2"/>
        <v>250</v>
      </c>
      <c r="N19" s="85"/>
      <c r="O19" s="85">
        <v>5760</v>
      </c>
      <c r="P19" s="85">
        <f t="shared" si="4"/>
        <v>288</v>
      </c>
      <c r="Q19" s="85">
        <f t="shared" si="5"/>
        <v>5760</v>
      </c>
      <c r="R19" s="85">
        <f t="shared" si="4"/>
        <v>288</v>
      </c>
    </row>
    <row r="20" spans="1:18" ht="12.75">
      <c r="A20" s="21"/>
      <c r="B20" s="21" t="s">
        <v>82</v>
      </c>
      <c r="C20" s="22">
        <v>0.5</v>
      </c>
      <c r="D20" s="22"/>
      <c r="E20" s="85">
        <v>7200</v>
      </c>
      <c r="F20" s="85">
        <f t="shared" si="0"/>
        <v>3600</v>
      </c>
      <c r="G20" s="85">
        <f t="shared" si="1"/>
        <v>7200</v>
      </c>
      <c r="H20" s="85">
        <f t="shared" si="0"/>
        <v>3600</v>
      </c>
      <c r="I20" s="85"/>
      <c r="J20" s="85">
        <v>8840</v>
      </c>
      <c r="K20" s="85">
        <f t="shared" si="2"/>
        <v>4420</v>
      </c>
      <c r="L20" s="85">
        <f t="shared" si="3"/>
        <v>8840</v>
      </c>
      <c r="M20" s="85">
        <f t="shared" si="2"/>
        <v>4420</v>
      </c>
      <c r="N20" s="85"/>
      <c r="O20" s="85">
        <v>10300</v>
      </c>
      <c r="P20" s="85">
        <f t="shared" si="4"/>
        <v>5150</v>
      </c>
      <c r="Q20" s="85">
        <f t="shared" si="5"/>
        <v>10300</v>
      </c>
      <c r="R20" s="85">
        <f t="shared" si="4"/>
        <v>5150</v>
      </c>
    </row>
    <row r="21" spans="1:18" ht="12.75">
      <c r="A21" s="21"/>
      <c r="B21" s="21" t="s">
        <v>83</v>
      </c>
      <c r="C21" s="22">
        <v>0.1</v>
      </c>
      <c r="D21" s="22"/>
      <c r="E21" s="85">
        <v>2620</v>
      </c>
      <c r="F21" s="85">
        <f t="shared" si="0"/>
        <v>262</v>
      </c>
      <c r="G21" s="85">
        <f t="shared" si="1"/>
        <v>2620</v>
      </c>
      <c r="H21" s="85">
        <f t="shared" si="0"/>
        <v>262</v>
      </c>
      <c r="I21" s="85"/>
      <c r="J21" s="85">
        <v>3530</v>
      </c>
      <c r="K21" s="85">
        <f t="shared" si="2"/>
        <v>353</v>
      </c>
      <c r="L21" s="85">
        <f t="shared" si="3"/>
        <v>3530</v>
      </c>
      <c r="M21" s="85">
        <f t="shared" si="2"/>
        <v>353</v>
      </c>
      <c r="N21" s="85"/>
      <c r="O21" s="85">
        <v>4800</v>
      </c>
      <c r="P21" s="85">
        <f t="shared" si="4"/>
        <v>480</v>
      </c>
      <c r="Q21" s="85">
        <f t="shared" si="5"/>
        <v>4800</v>
      </c>
      <c r="R21" s="85">
        <f t="shared" si="4"/>
        <v>480</v>
      </c>
    </row>
    <row r="22" spans="1:18" ht="12.75">
      <c r="A22" s="21"/>
      <c r="B22" s="21" t="s">
        <v>84</v>
      </c>
      <c r="C22" s="22">
        <v>0.1</v>
      </c>
      <c r="D22" s="22"/>
      <c r="E22" s="85">
        <v>2350</v>
      </c>
      <c r="F22" s="85">
        <f t="shared" si="0"/>
        <v>235</v>
      </c>
      <c r="G22" s="85">
        <f t="shared" si="1"/>
        <v>2350</v>
      </c>
      <c r="H22" s="85">
        <f t="shared" si="0"/>
        <v>235</v>
      </c>
      <c r="I22" s="85"/>
      <c r="J22" s="85">
        <v>3110</v>
      </c>
      <c r="K22" s="85">
        <f t="shared" si="2"/>
        <v>311</v>
      </c>
      <c r="L22" s="85">
        <f t="shared" si="3"/>
        <v>3110</v>
      </c>
      <c r="M22" s="85">
        <f t="shared" si="2"/>
        <v>311</v>
      </c>
      <c r="N22" s="85"/>
      <c r="O22" s="85">
        <v>4140</v>
      </c>
      <c r="P22" s="85">
        <f t="shared" si="4"/>
        <v>414</v>
      </c>
      <c r="Q22" s="85">
        <f t="shared" si="5"/>
        <v>4140</v>
      </c>
      <c r="R22" s="85">
        <f t="shared" si="4"/>
        <v>414</v>
      </c>
    </row>
    <row r="23" spans="1:18" ht="12.75">
      <c r="A23" s="21"/>
      <c r="B23" s="21" t="s">
        <v>85</v>
      </c>
      <c r="C23" s="22">
        <v>0.1</v>
      </c>
      <c r="D23" s="22"/>
      <c r="E23" s="85">
        <v>408</v>
      </c>
      <c r="F23" s="85">
        <f t="shared" si="0"/>
        <v>40.800000000000004</v>
      </c>
      <c r="G23" s="85">
        <f t="shared" si="1"/>
        <v>408</v>
      </c>
      <c r="H23" s="85">
        <f t="shared" si="0"/>
        <v>40.800000000000004</v>
      </c>
      <c r="I23" s="85"/>
      <c r="J23" s="85">
        <v>567</v>
      </c>
      <c r="K23" s="85">
        <f t="shared" si="2"/>
        <v>56.7</v>
      </c>
      <c r="L23" s="85">
        <f t="shared" si="3"/>
        <v>567</v>
      </c>
      <c r="M23" s="85">
        <f t="shared" si="2"/>
        <v>56.7</v>
      </c>
      <c r="N23" s="85"/>
      <c r="O23" s="85">
        <v>733</v>
      </c>
      <c r="P23" s="85">
        <f t="shared" si="4"/>
        <v>73.3</v>
      </c>
      <c r="Q23" s="85">
        <f t="shared" si="5"/>
        <v>733</v>
      </c>
      <c r="R23" s="85">
        <f t="shared" si="4"/>
        <v>73.3</v>
      </c>
    </row>
    <row r="24" spans="1:18" ht="12.75">
      <c r="A24" s="21"/>
      <c r="B24" s="21" t="s">
        <v>86</v>
      </c>
      <c r="C24" s="22">
        <v>0.1</v>
      </c>
      <c r="D24" s="22"/>
      <c r="E24" s="85">
        <v>1340</v>
      </c>
      <c r="F24" s="85">
        <f t="shared" si="0"/>
        <v>134</v>
      </c>
      <c r="G24" s="85">
        <f t="shared" si="1"/>
        <v>1340</v>
      </c>
      <c r="H24" s="85">
        <f t="shared" si="0"/>
        <v>134</v>
      </c>
      <c r="I24" s="85"/>
      <c r="J24" s="85">
        <v>1850</v>
      </c>
      <c r="K24" s="85">
        <f t="shared" si="2"/>
        <v>185</v>
      </c>
      <c r="L24" s="85">
        <f t="shared" si="3"/>
        <v>1850</v>
      </c>
      <c r="M24" s="85">
        <f t="shared" si="2"/>
        <v>185</v>
      </c>
      <c r="N24" s="85"/>
      <c r="O24" s="85">
        <v>2370</v>
      </c>
      <c r="P24" s="85">
        <f t="shared" si="4"/>
        <v>237</v>
      </c>
      <c r="Q24" s="85">
        <f t="shared" si="5"/>
        <v>2370</v>
      </c>
      <c r="R24" s="85">
        <f t="shared" si="4"/>
        <v>237</v>
      </c>
    </row>
    <row r="25" spans="1:18" ht="12.75">
      <c r="A25" s="21"/>
      <c r="B25" s="21" t="s">
        <v>87</v>
      </c>
      <c r="C25" s="22">
        <v>0.01</v>
      </c>
      <c r="D25" s="22"/>
      <c r="E25" s="85">
        <v>1910</v>
      </c>
      <c r="F25" s="85">
        <f t="shared" si="0"/>
        <v>19.1</v>
      </c>
      <c r="G25" s="85">
        <f t="shared" si="1"/>
        <v>1910</v>
      </c>
      <c r="H25" s="85">
        <f t="shared" si="0"/>
        <v>19.1</v>
      </c>
      <c r="I25" s="85"/>
      <c r="J25" s="85">
        <v>2790</v>
      </c>
      <c r="K25" s="85">
        <f t="shared" si="2"/>
        <v>27.900000000000002</v>
      </c>
      <c r="L25" s="85">
        <f t="shared" si="3"/>
        <v>2790</v>
      </c>
      <c r="M25" s="85">
        <f t="shared" si="2"/>
        <v>27.900000000000002</v>
      </c>
      <c r="N25" s="85"/>
      <c r="O25" s="85">
        <v>3060</v>
      </c>
      <c r="P25" s="85">
        <f t="shared" si="4"/>
        <v>30.6</v>
      </c>
      <c r="Q25" s="85">
        <f t="shared" si="5"/>
        <v>3060</v>
      </c>
      <c r="R25" s="85">
        <f t="shared" si="4"/>
        <v>30.6</v>
      </c>
    </row>
    <row r="26" spans="1:18" ht="12.75">
      <c r="A26" s="21"/>
      <c r="B26" s="21" t="s">
        <v>88</v>
      </c>
      <c r="C26" s="22">
        <v>0.01</v>
      </c>
      <c r="D26" s="22"/>
      <c r="E26" s="85">
        <v>191</v>
      </c>
      <c r="F26" s="85">
        <f t="shared" si="0"/>
        <v>1.9100000000000001</v>
      </c>
      <c r="G26" s="85">
        <f t="shared" si="1"/>
        <v>191</v>
      </c>
      <c r="H26" s="85">
        <f t="shared" si="0"/>
        <v>1.9100000000000001</v>
      </c>
      <c r="I26" s="85"/>
      <c r="J26" s="85">
        <v>283</v>
      </c>
      <c r="K26" s="85">
        <f t="shared" si="2"/>
        <v>2.83</v>
      </c>
      <c r="L26" s="85">
        <f t="shared" si="3"/>
        <v>283</v>
      </c>
      <c r="M26" s="85">
        <f t="shared" si="2"/>
        <v>2.83</v>
      </c>
      <c r="N26" s="85"/>
      <c r="O26" s="85">
        <v>295</v>
      </c>
      <c r="P26" s="85">
        <f t="shared" si="4"/>
        <v>2.95</v>
      </c>
      <c r="Q26" s="85">
        <f t="shared" si="5"/>
        <v>295</v>
      </c>
      <c r="R26" s="85">
        <f t="shared" si="4"/>
        <v>2.95</v>
      </c>
    </row>
    <row r="27" spans="1:18" ht="12.75">
      <c r="A27" s="21"/>
      <c r="B27" s="21" t="s">
        <v>89</v>
      </c>
      <c r="C27" s="22">
        <v>0.001</v>
      </c>
      <c r="D27" s="22"/>
      <c r="E27" s="85">
        <v>224</v>
      </c>
      <c r="F27" s="85">
        <f t="shared" si="0"/>
        <v>0.224</v>
      </c>
      <c r="G27" s="85">
        <f t="shared" si="1"/>
        <v>224</v>
      </c>
      <c r="H27" s="85">
        <f t="shared" si="0"/>
        <v>0.224</v>
      </c>
      <c r="I27" s="85"/>
      <c r="J27" s="85">
        <v>1170</v>
      </c>
      <c r="K27" s="85">
        <f t="shared" si="2"/>
        <v>1.17</v>
      </c>
      <c r="L27" s="85">
        <f t="shared" si="3"/>
        <v>1170</v>
      </c>
      <c r="M27" s="85">
        <f t="shared" si="2"/>
        <v>1.17</v>
      </c>
      <c r="N27" s="85"/>
      <c r="O27" s="85">
        <v>266</v>
      </c>
      <c r="P27" s="85">
        <f t="shared" si="4"/>
        <v>0.266</v>
      </c>
      <c r="Q27" s="85">
        <f t="shared" si="5"/>
        <v>266</v>
      </c>
      <c r="R27" s="85">
        <f t="shared" si="4"/>
        <v>0.266</v>
      </c>
    </row>
    <row r="28" spans="1:18" ht="12.75">
      <c r="A28" s="21"/>
      <c r="B28" s="21" t="s">
        <v>90</v>
      </c>
      <c r="C28" s="22">
        <v>0</v>
      </c>
      <c r="D28" s="22"/>
      <c r="E28" s="85">
        <f>E11+15072</f>
        <v>15300</v>
      </c>
      <c r="F28" s="85">
        <f t="shared" si="0"/>
        <v>0</v>
      </c>
      <c r="G28" s="85">
        <f t="shared" si="1"/>
        <v>15300</v>
      </c>
      <c r="H28" s="85">
        <f t="shared" si="0"/>
        <v>0</v>
      </c>
      <c r="I28" s="85"/>
      <c r="J28" s="85">
        <f>J11+11843</f>
        <v>12100</v>
      </c>
      <c r="K28" s="85">
        <f t="shared" si="2"/>
        <v>0</v>
      </c>
      <c r="L28" s="85">
        <f t="shared" si="3"/>
        <v>12100</v>
      </c>
      <c r="M28" s="85">
        <f t="shared" si="2"/>
        <v>0</v>
      </c>
      <c r="N28" s="85"/>
      <c r="O28" s="85">
        <f>O11+11522</f>
        <v>11800</v>
      </c>
      <c r="P28" s="85">
        <f t="shared" si="4"/>
        <v>0</v>
      </c>
      <c r="Q28" s="85">
        <f t="shared" si="5"/>
        <v>11800</v>
      </c>
      <c r="R28" s="85">
        <f t="shared" si="4"/>
        <v>0</v>
      </c>
    </row>
    <row r="29" spans="1:18" ht="12.75">
      <c r="A29" s="21"/>
      <c r="B29" s="21" t="s">
        <v>91</v>
      </c>
      <c r="C29" s="22">
        <v>0</v>
      </c>
      <c r="D29" s="22"/>
      <c r="E29" s="85">
        <f>E12+13813</f>
        <v>14200</v>
      </c>
      <c r="F29" s="85">
        <f t="shared" si="0"/>
        <v>0</v>
      </c>
      <c r="G29" s="85">
        <f t="shared" si="1"/>
        <v>14200</v>
      </c>
      <c r="H29" s="85">
        <f t="shared" si="0"/>
        <v>0</v>
      </c>
      <c r="I29" s="85"/>
      <c r="J29" s="85">
        <f>J12+13043</f>
        <v>13600</v>
      </c>
      <c r="K29" s="85">
        <f t="shared" si="2"/>
        <v>0</v>
      </c>
      <c r="L29" s="85">
        <f t="shared" si="3"/>
        <v>13600</v>
      </c>
      <c r="M29" s="85">
        <f t="shared" si="2"/>
        <v>0</v>
      </c>
      <c r="N29" s="85"/>
      <c r="O29" s="85">
        <f>O12+12304</f>
        <v>13000</v>
      </c>
      <c r="P29" s="85">
        <f t="shared" si="4"/>
        <v>0</v>
      </c>
      <c r="Q29" s="85">
        <f t="shared" si="5"/>
        <v>13000</v>
      </c>
      <c r="R29" s="85">
        <f t="shared" si="4"/>
        <v>0</v>
      </c>
    </row>
    <row r="30" spans="1:18" ht="12.75">
      <c r="A30" s="21"/>
      <c r="B30" s="21" t="s">
        <v>92</v>
      </c>
      <c r="C30" s="22">
        <v>0</v>
      </c>
      <c r="D30" s="22"/>
      <c r="E30" s="85">
        <f>E13+E14+E15+3947</f>
        <v>4500</v>
      </c>
      <c r="F30" s="85">
        <f t="shared" si="0"/>
        <v>0</v>
      </c>
      <c r="G30" s="85">
        <f t="shared" si="1"/>
        <v>4500</v>
      </c>
      <c r="H30" s="85">
        <f t="shared" si="0"/>
        <v>0</v>
      </c>
      <c r="I30" s="85"/>
      <c r="J30" s="85">
        <f>J13+J14+J15+5284</f>
        <v>6080</v>
      </c>
      <c r="K30" s="85">
        <f t="shared" si="2"/>
        <v>0</v>
      </c>
      <c r="L30" s="85">
        <f t="shared" si="3"/>
        <v>6080</v>
      </c>
      <c r="M30" s="85">
        <f t="shared" si="2"/>
        <v>0</v>
      </c>
      <c r="N30" s="85"/>
      <c r="O30" s="85">
        <f>O13+O14+O15+6226</f>
        <v>7200</v>
      </c>
      <c r="P30" s="85">
        <f t="shared" si="4"/>
        <v>0</v>
      </c>
      <c r="Q30" s="85">
        <f t="shared" si="5"/>
        <v>7200</v>
      </c>
      <c r="R30" s="85">
        <f t="shared" si="4"/>
        <v>0</v>
      </c>
    </row>
    <row r="31" spans="1:18" ht="12.75">
      <c r="A31" s="21"/>
      <c r="B31" s="21" t="s">
        <v>93</v>
      </c>
      <c r="C31" s="22">
        <v>0</v>
      </c>
      <c r="D31" s="22"/>
      <c r="E31" s="85">
        <f>E16+377</f>
        <v>738</v>
      </c>
      <c r="F31" s="85">
        <f t="shared" si="0"/>
        <v>0</v>
      </c>
      <c r="G31" s="85">
        <f t="shared" si="1"/>
        <v>738</v>
      </c>
      <c r="H31" s="85">
        <f t="shared" si="0"/>
        <v>0</v>
      </c>
      <c r="I31" s="85"/>
      <c r="J31" s="85">
        <f>J16+920</f>
        <v>1990</v>
      </c>
      <c r="K31" s="85">
        <f t="shared" si="2"/>
        <v>0</v>
      </c>
      <c r="L31" s="85">
        <f t="shared" si="3"/>
        <v>1990</v>
      </c>
      <c r="M31" s="85">
        <f t="shared" si="2"/>
        <v>0</v>
      </c>
      <c r="N31" s="85"/>
      <c r="O31" s="85">
        <f>O16+514</f>
        <v>976</v>
      </c>
      <c r="P31" s="85">
        <f t="shared" si="4"/>
        <v>0</v>
      </c>
      <c r="Q31" s="85">
        <f t="shared" si="5"/>
        <v>976</v>
      </c>
      <c r="R31" s="85">
        <f t="shared" si="4"/>
        <v>0</v>
      </c>
    </row>
    <row r="32" spans="1:18" ht="12.75">
      <c r="A32" s="21"/>
      <c r="B32" s="21" t="s">
        <v>94</v>
      </c>
      <c r="C32" s="22">
        <v>0</v>
      </c>
      <c r="D32" s="22"/>
      <c r="E32" s="85">
        <f>E18+242020</f>
        <v>246920</v>
      </c>
      <c r="F32" s="85">
        <f t="shared" si="0"/>
        <v>0</v>
      </c>
      <c r="G32" s="85">
        <f t="shared" si="1"/>
        <v>246920</v>
      </c>
      <c r="H32" s="85">
        <f t="shared" si="0"/>
        <v>0</v>
      </c>
      <c r="I32" s="85"/>
      <c r="J32" s="85">
        <f>J18+237840</f>
        <v>243000</v>
      </c>
      <c r="K32" s="85">
        <f t="shared" si="2"/>
        <v>0</v>
      </c>
      <c r="L32" s="85">
        <f t="shared" si="3"/>
        <v>243000</v>
      </c>
      <c r="M32" s="85">
        <f t="shared" si="2"/>
        <v>0</v>
      </c>
      <c r="N32" s="85"/>
      <c r="O32" s="85">
        <f>O18+218560</f>
        <v>224000</v>
      </c>
      <c r="P32" s="85">
        <f t="shared" si="4"/>
        <v>0</v>
      </c>
      <c r="Q32" s="85">
        <f t="shared" si="5"/>
        <v>224000</v>
      </c>
      <c r="R32" s="85">
        <f t="shared" si="4"/>
        <v>0</v>
      </c>
    </row>
    <row r="33" spans="1:18" ht="12.75">
      <c r="A33" s="21"/>
      <c r="B33" s="21" t="s">
        <v>95</v>
      </c>
      <c r="C33" s="22">
        <v>0</v>
      </c>
      <c r="D33" s="22"/>
      <c r="E33" s="85">
        <f>E19+E20+114820</f>
        <v>126000</v>
      </c>
      <c r="F33" s="85">
        <f t="shared" si="0"/>
        <v>0</v>
      </c>
      <c r="G33" s="85">
        <f t="shared" si="1"/>
        <v>126000</v>
      </c>
      <c r="H33" s="85">
        <f t="shared" si="0"/>
        <v>0</v>
      </c>
      <c r="I33" s="85"/>
      <c r="J33" s="85">
        <f>J19+J20+130160</f>
        <v>144000</v>
      </c>
      <c r="K33" s="85">
        <f t="shared" si="2"/>
        <v>0</v>
      </c>
      <c r="L33" s="85">
        <f t="shared" si="3"/>
        <v>144000</v>
      </c>
      <c r="M33" s="85">
        <f t="shared" si="2"/>
        <v>0</v>
      </c>
      <c r="N33" s="85"/>
      <c r="O33" s="85">
        <f>O19+O20+141940</f>
        <v>158000</v>
      </c>
      <c r="P33" s="85">
        <f t="shared" si="4"/>
        <v>0</v>
      </c>
      <c r="Q33" s="85">
        <f t="shared" si="5"/>
        <v>158000</v>
      </c>
      <c r="R33" s="85">
        <f t="shared" si="4"/>
        <v>0</v>
      </c>
    </row>
    <row r="34" spans="1:18" ht="12.75">
      <c r="A34" s="21"/>
      <c r="B34" s="21" t="s">
        <v>96</v>
      </c>
      <c r="C34" s="22">
        <v>0</v>
      </c>
      <c r="D34" s="22"/>
      <c r="E34" s="85">
        <f>E21+E22+E23+E24+20082</f>
        <v>26800</v>
      </c>
      <c r="F34" s="85">
        <f t="shared" si="0"/>
        <v>0</v>
      </c>
      <c r="G34" s="85">
        <f t="shared" si="1"/>
        <v>26800</v>
      </c>
      <c r="H34" s="85">
        <f t="shared" si="0"/>
        <v>0</v>
      </c>
      <c r="I34" s="85"/>
      <c r="J34" s="85">
        <f>J21+J22+J23+J24+26543</f>
        <v>35600</v>
      </c>
      <c r="K34" s="85">
        <f t="shared" si="2"/>
        <v>0</v>
      </c>
      <c r="L34" s="85">
        <f t="shared" si="3"/>
        <v>35600</v>
      </c>
      <c r="M34" s="85">
        <f t="shared" si="2"/>
        <v>0</v>
      </c>
      <c r="N34" s="85"/>
      <c r="O34" s="85">
        <f>O21+O22+O23+O24+31957</f>
        <v>44000</v>
      </c>
      <c r="P34" s="85">
        <f t="shared" si="4"/>
        <v>0</v>
      </c>
      <c r="Q34" s="85">
        <f t="shared" si="5"/>
        <v>44000</v>
      </c>
      <c r="R34" s="85">
        <f t="shared" si="4"/>
        <v>0</v>
      </c>
    </row>
    <row r="35" spans="1:18" ht="12.75">
      <c r="A35" s="21" t="s">
        <v>97</v>
      </c>
      <c r="B35" s="21" t="s">
        <v>98</v>
      </c>
      <c r="C35" s="22">
        <v>0</v>
      </c>
      <c r="D35" s="22"/>
      <c r="E35" s="85">
        <f>E25+E26+869</f>
        <v>2970</v>
      </c>
      <c r="F35" s="85">
        <f t="shared" si="0"/>
        <v>0</v>
      </c>
      <c r="G35" s="85">
        <f t="shared" si="1"/>
        <v>2970</v>
      </c>
      <c r="H35" s="85">
        <f t="shared" si="0"/>
        <v>0</v>
      </c>
      <c r="I35" s="85"/>
      <c r="J35" s="85">
        <f>J25+J26+1277</f>
        <v>4350</v>
      </c>
      <c r="K35" s="85">
        <f t="shared" si="2"/>
        <v>0</v>
      </c>
      <c r="L35" s="85">
        <f t="shared" si="3"/>
        <v>4350</v>
      </c>
      <c r="M35" s="85">
        <f t="shared" si="2"/>
        <v>0</v>
      </c>
      <c r="N35" s="85"/>
      <c r="O35" s="85">
        <f>O25+O26+1595</f>
        <v>4950</v>
      </c>
      <c r="P35" s="85">
        <f t="shared" si="4"/>
        <v>0</v>
      </c>
      <c r="Q35" s="85">
        <f t="shared" si="5"/>
        <v>4950</v>
      </c>
      <c r="R35" s="85">
        <f t="shared" si="4"/>
        <v>0</v>
      </c>
    </row>
    <row r="36" spans="1:18" s="123" customFormat="1" ht="12.75">
      <c r="A36" s="21"/>
      <c r="B36" s="21"/>
      <c r="C36" s="21"/>
      <c r="D36" s="21"/>
      <c r="E36" s="50"/>
      <c r="F36" s="46"/>
      <c r="G36" s="50"/>
      <c r="H36" s="46"/>
      <c r="I36" s="50"/>
      <c r="J36" s="21"/>
      <c r="K36" s="23"/>
      <c r="L36" s="23"/>
      <c r="M36" s="23"/>
      <c r="N36" s="50"/>
      <c r="O36" s="21"/>
      <c r="P36" s="45"/>
      <c r="Q36" s="50"/>
      <c r="R36" s="45"/>
    </row>
    <row r="37" spans="1:18" s="123" customFormat="1" ht="12.75">
      <c r="A37" s="21"/>
      <c r="B37" s="21" t="s">
        <v>99</v>
      </c>
      <c r="C37" s="21"/>
      <c r="D37" s="21"/>
      <c r="E37" s="50"/>
      <c r="F37" s="50">
        <v>117.813</v>
      </c>
      <c r="G37" s="50">
        <v>117.813</v>
      </c>
      <c r="H37" s="50">
        <v>117.813</v>
      </c>
      <c r="I37" s="50"/>
      <c r="J37" s="50"/>
      <c r="K37" s="50">
        <v>116.036</v>
      </c>
      <c r="L37" s="50">
        <v>116.036</v>
      </c>
      <c r="M37" s="50">
        <v>116.036</v>
      </c>
      <c r="N37" s="50"/>
      <c r="O37" s="50"/>
      <c r="P37" s="50">
        <v>122.159</v>
      </c>
      <c r="Q37" s="50">
        <v>122.159</v>
      </c>
      <c r="R37" s="50">
        <v>122.159</v>
      </c>
    </row>
    <row r="38" spans="1:18" s="123" customFormat="1" ht="12.75">
      <c r="A38" s="21"/>
      <c r="B38" s="21" t="s">
        <v>100</v>
      </c>
      <c r="C38" s="21"/>
      <c r="D38" s="21"/>
      <c r="E38" s="50"/>
      <c r="F38" s="50">
        <v>16</v>
      </c>
      <c r="G38" s="50">
        <v>16</v>
      </c>
      <c r="H38" s="50">
        <v>16</v>
      </c>
      <c r="I38" s="50"/>
      <c r="J38" s="50"/>
      <c r="K38" s="23">
        <v>14.4</v>
      </c>
      <c r="L38" s="23">
        <v>14.4</v>
      </c>
      <c r="M38" s="23">
        <v>14.4</v>
      </c>
      <c r="N38" s="50"/>
      <c r="O38" s="50"/>
      <c r="P38" s="50">
        <v>17.6</v>
      </c>
      <c r="Q38" s="50">
        <v>17.6</v>
      </c>
      <c r="R38" s="50">
        <v>17.6</v>
      </c>
    </row>
    <row r="39" spans="1:18" s="123" customFormat="1" ht="12.75">
      <c r="A39" s="21"/>
      <c r="B39" s="21"/>
      <c r="C39" s="21"/>
      <c r="D39" s="21"/>
      <c r="E39" s="50"/>
      <c r="F39" s="21"/>
      <c r="G39" s="50"/>
      <c r="H39" s="21"/>
      <c r="I39" s="21"/>
      <c r="J39" s="50"/>
      <c r="K39" s="23"/>
      <c r="L39" s="23"/>
      <c r="M39" s="23"/>
      <c r="N39" s="50"/>
      <c r="O39" s="50"/>
      <c r="P39" s="50"/>
      <c r="Q39" s="50"/>
      <c r="R39" s="50"/>
    </row>
    <row r="40" spans="1:18" s="123" customFormat="1" ht="12.75">
      <c r="A40" s="21"/>
      <c r="B40" s="21" t="s">
        <v>101</v>
      </c>
      <c r="C40" s="46"/>
      <c r="D40" s="46"/>
      <c r="E40" s="23"/>
      <c r="F40" s="51">
        <f>SUM(F11:F27)/1000</f>
        <v>5.462935000000001</v>
      </c>
      <c r="G40" s="23">
        <f>SUM(G27,G35,G34,G33,G32,G17,G31,G30,G29,G28)/1000</f>
        <v>438.143</v>
      </c>
      <c r="H40" s="51">
        <f>SUM(H11:H27)/1000</f>
        <v>5.462935000000001</v>
      </c>
      <c r="I40" s="46"/>
      <c r="J40" s="23"/>
      <c r="K40" s="51">
        <f>SUM(K11:K27)/1000</f>
        <v>6.755319999999998</v>
      </c>
      <c r="L40" s="23">
        <f>SUM(L27,L35,L34,L33,L32,L17,L31,L30,L29,L28)/1000</f>
        <v>467.81</v>
      </c>
      <c r="M40" s="51">
        <f>SUM(M11:M27)/1000</f>
        <v>6.755319999999998</v>
      </c>
      <c r="N40" s="46"/>
      <c r="O40" s="50"/>
      <c r="P40" s="51">
        <f>SUM(P11:P27)/1000</f>
        <v>7.948695</v>
      </c>
      <c r="Q40" s="23">
        <f>SUM(Q27,Q35,Q34,Q33,Q32,Q17,Q31,Q30,Q29,Q28)/1000</f>
        <v>464.751</v>
      </c>
      <c r="R40" s="51">
        <f>SUM(R11:R27)/1000</f>
        <v>7.948695</v>
      </c>
    </row>
    <row r="41" spans="1:19" ht="12.75">
      <c r="A41" s="21"/>
      <c r="B41" s="21" t="s">
        <v>102</v>
      </c>
      <c r="C41" s="46"/>
      <c r="D41" s="23">
        <f>(F41-H41)*2/F41*100</f>
        <v>0</v>
      </c>
      <c r="E41" s="50"/>
      <c r="F41" s="51">
        <f>(F40/F37/0.0283*(21-7)/(21-F38))</f>
        <v>4.5877993330689755</v>
      </c>
      <c r="G41" s="50">
        <f>(G40/G37/0.0283*(21-7)/(21-G38))</f>
        <v>367.95461838532583</v>
      </c>
      <c r="H41" s="51">
        <f>(H40/H37/0.0283*(21-7)/(21-H38))</f>
        <v>4.5877993330689755</v>
      </c>
      <c r="I41" s="23">
        <f>(K41-M41)*2/K41*100</f>
        <v>0</v>
      </c>
      <c r="J41" s="50"/>
      <c r="K41" s="51">
        <f>K40/K37/0.0283*(21-7)/(21-K38)</f>
        <v>4.3636593671571235</v>
      </c>
      <c r="L41" s="50">
        <f>(L40/L37/0.0283*(21-7)/(21-L38))</f>
        <v>302.1860531477079</v>
      </c>
      <c r="M41" s="51">
        <f>M40/M37/0.0283*(21-7)/(21-M38)</f>
        <v>4.3636593671571235</v>
      </c>
      <c r="N41" s="23">
        <f>(P41-R41)*2/P41*100</f>
        <v>0</v>
      </c>
      <c r="O41" s="50"/>
      <c r="P41" s="51">
        <f>P40/P37/0.0283*(21-7)/(21-P38)</f>
        <v>9.467450588201235</v>
      </c>
      <c r="Q41" s="50">
        <f>(Q40/Q37/0.0283*(21-7)/(21-Q38))</f>
        <v>553.5508820400217</v>
      </c>
      <c r="R41" s="51">
        <f>R40/R37/0.0283*(21-7)/(21-R38)</f>
        <v>9.467450588201235</v>
      </c>
      <c r="S41" s="123"/>
    </row>
    <row r="42" spans="1:18" ht="12.75">
      <c r="A42" s="21"/>
      <c r="B42" s="21"/>
      <c r="C42" s="21"/>
      <c r="D42" s="21"/>
      <c r="E42" s="51"/>
      <c r="F42" s="46"/>
      <c r="G42" s="51"/>
      <c r="H42" s="46"/>
      <c r="I42" s="51"/>
      <c r="J42" s="51"/>
      <c r="K42" s="51"/>
      <c r="L42" s="51"/>
      <c r="M42" s="51"/>
      <c r="N42" s="51"/>
      <c r="O42" s="51"/>
      <c r="P42" s="45"/>
      <c r="Q42" s="51"/>
      <c r="R42" s="45"/>
    </row>
    <row r="43" spans="1:18" ht="12.75">
      <c r="A43" s="50"/>
      <c r="B43" s="21" t="s">
        <v>103</v>
      </c>
      <c r="C43" s="51">
        <f>AVERAGE(H41,M41,R41)</f>
        <v>6.139636429475778</v>
      </c>
      <c r="D43" s="50"/>
      <c r="E43" s="52"/>
      <c r="F43" s="46"/>
      <c r="G43" s="50"/>
      <c r="H43" s="46"/>
      <c r="I43" s="50"/>
      <c r="J43" s="50"/>
      <c r="K43" s="50"/>
      <c r="L43" s="50"/>
      <c r="M43" s="50"/>
      <c r="N43" s="50"/>
      <c r="O43" s="50"/>
      <c r="P43" s="45"/>
      <c r="Q43" s="50"/>
      <c r="R43" s="45"/>
    </row>
    <row r="44" spans="1:18" ht="12.75">
      <c r="A44" s="21"/>
      <c r="B44" s="21" t="s">
        <v>104</v>
      </c>
      <c r="C44" s="50">
        <f>AVERAGE(G41,L41,Q41)</f>
        <v>407.8971845243518</v>
      </c>
      <c r="D44" s="21"/>
      <c r="E44" s="45"/>
      <c r="F44" s="46"/>
      <c r="G44" s="45"/>
      <c r="H44" s="46"/>
      <c r="I44" s="45"/>
      <c r="J44" s="45"/>
      <c r="K44" s="45"/>
      <c r="L44" s="45"/>
      <c r="M44" s="45"/>
      <c r="N44" s="45"/>
      <c r="O44" s="45"/>
      <c r="P44" s="45"/>
      <c r="Q44" s="45"/>
      <c r="R44" s="45"/>
    </row>
  </sheetData>
  <printOptions headings="1" horizontalCentered="1"/>
  <pageMargins left="0.25" right="0.25" top="0.5" bottom="0.5" header="0.25" footer="0.25"/>
  <pageSetup horizontalDpi="300" verticalDpi="300" orientation="landscape" pageOrder="overThenDown" scale="80" r:id="rId1"/>
  <headerFooter alignWithMargins="0">
    <oddFooter>&amp;C&amp;P, &amp;A,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469"/>
  <sheetViews>
    <sheetView workbookViewId="0" topLeftCell="B1">
      <selection activeCell="C2" sqref="C2"/>
    </sheetView>
  </sheetViews>
  <sheetFormatPr defaultColWidth="9.140625" defaultRowHeight="12.75"/>
  <cols>
    <col min="1" max="1" width="2.7109375" style="1" hidden="1" customWidth="1"/>
    <col min="2" max="2" width="25.57421875" style="1" customWidth="1"/>
    <col min="3" max="3" width="66.8515625" style="1" customWidth="1"/>
    <col min="4" max="4" width="12.7109375" style="1" customWidth="1"/>
    <col min="5" max="16384" width="8.8515625" style="1" customWidth="1"/>
  </cols>
  <sheetData>
    <row r="1" spans="2:12" ht="12.75">
      <c r="B1" s="2" t="s">
        <v>47</v>
      </c>
      <c r="C1" s="31"/>
      <c r="D1" s="9"/>
      <c r="E1" s="9"/>
      <c r="F1" s="9"/>
      <c r="G1" s="9"/>
      <c r="H1" s="9"/>
      <c r="I1" s="9"/>
      <c r="J1" s="9"/>
      <c r="K1" s="9"/>
      <c r="L1" s="9"/>
    </row>
    <row r="2" spans="2:12" ht="12.75"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2:12" ht="12.75">
      <c r="B3" s="9" t="s">
        <v>215</v>
      </c>
      <c r="C3" s="10">
        <v>311</v>
      </c>
      <c r="D3" s="9"/>
      <c r="E3" s="9"/>
      <c r="F3" s="9"/>
      <c r="G3" s="9"/>
      <c r="H3" s="9"/>
      <c r="I3" s="9"/>
      <c r="J3" s="9"/>
      <c r="K3" s="9"/>
      <c r="L3" s="9"/>
    </row>
    <row r="4" spans="2:12" ht="12.75">
      <c r="B4" s="9" t="s">
        <v>0</v>
      </c>
      <c r="C4" s="31" t="s">
        <v>129</v>
      </c>
      <c r="D4" s="9"/>
      <c r="E4" s="9"/>
      <c r="F4" s="9"/>
      <c r="G4" s="9"/>
      <c r="H4" s="9"/>
      <c r="I4" s="9"/>
      <c r="J4" s="9"/>
      <c r="K4" s="9"/>
      <c r="L4" s="9"/>
    </row>
    <row r="5" spans="2:12" ht="12.75">
      <c r="B5" s="9" t="s">
        <v>1</v>
      </c>
      <c r="C5" s="9" t="s">
        <v>131</v>
      </c>
      <c r="D5" s="9"/>
      <c r="E5" s="9"/>
      <c r="F5" s="9"/>
      <c r="G5" s="9"/>
      <c r="H5" s="9"/>
      <c r="I5" s="9"/>
      <c r="J5" s="9"/>
      <c r="K5" s="9"/>
      <c r="L5" s="9"/>
    </row>
    <row r="6" spans="2:12" ht="12.75">
      <c r="B6" s="9" t="s">
        <v>2</v>
      </c>
      <c r="C6" s="9"/>
      <c r="D6" s="9"/>
      <c r="E6" s="9"/>
      <c r="F6" s="9"/>
      <c r="G6" s="9"/>
      <c r="H6" s="9"/>
      <c r="I6" s="9"/>
      <c r="J6" s="9"/>
      <c r="K6" s="9"/>
      <c r="L6" s="9"/>
    </row>
    <row r="7" spans="2:12" ht="12.75">
      <c r="B7" s="9" t="s">
        <v>3</v>
      </c>
      <c r="C7" s="9" t="s">
        <v>126</v>
      </c>
      <c r="D7" s="9"/>
      <c r="E7" s="9"/>
      <c r="F7" s="9"/>
      <c r="G7" s="9"/>
      <c r="H7" s="9"/>
      <c r="I7" s="9"/>
      <c r="J7" s="9"/>
      <c r="K7" s="9"/>
      <c r="L7" s="9"/>
    </row>
    <row r="8" spans="2:12" ht="12.75">
      <c r="B8" s="9" t="s">
        <v>4</v>
      </c>
      <c r="C8" s="9" t="s">
        <v>127</v>
      </c>
      <c r="D8" s="9"/>
      <c r="E8" s="9"/>
      <c r="F8" s="9"/>
      <c r="G8" s="9"/>
      <c r="H8" s="9"/>
      <c r="I8" s="9"/>
      <c r="J8" s="9"/>
      <c r="K8" s="9"/>
      <c r="L8" s="9"/>
    </row>
    <row r="9" spans="2:12" ht="12.75">
      <c r="B9" s="9" t="s">
        <v>5</v>
      </c>
      <c r="C9" s="9" t="s">
        <v>128</v>
      </c>
      <c r="D9" s="9"/>
      <c r="E9" s="9"/>
      <c r="F9" s="9"/>
      <c r="G9" s="9"/>
      <c r="H9" s="9"/>
      <c r="I9" s="9"/>
      <c r="J9" s="9"/>
      <c r="K9" s="9"/>
      <c r="L9" s="9"/>
    </row>
    <row r="10" spans="2:12" ht="12.75">
      <c r="B10" s="9" t="s">
        <v>6</v>
      </c>
      <c r="C10" s="9" t="s">
        <v>214</v>
      </c>
      <c r="D10" s="9"/>
      <c r="E10" s="9"/>
      <c r="F10" s="9"/>
      <c r="G10" s="9"/>
      <c r="H10" s="9"/>
      <c r="I10" s="9"/>
      <c r="J10" s="9"/>
      <c r="K10" s="9"/>
      <c r="L10" s="9"/>
    </row>
    <row r="11" spans="2:12" ht="12.75">
      <c r="B11" s="9" t="s">
        <v>225</v>
      </c>
      <c r="C11" s="10">
        <v>1</v>
      </c>
      <c r="D11" s="9"/>
      <c r="E11" s="9"/>
      <c r="F11" s="9"/>
      <c r="G11" s="9"/>
      <c r="H11" s="9"/>
      <c r="I11" s="9"/>
      <c r="J11" s="9"/>
      <c r="K11" s="9"/>
      <c r="L11" s="9"/>
    </row>
    <row r="12" spans="2:12" ht="12.75">
      <c r="B12" s="9" t="s">
        <v>211</v>
      </c>
      <c r="C12" s="9" t="s">
        <v>240</v>
      </c>
      <c r="D12" s="9"/>
      <c r="E12" s="9"/>
      <c r="F12" s="9"/>
      <c r="G12" s="9"/>
      <c r="H12" s="9"/>
      <c r="I12" s="9"/>
      <c r="J12" s="9"/>
      <c r="K12" s="9"/>
      <c r="L12" s="9"/>
    </row>
    <row r="13" spans="2:12" ht="12.75">
      <c r="B13" s="9" t="s">
        <v>210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2:12" s="26" customFormat="1" ht="12.75">
      <c r="B14" s="25" t="s">
        <v>41</v>
      </c>
      <c r="C14" s="74"/>
      <c r="D14" s="30"/>
      <c r="E14" s="25"/>
      <c r="F14" s="25"/>
      <c r="G14" s="25"/>
      <c r="H14" s="25"/>
      <c r="I14" s="25"/>
      <c r="J14" s="25"/>
      <c r="K14" s="25"/>
      <c r="L14" s="25"/>
    </row>
    <row r="15" spans="2:12" s="26" customFormat="1" ht="12.75">
      <c r="B15" s="25" t="s">
        <v>43</v>
      </c>
      <c r="C15" s="86"/>
      <c r="D15" s="25"/>
      <c r="E15" s="25"/>
      <c r="F15" s="25"/>
      <c r="G15" s="25"/>
      <c r="H15" s="25"/>
      <c r="I15" s="25"/>
      <c r="J15" s="25"/>
      <c r="K15" s="25"/>
      <c r="L15" s="25"/>
    </row>
    <row r="16" spans="2:12" s="26" customFormat="1" ht="12.75">
      <c r="B16" s="9" t="s">
        <v>48</v>
      </c>
      <c r="C16" s="25"/>
      <c r="F16" s="25"/>
      <c r="G16" s="25"/>
      <c r="H16" s="25"/>
      <c r="I16" s="25"/>
      <c r="J16" s="25"/>
      <c r="K16" s="25"/>
      <c r="L16" s="25"/>
    </row>
    <row r="17" spans="2:12" s="26" customFormat="1" ht="12.75">
      <c r="B17" s="9" t="s">
        <v>226</v>
      </c>
      <c r="C17" s="74" t="s">
        <v>167</v>
      </c>
      <c r="D17" s="25"/>
      <c r="E17" s="25"/>
      <c r="F17" s="25"/>
      <c r="G17" s="25"/>
      <c r="H17" s="25"/>
      <c r="I17" s="25"/>
      <c r="J17" s="25"/>
      <c r="K17" s="25"/>
      <c r="L17" s="25"/>
    </row>
    <row r="18" spans="2:12" s="26" customFormat="1" ht="12.75">
      <c r="B18" s="9" t="s">
        <v>227</v>
      </c>
      <c r="C18" s="74" t="s">
        <v>228</v>
      </c>
      <c r="D18" s="25"/>
      <c r="E18" s="25"/>
      <c r="F18" s="25"/>
      <c r="G18" s="25"/>
      <c r="H18" s="25"/>
      <c r="I18" s="25"/>
      <c r="J18" s="25"/>
      <c r="K18" s="25"/>
      <c r="L18" s="25"/>
    </row>
    <row r="19" spans="2:12" ht="38.25">
      <c r="B19" s="25" t="s">
        <v>7</v>
      </c>
      <c r="C19" s="25" t="s">
        <v>212</v>
      </c>
      <c r="D19" s="9"/>
      <c r="E19" s="9"/>
      <c r="F19" s="9"/>
      <c r="G19" s="9"/>
      <c r="H19" s="9"/>
      <c r="I19" s="9"/>
      <c r="J19" s="9"/>
      <c r="K19" s="9"/>
      <c r="L19" s="9"/>
    </row>
    <row r="20" spans="2:12" ht="12.75">
      <c r="B20" s="9" t="s">
        <v>63</v>
      </c>
      <c r="C20" s="1" t="s">
        <v>229</v>
      </c>
      <c r="D20" s="31"/>
      <c r="E20" s="9"/>
      <c r="F20" s="9"/>
      <c r="G20" s="9"/>
      <c r="H20" s="9"/>
      <c r="I20" s="9"/>
      <c r="J20" s="9"/>
      <c r="K20" s="9"/>
      <c r="L20" s="9"/>
    </row>
    <row r="21" spans="2:12" ht="12.75">
      <c r="B21" s="32" t="s">
        <v>49</v>
      </c>
      <c r="C21" s="33" t="s">
        <v>141</v>
      </c>
      <c r="D21" s="9"/>
      <c r="E21" s="9"/>
      <c r="F21" s="9"/>
      <c r="G21" s="9"/>
      <c r="H21" s="9"/>
      <c r="I21" s="9"/>
      <c r="J21" s="9"/>
      <c r="K21" s="9"/>
      <c r="L21" s="9"/>
    </row>
    <row r="22" spans="2:12" ht="12.75">
      <c r="B22" s="9" t="s">
        <v>42</v>
      </c>
      <c r="C22" s="25"/>
      <c r="D22" s="9"/>
      <c r="E22" s="9"/>
      <c r="F22" s="9"/>
      <c r="G22" s="9"/>
      <c r="H22" s="9"/>
      <c r="I22" s="9"/>
      <c r="J22" s="9"/>
      <c r="K22" s="9"/>
      <c r="L22" s="9"/>
    </row>
    <row r="23" spans="2:12" ht="12.75" customHeight="1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2:12" ht="12.75">
      <c r="B24" s="9" t="s">
        <v>8</v>
      </c>
      <c r="C24" s="10"/>
      <c r="D24" s="9"/>
      <c r="E24" s="9"/>
      <c r="F24" s="9"/>
      <c r="G24" s="9"/>
      <c r="H24" s="9"/>
      <c r="I24" s="9"/>
      <c r="J24" s="9"/>
      <c r="K24" s="9"/>
      <c r="L24" s="9"/>
    </row>
    <row r="25" spans="2:12" ht="12.75">
      <c r="B25" s="9" t="s">
        <v>9</v>
      </c>
      <c r="C25" s="76">
        <v>4.3</v>
      </c>
      <c r="D25" s="9"/>
      <c r="E25" s="9"/>
      <c r="F25" s="9"/>
      <c r="G25" s="9"/>
      <c r="H25" s="9"/>
      <c r="I25" s="9"/>
      <c r="J25" s="9"/>
      <c r="K25" s="9"/>
      <c r="L25" s="9"/>
    </row>
    <row r="26" spans="2:12" ht="12.75">
      <c r="B26" s="9" t="s">
        <v>10</v>
      </c>
      <c r="C26" s="77">
        <v>80</v>
      </c>
      <c r="D26" s="9"/>
      <c r="E26" s="9"/>
      <c r="F26" s="9"/>
      <c r="G26" s="9"/>
      <c r="H26" s="9"/>
      <c r="I26" s="9"/>
      <c r="J26" s="9"/>
      <c r="K26" s="9"/>
      <c r="L26" s="9"/>
    </row>
    <row r="27" spans="2:12" ht="12.75">
      <c r="B27" s="9" t="s">
        <v>44</v>
      </c>
      <c r="C27" s="11">
        <v>17.770083137936368</v>
      </c>
      <c r="D27" s="9"/>
      <c r="E27" s="9"/>
      <c r="F27" s="9"/>
      <c r="G27" s="9"/>
      <c r="H27" s="9"/>
      <c r="I27" s="9"/>
      <c r="J27" s="9"/>
      <c r="K27" s="9"/>
      <c r="L27" s="9"/>
    </row>
    <row r="28" spans="2:12" ht="14.25" customHeight="1">
      <c r="B28" s="9" t="s">
        <v>45</v>
      </c>
      <c r="C28" s="11">
        <v>346.3666666666666</v>
      </c>
      <c r="D28" s="9"/>
      <c r="E28" s="9"/>
      <c r="F28" s="9"/>
      <c r="G28" s="9"/>
      <c r="H28" s="9"/>
      <c r="I28" s="9"/>
      <c r="J28" s="9"/>
      <c r="K28" s="9"/>
      <c r="L28" s="9"/>
    </row>
    <row r="29" spans="2:12" ht="12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2:12" ht="12.75">
      <c r="B30" s="32" t="s">
        <v>11</v>
      </c>
      <c r="C30" s="33"/>
      <c r="D30" s="9"/>
      <c r="E30" s="9"/>
      <c r="F30" s="9"/>
      <c r="G30" s="9"/>
      <c r="H30" s="9"/>
      <c r="I30" s="9"/>
      <c r="J30" s="9"/>
      <c r="K30" s="9"/>
      <c r="L30" s="9"/>
    </row>
    <row r="31" spans="2:12" ht="12.75">
      <c r="B31" s="9" t="s">
        <v>59</v>
      </c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2:12" ht="14.25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59" spans="2:12" ht="12.75">
      <c r="B59" s="21"/>
      <c r="C59" s="71"/>
      <c r="D59" s="9"/>
      <c r="E59" s="9"/>
      <c r="F59" s="9"/>
      <c r="G59" s="9"/>
      <c r="H59" s="9"/>
      <c r="I59" s="9"/>
      <c r="J59" s="9"/>
      <c r="K59" s="9"/>
      <c r="L59" s="9"/>
    </row>
    <row r="60" spans="2:12" ht="12.75">
      <c r="B60" s="21"/>
      <c r="C60" s="75"/>
      <c r="D60" s="9"/>
      <c r="E60" s="9"/>
      <c r="F60" s="9"/>
      <c r="G60" s="9"/>
      <c r="H60" s="9"/>
      <c r="I60" s="9"/>
      <c r="J60" s="9"/>
      <c r="K60" s="9"/>
      <c r="L60" s="9"/>
    </row>
    <row r="61" spans="2:12" ht="12.75">
      <c r="B61" s="21"/>
      <c r="C61" s="71"/>
      <c r="D61" s="9"/>
      <c r="E61" s="9"/>
      <c r="F61" s="9"/>
      <c r="G61" s="9"/>
      <c r="H61" s="9"/>
      <c r="I61" s="9"/>
      <c r="J61" s="9"/>
      <c r="K61" s="9"/>
      <c r="L61" s="9"/>
    </row>
    <row r="62" spans="2:12" ht="12.75">
      <c r="B62" s="21"/>
      <c r="C62" s="21"/>
      <c r="D62" s="9"/>
      <c r="E62" s="9"/>
      <c r="F62" s="9"/>
      <c r="G62" s="9"/>
      <c r="H62" s="9"/>
      <c r="I62" s="9"/>
      <c r="J62" s="9"/>
      <c r="K62" s="9"/>
      <c r="L62" s="9"/>
    </row>
    <row r="63" spans="2:12" ht="12.75">
      <c r="B63" s="21"/>
      <c r="C63" s="71"/>
      <c r="D63" s="9"/>
      <c r="E63" s="9"/>
      <c r="F63" s="9"/>
      <c r="G63" s="9"/>
      <c r="H63" s="9"/>
      <c r="I63" s="9"/>
      <c r="J63" s="9"/>
      <c r="K63" s="9"/>
      <c r="L63" s="9"/>
    </row>
    <row r="64" spans="2:12" ht="12.75">
      <c r="B64" s="21"/>
      <c r="C64" s="75"/>
      <c r="D64" s="9"/>
      <c r="E64" s="9"/>
      <c r="F64" s="9"/>
      <c r="G64" s="9"/>
      <c r="H64" s="9"/>
      <c r="I64" s="9"/>
      <c r="J64" s="9"/>
      <c r="K64" s="9"/>
      <c r="L64" s="9"/>
    </row>
    <row r="65" spans="2:12" ht="12.75">
      <c r="B65" s="21"/>
      <c r="C65" s="71"/>
      <c r="D65" s="9"/>
      <c r="E65" s="9"/>
      <c r="F65" s="9"/>
      <c r="G65" s="9"/>
      <c r="H65" s="9"/>
      <c r="I65" s="9"/>
      <c r="J65" s="9"/>
      <c r="K65" s="9"/>
      <c r="L65" s="9"/>
    </row>
    <row r="66" spans="2:12" ht="12.75">
      <c r="B66" s="21"/>
      <c r="C66" s="21"/>
      <c r="D66" s="9"/>
      <c r="E66" s="9"/>
      <c r="F66" s="9"/>
      <c r="G66" s="9"/>
      <c r="H66" s="9"/>
      <c r="I66" s="9"/>
      <c r="J66" s="9"/>
      <c r="K66" s="9"/>
      <c r="L66" s="9"/>
    </row>
    <row r="67" spans="2:12" ht="12.75">
      <c r="B67" s="21"/>
      <c r="C67" s="21"/>
      <c r="D67" s="9"/>
      <c r="E67" s="9"/>
      <c r="F67" s="9"/>
      <c r="G67" s="9"/>
      <c r="H67" s="9"/>
      <c r="I67" s="9"/>
      <c r="J67" s="9"/>
      <c r="K67" s="9"/>
      <c r="L67" s="9"/>
    </row>
    <row r="68" spans="2:12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2:12" ht="12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2:12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2:12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2:12" ht="12.7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2:12" ht="12.7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2:12" ht="12.7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2:12" ht="12.7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2:12" ht="12.7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2:12" ht="12.7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2:12" ht="12.7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2:12" ht="12.7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2:12" ht="12.7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2:12" ht="12.7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2:12" ht="12.7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2:12" ht="12.7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2:12" ht="12.7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2:12" ht="12.7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2:12" ht="12.7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2:12" ht="12.7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2:12" ht="12.7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2:12" ht="12.7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2:12" ht="12.7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2:12" ht="12.7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2:12" ht="12.7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2:12" ht="12.7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2:12" ht="12.7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2:12" ht="12.7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2:12" ht="12.7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2:12" ht="12.7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2:12" ht="12.7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2:12" ht="12.7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2:12" ht="12.7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2:12" ht="12.7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2:12" ht="12.7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2:12" ht="12.7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2:12" ht="12.7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2:12" ht="12.7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2:12" ht="12.7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2:12" ht="12.7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2:12" ht="12.7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2:12" ht="12.7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2:12" ht="12.7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2:12" ht="12.7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2:12" ht="12.7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2:12" ht="12.7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</row>
    <row r="114" spans="2:12" ht="12.7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</row>
    <row r="115" spans="2:12" ht="12.7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</row>
    <row r="116" spans="2:12" ht="12.7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2:12" ht="12.7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</row>
    <row r="118" spans="2:12" ht="12.7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</row>
    <row r="119" spans="2:12" ht="12.7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</row>
    <row r="120" spans="2:12" ht="12.7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</row>
    <row r="121" spans="2:12" ht="12.7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</row>
    <row r="122" spans="2:12" ht="12.7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</row>
    <row r="123" spans="2:12" ht="12.7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</row>
    <row r="124" spans="2:12" ht="12.7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2:12" ht="12.7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</row>
    <row r="126" spans="2:12" ht="12.7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2:12" ht="12.7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</row>
    <row r="128" spans="2:12" ht="12.7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</row>
    <row r="129" spans="2:12" ht="12.7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</row>
    <row r="130" spans="2:12" ht="12.7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2:12" ht="12.7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</row>
    <row r="132" spans="2:12" ht="12.7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</row>
    <row r="133" spans="2:12" ht="12.7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</row>
    <row r="134" spans="2:12" ht="12.7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</row>
    <row r="135" spans="2:12" ht="12.7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</row>
    <row r="136" spans="2:12" ht="12.7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2:12" ht="12.7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</row>
    <row r="138" spans="2:12" ht="12.7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</row>
    <row r="139" spans="2:12" ht="12.7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2:12" ht="12.7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</row>
    <row r="141" spans="2:12" ht="12.7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2:12" ht="12.7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</row>
    <row r="143" spans="2:12" ht="12.7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</row>
    <row r="144" spans="2:12" ht="12.7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</row>
    <row r="145" spans="2:12" ht="12.7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2:12" ht="12.7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</row>
    <row r="147" spans="2:12" ht="12.7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</row>
    <row r="148" spans="2:12" ht="12.7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</row>
    <row r="149" spans="2:12" ht="12.7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</row>
    <row r="150" spans="2:12" ht="12.7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</row>
    <row r="151" spans="2:12" ht="12.7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2:12" ht="12.7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</row>
    <row r="153" spans="2:12" ht="12.7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</row>
    <row r="154" spans="2:12" ht="12.7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2:12" ht="12.7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</row>
    <row r="156" spans="2:12" ht="12.75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</row>
    <row r="157" spans="2:12" ht="12.75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</row>
    <row r="158" spans="2:12" ht="12.7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2:12" ht="12.7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</row>
    <row r="160" spans="2:12" ht="12.7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</row>
    <row r="161" spans="2:12" ht="12.7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2:12" ht="12.7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</row>
    <row r="163" spans="2:12" ht="12.7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</row>
    <row r="164" spans="2:12" ht="12.7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2:12" ht="12.7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</row>
    <row r="166" spans="2:12" ht="12.7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</row>
    <row r="167" spans="2:12" ht="12.7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</row>
    <row r="168" spans="2:12" ht="12.7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2:12" ht="12.7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</row>
    <row r="170" spans="2:12" ht="12.75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2:12" ht="12.75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</row>
    <row r="172" spans="2:12" ht="12.75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2:12" ht="12.75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</row>
    <row r="174" spans="2:12" ht="12.75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</row>
    <row r="175" spans="2:12" ht="12.75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</row>
    <row r="176" spans="2:12" ht="12.75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</row>
    <row r="177" spans="2:12" ht="12.75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2:12" ht="12.75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</row>
    <row r="179" spans="2:12" ht="12.75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</row>
    <row r="180" spans="2:12" ht="12.75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</row>
    <row r="181" spans="2:12" ht="12.75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</row>
    <row r="182" spans="2:12" ht="12.75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2:12" ht="12.75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</row>
    <row r="184" spans="2:12" ht="12.75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</row>
    <row r="185" spans="2:12" ht="12.75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</row>
    <row r="186" spans="2:12" ht="12.75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</row>
    <row r="187" spans="2:12" ht="12.75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</row>
    <row r="188" spans="2:12" ht="12.75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2:12" ht="12.75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</row>
    <row r="190" spans="2:12" ht="12.75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</row>
    <row r="191" spans="2:12" ht="12.75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</row>
    <row r="192" spans="2:12" ht="12.75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</row>
    <row r="193" spans="2:12" ht="12.75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</row>
    <row r="194" spans="2:12" ht="12.75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2:12" ht="12.75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</row>
    <row r="196" spans="2:12" ht="12.7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</row>
    <row r="197" spans="2:12" ht="12.75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2:12" ht="12.75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</row>
    <row r="199" spans="2:12" ht="12.75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</row>
    <row r="200" spans="2:12" ht="12.75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</row>
    <row r="201" spans="2:12" ht="12.75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</row>
    <row r="202" spans="2:12" ht="12.75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</row>
    <row r="203" spans="2:12" ht="12.75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2:12" ht="12.75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</row>
    <row r="205" spans="2:12" ht="12.75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</row>
    <row r="206" spans="2:12" ht="12.75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</row>
    <row r="207" spans="2:12" ht="12.75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</row>
    <row r="208" spans="2:12" ht="12.75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</row>
    <row r="209" spans="2:12" ht="12.75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</row>
    <row r="210" spans="2:12" ht="12.75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</row>
    <row r="211" spans="2:12" ht="12.75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</row>
    <row r="212" spans="2:12" ht="12.75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</row>
    <row r="213" spans="2:12" ht="12.75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</row>
    <row r="214" spans="2:12" ht="12.75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</row>
    <row r="215" spans="2:12" ht="12.75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</row>
    <row r="216" spans="2:12" ht="12.75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</row>
    <row r="217" spans="2:12" ht="12.75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</row>
    <row r="218" spans="2:12" ht="12.75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</row>
    <row r="219" spans="2:12" ht="12.75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</row>
    <row r="220" spans="2:12" ht="12.75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</row>
    <row r="221" spans="2:12" ht="12.75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2:12" ht="12.75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</row>
    <row r="223" spans="2:12" ht="12.75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</row>
    <row r="224" spans="2:12" ht="12.75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</row>
    <row r="225" spans="2:12" ht="12.75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</row>
    <row r="226" spans="2:12" ht="12.75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</row>
    <row r="227" spans="2:12" ht="12.75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</row>
    <row r="228" spans="2:12" ht="12.75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</row>
    <row r="229" spans="2:12" ht="12.75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</row>
    <row r="230" spans="2:12" ht="12.75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</row>
    <row r="231" spans="2:12" ht="12.75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</row>
    <row r="232" spans="2:12" ht="12.75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</row>
    <row r="233" spans="2:12" ht="12.75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</row>
    <row r="234" spans="2:12" ht="12.75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</row>
    <row r="235" spans="2:12" ht="12.75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</row>
    <row r="236" spans="2:12" ht="12.75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</row>
    <row r="237" spans="2:12" ht="12.75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</row>
    <row r="238" spans="2:12" ht="12.75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</row>
    <row r="239" spans="2:12" ht="12.75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</row>
    <row r="240" spans="2:12" ht="12.75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</row>
    <row r="241" spans="2:12" ht="12.75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</row>
    <row r="242" spans="2:12" ht="12.75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</row>
    <row r="243" spans="2:12" ht="12.75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</row>
    <row r="244" spans="2:12" ht="12.75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</row>
    <row r="245" spans="2:12" ht="12.75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</row>
    <row r="246" spans="2:12" ht="12.75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</row>
    <row r="247" spans="2:12" ht="12.75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</row>
    <row r="248" spans="2:12" ht="12.75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</row>
    <row r="249" spans="2:12" ht="12.75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</row>
    <row r="250" spans="2:12" ht="12.75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</row>
    <row r="251" spans="2:12" ht="12.75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</row>
    <row r="252" spans="2:12" ht="12.75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</row>
    <row r="253" spans="2:12" ht="12.75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</row>
    <row r="254" spans="2:12" ht="12.75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</row>
    <row r="255" spans="2:12" ht="12.75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</row>
    <row r="256" spans="2:12" ht="12.75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</row>
    <row r="257" spans="2:12" ht="12.75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</row>
    <row r="258" spans="2:12" ht="12.75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</row>
    <row r="259" spans="2:12" ht="12.75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</row>
    <row r="260" spans="2:12" ht="12.75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</row>
    <row r="261" spans="2:12" ht="12.75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</row>
    <row r="262" spans="2:12" ht="12.75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</row>
    <row r="263" spans="2:12" ht="12.75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</row>
    <row r="264" spans="2:12" ht="12.75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</row>
    <row r="265" spans="2:12" ht="12.75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</row>
    <row r="266" spans="2:12" ht="12.75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</row>
    <row r="267" spans="2:12" ht="12.75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</row>
    <row r="268" spans="2:12" ht="12.75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</row>
    <row r="269" spans="2:12" ht="12.75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</row>
    <row r="270" spans="2:12" ht="12.75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</row>
    <row r="271" spans="2:12" ht="12.75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</row>
    <row r="272" spans="2:12" ht="12.75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</row>
    <row r="273" spans="2:12" ht="12.75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</row>
    <row r="274" spans="2:12" ht="12.75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</row>
    <row r="275" spans="2:12" ht="12.75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</row>
    <row r="276" spans="2:12" ht="12.75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</row>
    <row r="277" spans="2:12" ht="12.75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</row>
    <row r="278" spans="2:12" ht="12.75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</row>
    <row r="279" spans="2:12" ht="12.75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</row>
    <row r="280" spans="2:12" ht="12.75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</row>
    <row r="281" spans="2:12" ht="12.75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</row>
    <row r="282" spans="2:12" ht="12.75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</row>
    <row r="283" spans="2:12" ht="12.75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</row>
    <row r="284" spans="2:12" ht="12.75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</row>
    <row r="285" spans="2:12" ht="12.75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</row>
    <row r="286" spans="2:12" ht="12.75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</row>
    <row r="287" spans="2:12" ht="12.75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</row>
    <row r="288" spans="2:12" ht="12.75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</row>
    <row r="289" spans="2:12" ht="12.75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</row>
    <row r="290" spans="2:12" ht="12.75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</row>
    <row r="291" spans="2:12" ht="12.75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</row>
    <row r="292" spans="2:12" ht="12.75"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</row>
    <row r="293" spans="2:12" ht="12.75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</row>
    <row r="294" spans="2:12" ht="12.75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</row>
    <row r="295" spans="2:12" ht="12.75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</row>
    <row r="296" spans="2:12" ht="12.75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</row>
    <row r="297" spans="2:12" ht="12.75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</row>
    <row r="298" spans="2:12" ht="12.75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</row>
    <row r="299" spans="2:12" ht="12.75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</row>
    <row r="300" spans="2:12" ht="12.75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</row>
    <row r="301" spans="2:12" ht="12.75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</row>
    <row r="302" spans="2:12" ht="12.75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</row>
    <row r="303" spans="2:12" ht="12.75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</row>
    <row r="304" spans="2:12" ht="12.75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</row>
    <row r="305" spans="2:12" ht="12.75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</row>
    <row r="306" spans="2:12" ht="12.75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</row>
    <row r="307" spans="2:12" ht="12.75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</row>
    <row r="308" spans="2:12" ht="12.75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</row>
    <row r="309" spans="2:12" ht="12.75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</row>
    <row r="310" spans="2:12" ht="12.75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</row>
    <row r="311" spans="2:12" ht="12.75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</row>
    <row r="312" spans="2:12" ht="12.75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</row>
    <row r="313" spans="2:12" ht="12.75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</row>
    <row r="314" spans="2:12" ht="12.75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</row>
    <row r="315" spans="2:12" ht="12.75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</row>
    <row r="316" spans="2:12" ht="12.75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</row>
    <row r="317" spans="2:12" ht="12.75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</row>
    <row r="318" spans="2:12" ht="12.75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</row>
    <row r="319" spans="2:12" ht="12.75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</row>
    <row r="320" spans="2:12" ht="12.75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</row>
    <row r="321" spans="2:12" ht="12.75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</row>
    <row r="322" spans="2:12" ht="12.75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</row>
    <row r="323" spans="2:12" ht="12.75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</row>
    <row r="324" spans="2:12" ht="12.75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</row>
    <row r="325" spans="2:12" ht="12.75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</row>
    <row r="326" spans="2:12" ht="12.75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</row>
    <row r="327" spans="2:12" ht="12.75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</row>
    <row r="328" spans="2:12" ht="12.75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</row>
    <row r="329" spans="2:12" ht="12.75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</row>
    <row r="330" spans="2:12" ht="12.75"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</row>
    <row r="331" spans="2:12" ht="12.75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</row>
    <row r="332" spans="2:12" ht="12.75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</row>
    <row r="333" spans="2:12" ht="12.75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</row>
    <row r="334" spans="2:12" ht="12.75"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</row>
    <row r="335" spans="2:12" ht="12.75"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</row>
    <row r="336" spans="2:12" ht="12.75"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</row>
    <row r="337" spans="2:12" ht="12.75"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</row>
    <row r="338" spans="2:12" ht="12.75"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</row>
    <row r="339" spans="2:12" ht="12.75"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</row>
    <row r="340" spans="2:12" ht="12.75"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</row>
    <row r="341" spans="2:12" ht="12.75"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</row>
    <row r="342" spans="2:12" ht="12.75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</row>
    <row r="343" spans="2:12" ht="12.75"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</row>
    <row r="344" spans="2:12" ht="12.75"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</row>
    <row r="345" spans="2:12" ht="12.75"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</row>
    <row r="346" spans="2:12" ht="12.75"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</row>
    <row r="347" spans="2:12" ht="12.75"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</row>
    <row r="348" spans="2:12" ht="12.75"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</row>
    <row r="349" spans="2:12" ht="12.75"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</row>
    <row r="350" spans="2:12" ht="12.75"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</row>
    <row r="351" spans="2:12" ht="12.75"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</row>
    <row r="352" spans="2:12" ht="12.75"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</row>
    <row r="353" spans="2:12" ht="12.75"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</row>
    <row r="354" spans="2:12" ht="12.75"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</row>
    <row r="355" spans="2:12" ht="12.75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</row>
    <row r="356" spans="2:12" ht="12.75"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</row>
    <row r="357" spans="2:12" ht="12.75"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</row>
    <row r="358" spans="2:12" ht="12.75"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</row>
    <row r="359" spans="2:12" ht="12.75"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</row>
    <row r="360" spans="2:12" ht="12.75"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</row>
    <row r="361" spans="2:12" ht="12.75"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</row>
    <row r="362" spans="2:12" ht="12.75"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</row>
    <row r="363" spans="2:12" ht="12.75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</row>
    <row r="364" spans="2:12" ht="12.75"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</row>
    <row r="365" spans="2:12" ht="12.75"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</row>
    <row r="366" spans="2:12" ht="12.75"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</row>
    <row r="367" spans="2:12" ht="12.75"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</row>
    <row r="368" spans="2:12" ht="12.75"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</row>
    <row r="369" spans="2:12" ht="12.75"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</row>
    <row r="370" spans="2:12" ht="12.75"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</row>
    <row r="371" spans="2:12" ht="12.75"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</row>
    <row r="372" spans="2:12" ht="12.75"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</row>
    <row r="373" spans="2:12" ht="12.75"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</row>
    <row r="374" spans="2:12" ht="12.75"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</row>
    <row r="375" spans="2:12" ht="12.75"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</row>
    <row r="376" spans="2:12" ht="12.75"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</row>
    <row r="377" spans="2:12" ht="12.75"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</row>
    <row r="378" spans="2:12" ht="12.75"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</row>
    <row r="379" spans="2:12" ht="12.75"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</row>
    <row r="380" spans="2:12" ht="12.75"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</row>
    <row r="381" spans="2:12" ht="12.75"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</row>
    <row r="382" spans="2:12" ht="12.75"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</row>
    <row r="383" spans="2:12" ht="12.75"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</row>
    <row r="384" spans="2:12" ht="12.75"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</row>
    <row r="385" spans="2:12" ht="12.75"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</row>
    <row r="386" spans="2:12" ht="12.75"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</row>
    <row r="387" spans="2:12" ht="12.75"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</row>
    <row r="388" spans="2:12" ht="12.75"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</row>
    <row r="389" spans="2:12" ht="12.75"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</row>
    <row r="390" spans="2:12" ht="12.75"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</row>
    <row r="391" spans="2:12" ht="12.75"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</row>
    <row r="392" spans="2:12" ht="12.75"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</row>
    <row r="393" spans="2:12" ht="12.75"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</row>
    <row r="394" spans="2:12" ht="12.75"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</row>
    <row r="395" spans="2:12" ht="12.75"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</row>
    <row r="396" spans="2:12" ht="12.75"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</row>
    <row r="397" spans="2:12" ht="12.75"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</row>
    <row r="398" spans="2:12" ht="12.75"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</row>
    <row r="399" spans="2:12" ht="12.75"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</row>
    <row r="400" spans="2:12" ht="12.75"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</row>
    <row r="401" spans="2:12" ht="12.75"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</row>
    <row r="402" spans="2:12" ht="12.75"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</row>
    <row r="403" spans="2:12" ht="12.75"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</row>
    <row r="404" spans="2:12" ht="12.75"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</row>
    <row r="405" spans="2:12" ht="12.75"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</row>
    <row r="406" spans="2:12" ht="12.75"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</row>
    <row r="407" spans="2:12" ht="12.75"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</row>
    <row r="408" spans="2:12" ht="12.75"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</row>
    <row r="409" spans="2:12" ht="12.75"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</row>
    <row r="410" spans="2:12" ht="12.75"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</row>
    <row r="411" spans="2:12" ht="12.75"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</row>
    <row r="412" spans="2:12" ht="12.75"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</row>
    <row r="413" spans="2:12" ht="12.75"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</row>
    <row r="414" spans="2:12" ht="12.75"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</row>
    <row r="415" spans="2:12" ht="12.75"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</row>
    <row r="416" spans="2:12" ht="12.75"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</row>
    <row r="417" spans="2:12" ht="12.75"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</row>
    <row r="418" spans="2:12" ht="12.75"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</row>
    <row r="419" spans="2:12" ht="12.75"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</row>
    <row r="420" spans="2:12" ht="12.75"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</row>
    <row r="421" spans="2:12" ht="12.75"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</row>
    <row r="422" spans="2:12" ht="12.75"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</row>
    <row r="423" spans="2:12" ht="12.75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</row>
    <row r="424" spans="2:12" ht="12.75"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</row>
    <row r="425" spans="2:12" ht="12.75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</row>
    <row r="426" spans="2:12" ht="12.75"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</row>
    <row r="427" spans="2:12" ht="12.75"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</row>
    <row r="428" spans="2:12" ht="12.75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</row>
    <row r="429" spans="2:12" ht="12.75"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</row>
    <row r="430" spans="2:12" ht="12.75"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</row>
    <row r="431" spans="2:12" ht="12.75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</row>
    <row r="432" spans="2:12" ht="12.75"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</row>
    <row r="433" spans="2:12" ht="12.75"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</row>
    <row r="434" spans="2:12" ht="12.75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</row>
    <row r="435" spans="2:12" ht="12.75"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</row>
    <row r="436" spans="2:12" ht="12.75"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</row>
    <row r="437" spans="2:12" ht="12.75"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</row>
    <row r="438" spans="2:12" ht="12.75"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</row>
    <row r="439" spans="2:12" ht="12.75"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</row>
    <row r="440" spans="2:12" ht="12.75"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</row>
    <row r="441" spans="2:12" ht="12.75"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</row>
    <row r="442" spans="2:12" ht="12.75"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</row>
    <row r="443" spans="2:12" ht="12.75"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</row>
    <row r="444" spans="2:12" ht="12.75"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</row>
    <row r="445" spans="2:12" ht="12.75"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</row>
    <row r="446" spans="2:12" ht="12.75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</row>
    <row r="447" spans="2:12" ht="12.75"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</row>
    <row r="448" spans="2:12" ht="12.75"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</row>
    <row r="449" spans="2:12" ht="12.75"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</row>
    <row r="450" spans="2:12" ht="12.75"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</row>
    <row r="451" spans="2:12" ht="12.75"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</row>
    <row r="452" spans="2:12" ht="12.75"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</row>
    <row r="453" spans="2:12" ht="12.75"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</row>
    <row r="454" spans="2:12" ht="12.75"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</row>
    <row r="455" spans="2:12" ht="12.75"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</row>
    <row r="456" spans="2:12" ht="12.75"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</row>
    <row r="457" spans="2:12" ht="12.75"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</row>
    <row r="458" spans="2:12" ht="12.75"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</row>
    <row r="459" spans="2:12" ht="12.75"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</row>
    <row r="460" spans="2:12" ht="12.75"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</row>
    <row r="461" spans="2:12" ht="12.75"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</row>
    <row r="462" spans="2:12" ht="12.75"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</row>
    <row r="463" spans="2:12" ht="12.75"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</row>
    <row r="464" spans="2:12" ht="12.75"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</row>
    <row r="465" spans="2:12" ht="12.75"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</row>
    <row r="466" spans="2:12" ht="12.75"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</row>
    <row r="467" spans="2:12" ht="12.75"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</row>
    <row r="468" spans="2:12" ht="12.75"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</row>
    <row r="469" spans="2:12" ht="12.75"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B1">
      <selection activeCell="C2" sqref="C2"/>
    </sheetView>
  </sheetViews>
  <sheetFormatPr defaultColWidth="9.140625" defaultRowHeight="12.75"/>
  <cols>
    <col min="1" max="1" width="3.00390625" style="89" hidden="1" customWidth="1"/>
    <col min="2" max="2" width="17.8515625" style="89" customWidth="1"/>
    <col min="3" max="3" width="65.7109375" style="96" customWidth="1"/>
    <col min="4" max="16384" width="9.140625" style="89" customWidth="1"/>
  </cols>
  <sheetData>
    <row r="1" spans="2:3" s="113" customFormat="1" ht="12.75">
      <c r="B1" s="114" t="s">
        <v>213</v>
      </c>
      <c r="C1" s="115"/>
    </row>
    <row r="3" spans="1:12" s="26" customFormat="1" ht="12.75">
      <c r="A3" s="26">
        <v>10</v>
      </c>
      <c r="B3" s="95" t="s">
        <v>164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s="26" customFormat="1" ht="12.75">
      <c r="B4" s="9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2:12" s="26" customFormat="1" ht="12.75">
      <c r="B5" s="25" t="s">
        <v>182</v>
      </c>
      <c r="C5" s="74" t="s">
        <v>130</v>
      </c>
      <c r="D5" s="25"/>
      <c r="E5" s="25"/>
      <c r="F5" s="25"/>
      <c r="G5" s="25"/>
      <c r="H5" s="25"/>
      <c r="I5" s="25"/>
      <c r="J5" s="25"/>
      <c r="K5" s="25"/>
      <c r="L5" s="25"/>
    </row>
    <row r="6" spans="2:12" s="26" customFormat="1" ht="12.75">
      <c r="B6" s="25" t="s">
        <v>194</v>
      </c>
      <c r="C6" s="25" t="s">
        <v>132</v>
      </c>
      <c r="D6" s="30"/>
      <c r="E6" s="25"/>
      <c r="F6" s="25"/>
      <c r="G6" s="25"/>
      <c r="H6" s="25"/>
      <c r="I6" s="25"/>
      <c r="J6" s="25"/>
      <c r="K6" s="25"/>
      <c r="L6" s="25"/>
    </row>
    <row r="7" spans="2:12" s="26" customFormat="1" ht="12.75">
      <c r="B7" s="25" t="s">
        <v>184</v>
      </c>
      <c r="C7" s="25" t="s">
        <v>133</v>
      </c>
      <c r="D7" s="25"/>
      <c r="E7" s="25"/>
      <c r="F7" s="25"/>
      <c r="G7" s="25"/>
      <c r="H7" s="25"/>
      <c r="I7" s="25"/>
      <c r="J7" s="25"/>
      <c r="K7" s="25"/>
      <c r="L7" s="25"/>
    </row>
    <row r="8" spans="2:12" s="26" customFormat="1" ht="12.75">
      <c r="B8" s="25" t="s">
        <v>195</v>
      </c>
      <c r="C8" s="97" t="s">
        <v>134</v>
      </c>
      <c r="D8" s="25"/>
      <c r="E8" s="25"/>
      <c r="F8" s="25"/>
      <c r="G8" s="25"/>
      <c r="H8" s="25"/>
      <c r="I8" s="25"/>
      <c r="J8" s="25"/>
      <c r="K8" s="25"/>
      <c r="L8" s="25"/>
    </row>
    <row r="9" spans="2:12" s="26" customFormat="1" ht="12.75">
      <c r="B9" s="25" t="s">
        <v>223</v>
      </c>
      <c r="C9" s="118">
        <v>36281</v>
      </c>
      <c r="D9" s="25"/>
      <c r="E9" s="25"/>
      <c r="F9" s="25"/>
      <c r="G9" s="25"/>
      <c r="H9" s="25"/>
      <c r="I9" s="25"/>
      <c r="J9" s="25"/>
      <c r="K9" s="25"/>
      <c r="L9" s="25"/>
    </row>
    <row r="10" spans="2:12" s="26" customFormat="1" ht="12.75">
      <c r="B10" s="25" t="s">
        <v>196</v>
      </c>
      <c r="C10" s="25" t="s">
        <v>160</v>
      </c>
      <c r="D10" s="25"/>
      <c r="E10" s="25"/>
      <c r="F10" s="25"/>
      <c r="G10" s="25"/>
      <c r="H10" s="25"/>
      <c r="I10" s="25"/>
      <c r="J10" s="25"/>
      <c r="K10" s="25"/>
      <c r="L10" s="25"/>
    </row>
    <row r="11" spans="2:12" s="26" customFormat="1" ht="14.25">
      <c r="B11" s="25" t="s">
        <v>197</v>
      </c>
      <c r="C11" s="97" t="s">
        <v>144</v>
      </c>
      <c r="D11" s="25"/>
      <c r="E11" s="25"/>
      <c r="F11" s="25"/>
      <c r="G11" s="25"/>
      <c r="H11" s="25"/>
      <c r="I11" s="25"/>
      <c r="J11" s="25"/>
      <c r="K11" s="25"/>
      <c r="L11" s="25"/>
    </row>
    <row r="12" spans="2:12" s="26" customFormat="1" ht="12.75">
      <c r="B12" s="98"/>
      <c r="C12" s="99"/>
      <c r="D12" s="25"/>
      <c r="E12" s="25"/>
      <c r="F12" s="25"/>
      <c r="G12" s="25"/>
      <c r="H12" s="25"/>
      <c r="I12" s="25"/>
      <c r="J12" s="25"/>
      <c r="K12" s="25"/>
      <c r="L12" s="25"/>
    </row>
    <row r="13" spans="1:12" s="26" customFormat="1" ht="12.75">
      <c r="A13" s="26">
        <v>11</v>
      </c>
      <c r="B13" s="95" t="s">
        <v>165</v>
      </c>
      <c r="C13" s="25"/>
      <c r="D13" s="30"/>
      <c r="E13" s="25"/>
      <c r="F13" s="25"/>
      <c r="G13" s="25"/>
      <c r="H13" s="25"/>
      <c r="I13" s="25"/>
      <c r="J13" s="25"/>
      <c r="K13" s="25"/>
      <c r="L13" s="25"/>
    </row>
    <row r="14" spans="2:12" s="26" customFormat="1" ht="12.75">
      <c r="B14" s="95"/>
      <c r="C14" s="25"/>
      <c r="D14" s="30"/>
      <c r="E14" s="25"/>
      <c r="F14" s="25"/>
      <c r="G14" s="25"/>
      <c r="H14" s="25"/>
      <c r="I14" s="25"/>
      <c r="J14" s="25"/>
      <c r="K14" s="25"/>
      <c r="L14" s="25"/>
    </row>
    <row r="15" spans="2:12" s="26" customFormat="1" ht="12.75">
      <c r="B15" s="25" t="s">
        <v>182</v>
      </c>
      <c r="C15" s="74" t="s">
        <v>145</v>
      </c>
      <c r="D15" s="25"/>
      <c r="E15" s="30"/>
      <c r="F15" s="25"/>
      <c r="G15" s="25"/>
      <c r="H15" s="25"/>
      <c r="I15" s="25"/>
      <c r="J15" s="25"/>
      <c r="K15" s="25"/>
      <c r="L15" s="25"/>
    </row>
    <row r="16" spans="2:12" s="26" customFormat="1" ht="12.75">
      <c r="B16" s="25" t="s">
        <v>194</v>
      </c>
      <c r="C16" s="25" t="s">
        <v>132</v>
      </c>
      <c r="D16" s="25"/>
      <c r="E16" s="25"/>
      <c r="F16" s="25"/>
      <c r="G16" s="25"/>
      <c r="H16" s="25"/>
      <c r="I16" s="25"/>
      <c r="J16" s="25"/>
      <c r="K16" s="25"/>
      <c r="L16" s="25"/>
    </row>
    <row r="17" spans="2:12" s="26" customFormat="1" ht="12.75">
      <c r="B17" s="25" t="s">
        <v>184</v>
      </c>
      <c r="C17" s="25" t="s">
        <v>133</v>
      </c>
      <c r="D17" s="30"/>
      <c r="E17" s="25"/>
      <c r="F17" s="25"/>
      <c r="G17" s="25"/>
      <c r="H17" s="25"/>
      <c r="I17" s="25"/>
      <c r="J17" s="25"/>
      <c r="K17" s="25"/>
      <c r="L17" s="25"/>
    </row>
    <row r="18" spans="2:12" s="26" customFormat="1" ht="12.75">
      <c r="B18" s="25" t="s">
        <v>195</v>
      </c>
      <c r="C18" s="97" t="s">
        <v>224</v>
      </c>
      <c r="D18" s="25"/>
      <c r="E18" s="25"/>
      <c r="F18" s="25"/>
      <c r="G18" s="25"/>
      <c r="H18" s="25"/>
      <c r="I18" s="25"/>
      <c r="J18" s="25"/>
      <c r="K18" s="25"/>
      <c r="L18" s="25"/>
    </row>
    <row r="19" spans="2:12" s="26" customFormat="1" ht="12.75">
      <c r="B19" s="25" t="s">
        <v>223</v>
      </c>
      <c r="C19" s="118">
        <v>36465</v>
      </c>
      <c r="D19" s="25"/>
      <c r="E19" s="25"/>
      <c r="F19" s="25"/>
      <c r="G19" s="25"/>
      <c r="H19" s="25"/>
      <c r="I19" s="25"/>
      <c r="J19" s="25"/>
      <c r="K19" s="25"/>
      <c r="L19" s="25"/>
    </row>
    <row r="20" spans="2:12" s="26" customFormat="1" ht="12.75">
      <c r="B20" s="25" t="s">
        <v>196</v>
      </c>
      <c r="C20" s="25" t="s">
        <v>143</v>
      </c>
      <c r="D20" s="25"/>
      <c r="E20" s="25"/>
      <c r="F20" s="25"/>
      <c r="G20" s="25"/>
      <c r="H20" s="25"/>
      <c r="I20" s="25"/>
      <c r="J20" s="25"/>
      <c r="K20" s="25"/>
      <c r="L20" s="25"/>
    </row>
    <row r="21" spans="2:12" s="26" customFormat="1" ht="12.75">
      <c r="B21" s="25" t="s">
        <v>197</v>
      </c>
      <c r="C21" s="97" t="s">
        <v>162</v>
      </c>
      <c r="D21" s="25"/>
      <c r="E21" s="25"/>
      <c r="F21" s="25"/>
      <c r="G21" s="25"/>
      <c r="H21" s="25"/>
      <c r="I21" s="25"/>
      <c r="J21" s="25"/>
      <c r="K21" s="25"/>
      <c r="L21" s="25"/>
    </row>
    <row r="22" spans="2:12" s="26" customFormat="1" ht="12.75">
      <c r="B22" s="98"/>
      <c r="C22" s="99"/>
      <c r="D22" s="25"/>
      <c r="E22" s="25"/>
      <c r="F22" s="25"/>
      <c r="G22" s="25"/>
      <c r="H22" s="25"/>
      <c r="I22" s="25"/>
      <c r="J22" s="25"/>
      <c r="K22" s="25"/>
      <c r="L22" s="25"/>
    </row>
    <row r="23" spans="1:12" s="26" customFormat="1" ht="12.75">
      <c r="A23" s="26">
        <v>12</v>
      </c>
      <c r="B23" s="95" t="s">
        <v>166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2:12" s="26" customFormat="1" ht="12.75">
      <c r="B24" s="95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2:12" s="26" customFormat="1" ht="25.5">
      <c r="B25" s="25" t="s">
        <v>182</v>
      </c>
      <c r="C25" s="74" t="s">
        <v>154</v>
      </c>
      <c r="D25" s="25"/>
      <c r="E25" s="25"/>
      <c r="F25" s="25"/>
      <c r="G25" s="25"/>
      <c r="H25" s="25"/>
      <c r="I25" s="25"/>
      <c r="J25" s="25"/>
      <c r="K25" s="25"/>
      <c r="L25" s="25"/>
    </row>
    <row r="26" spans="2:12" s="26" customFormat="1" ht="12.75">
      <c r="B26" s="25" t="s">
        <v>194</v>
      </c>
      <c r="C26" s="25" t="s">
        <v>157</v>
      </c>
      <c r="D26" s="25"/>
      <c r="E26" s="25"/>
      <c r="F26" s="25"/>
      <c r="G26" s="25"/>
      <c r="H26" s="25"/>
      <c r="I26" s="25"/>
      <c r="J26" s="25"/>
      <c r="K26" s="25"/>
      <c r="L26" s="25"/>
    </row>
    <row r="27" spans="2:12" s="26" customFormat="1" ht="12.75">
      <c r="B27" s="25" t="s">
        <v>184</v>
      </c>
      <c r="C27" s="25" t="s">
        <v>133</v>
      </c>
      <c r="D27" s="25"/>
      <c r="E27" s="25"/>
      <c r="F27" s="25"/>
      <c r="G27" s="25"/>
      <c r="H27" s="25"/>
      <c r="I27" s="25"/>
      <c r="J27" s="25"/>
      <c r="K27" s="25"/>
      <c r="L27" s="25"/>
    </row>
    <row r="28" spans="2:12" s="26" customFormat="1" ht="12.75">
      <c r="B28" s="25" t="s">
        <v>195</v>
      </c>
      <c r="C28" s="97" t="s">
        <v>168</v>
      </c>
      <c r="E28" s="25"/>
      <c r="F28" s="25"/>
      <c r="G28" s="25"/>
      <c r="H28" s="25"/>
      <c r="I28" s="25"/>
      <c r="J28" s="25"/>
      <c r="K28" s="25"/>
      <c r="L28" s="25"/>
    </row>
    <row r="29" spans="2:12" s="26" customFormat="1" ht="12.75">
      <c r="B29" s="25" t="s">
        <v>223</v>
      </c>
      <c r="C29" s="118">
        <v>36647</v>
      </c>
      <c r="E29" s="25"/>
      <c r="F29" s="25"/>
      <c r="G29" s="25"/>
      <c r="H29" s="25"/>
      <c r="I29" s="25"/>
      <c r="J29" s="25"/>
      <c r="K29" s="25"/>
      <c r="L29" s="25"/>
    </row>
    <row r="30" spans="2:12" s="26" customFormat="1" ht="12.75">
      <c r="B30" s="25" t="s">
        <v>196</v>
      </c>
      <c r="C30" s="25" t="s">
        <v>155</v>
      </c>
      <c r="E30" s="25"/>
      <c r="F30" s="25"/>
      <c r="G30" s="25"/>
      <c r="H30" s="25"/>
      <c r="I30" s="25"/>
      <c r="J30" s="25"/>
      <c r="K30" s="25"/>
      <c r="L30" s="25"/>
    </row>
    <row r="31" spans="2:12" s="26" customFormat="1" ht="12.75">
      <c r="B31" s="25" t="s">
        <v>197</v>
      </c>
      <c r="C31" s="97" t="s">
        <v>156</v>
      </c>
      <c r="E31" s="25"/>
      <c r="F31" s="25"/>
      <c r="G31" s="25"/>
      <c r="H31" s="25"/>
      <c r="I31" s="25"/>
      <c r="J31" s="25"/>
      <c r="K31" s="25"/>
      <c r="L31" s="25"/>
    </row>
    <row r="33" ht="12.75">
      <c r="B33" s="95" t="s">
        <v>181</v>
      </c>
    </row>
    <row r="34" ht="12.75">
      <c r="B34" s="95"/>
    </row>
    <row r="35" spans="2:3" ht="25.5">
      <c r="B35" s="89" t="s">
        <v>182</v>
      </c>
      <c r="C35" s="96" t="s">
        <v>209</v>
      </c>
    </row>
    <row r="36" spans="2:3" ht="12.75">
      <c r="B36" s="89" t="s">
        <v>183</v>
      </c>
      <c r="C36" s="96" t="s">
        <v>207</v>
      </c>
    </row>
    <row r="37" spans="2:3" ht="12.75">
      <c r="B37" s="89" t="s">
        <v>184</v>
      </c>
      <c r="C37" s="96" t="s">
        <v>207</v>
      </c>
    </row>
    <row r="38" spans="1:3" s="113" customFormat="1" ht="12.75">
      <c r="A38" s="113" t="s">
        <v>181</v>
      </c>
      <c r="B38" s="89" t="s">
        <v>185</v>
      </c>
      <c r="C38" s="96" t="s">
        <v>208</v>
      </c>
    </row>
    <row r="39" spans="2:3" ht="12.75">
      <c r="B39" s="25" t="s">
        <v>195</v>
      </c>
      <c r="C39" s="119">
        <v>33773</v>
      </c>
    </row>
    <row r="40" spans="2:3" ht="12.75">
      <c r="B40" s="25" t="s">
        <v>223</v>
      </c>
      <c r="C40" s="120">
        <v>33756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08"/>
  <sheetViews>
    <sheetView tabSelected="1" workbookViewId="0" topLeftCell="B42">
      <selection activeCell="O67" sqref="O67"/>
    </sheetView>
  </sheetViews>
  <sheetFormatPr defaultColWidth="9.140625" defaultRowHeight="12.75"/>
  <cols>
    <col min="1" max="1" width="2.7109375" style="13" hidden="1" customWidth="1"/>
    <col min="2" max="2" width="19.8515625" style="13" customWidth="1"/>
    <col min="3" max="3" width="7.57421875" style="13" customWidth="1"/>
    <col min="4" max="4" width="8.7109375" style="4" customWidth="1"/>
    <col min="5" max="5" width="5.8515625" style="4" customWidth="1"/>
    <col min="6" max="6" width="3.421875" style="4" customWidth="1"/>
    <col min="7" max="7" width="10.28125" style="13" customWidth="1"/>
    <col min="8" max="8" width="4.00390625" style="13" customWidth="1"/>
    <col min="9" max="9" width="10.140625" style="14" customWidth="1"/>
    <col min="10" max="10" width="2.57421875" style="13" customWidth="1"/>
    <col min="11" max="11" width="10.421875" style="13" customWidth="1"/>
    <col min="12" max="12" width="3.8515625" style="13" customWidth="1"/>
    <col min="13" max="13" width="10.57421875" style="13" customWidth="1"/>
    <col min="14" max="14" width="2.140625" style="13" customWidth="1"/>
    <col min="15" max="15" width="8.8515625" style="13" customWidth="1"/>
    <col min="16" max="16" width="2.140625" style="13" customWidth="1"/>
    <col min="17" max="16384" width="8.8515625" style="13" customWidth="1"/>
  </cols>
  <sheetData>
    <row r="1" spans="2:5" ht="12.75">
      <c r="B1" s="12" t="s">
        <v>198</v>
      </c>
      <c r="C1" s="12"/>
      <c r="E1" s="28"/>
    </row>
    <row r="2" spans="2:5" ht="12.75">
      <c r="B2" s="12"/>
      <c r="C2" s="12"/>
      <c r="E2" s="28"/>
    </row>
    <row r="3" spans="7:13" ht="12.75">
      <c r="G3" s="4"/>
      <c r="H3" s="4"/>
      <c r="I3" s="18"/>
      <c r="J3" s="18"/>
      <c r="K3" s="19"/>
      <c r="L3" s="18"/>
      <c r="M3" s="18"/>
    </row>
    <row r="4" spans="1:13" ht="12.75">
      <c r="A4" s="15">
        <v>10</v>
      </c>
      <c r="B4" s="12" t="s">
        <v>164</v>
      </c>
      <c r="C4" s="13" t="s">
        <v>179</v>
      </c>
      <c r="G4" s="15" t="s">
        <v>171</v>
      </c>
      <c r="H4" s="15"/>
      <c r="I4" s="15" t="s">
        <v>172</v>
      </c>
      <c r="J4" s="15"/>
      <c r="K4" s="15" t="s">
        <v>173</v>
      </c>
      <c r="M4" s="15" t="s">
        <v>170</v>
      </c>
    </row>
    <row r="5" spans="4:9" ht="12.75">
      <c r="D5" s="16"/>
      <c r="E5" s="13"/>
      <c r="F5" s="13"/>
      <c r="I5" s="13"/>
    </row>
    <row r="6" spans="2:13" ht="12.75">
      <c r="B6" s="4" t="s">
        <v>13</v>
      </c>
      <c r="C6" s="4" t="s">
        <v>220</v>
      </c>
      <c r="D6" s="4" t="s">
        <v>14</v>
      </c>
      <c r="E6" s="15" t="s">
        <v>15</v>
      </c>
      <c r="G6" s="46">
        <v>0.00148</v>
      </c>
      <c r="H6" s="46"/>
      <c r="I6" s="46">
        <v>0.00107</v>
      </c>
      <c r="J6" s="46"/>
      <c r="K6" s="46">
        <v>0.00112</v>
      </c>
      <c r="M6" s="100">
        <f aca="true" t="shared" si="0" ref="M6:M11">AVERAGE(G6,I6,K6)</f>
        <v>0.0012233333333333334</v>
      </c>
    </row>
    <row r="7" spans="2:13" ht="12.75">
      <c r="B7" s="4" t="s">
        <v>60</v>
      </c>
      <c r="C7" s="4" t="s">
        <v>220</v>
      </c>
      <c r="D7" s="4" t="s">
        <v>16</v>
      </c>
      <c r="E7" s="15" t="s">
        <v>15</v>
      </c>
      <c r="G7" s="23">
        <v>18.4</v>
      </c>
      <c r="H7" s="23"/>
      <c r="I7" s="23">
        <v>19.8</v>
      </c>
      <c r="J7" s="23"/>
      <c r="K7" s="23">
        <v>65.3</v>
      </c>
      <c r="L7" s="17"/>
      <c r="M7" s="17">
        <f t="shared" si="0"/>
        <v>34.5</v>
      </c>
    </row>
    <row r="8" spans="2:13" ht="12.75">
      <c r="B8" s="4" t="s">
        <v>135</v>
      </c>
      <c r="C8" s="4" t="s">
        <v>220</v>
      </c>
      <c r="D8" s="4" t="s">
        <v>16</v>
      </c>
      <c r="E8" s="15" t="s">
        <v>15</v>
      </c>
      <c r="G8" s="23">
        <v>31.7</v>
      </c>
      <c r="H8" s="23"/>
      <c r="I8" s="23">
        <v>60.5</v>
      </c>
      <c r="J8" s="23"/>
      <c r="K8" s="23">
        <v>75.4</v>
      </c>
      <c r="L8" s="17"/>
      <c r="M8" s="17">
        <f t="shared" si="0"/>
        <v>55.866666666666674</v>
      </c>
    </row>
    <row r="9" spans="2:15" ht="12.75">
      <c r="B9" s="4" t="s">
        <v>25</v>
      </c>
      <c r="C9" s="4" t="s">
        <v>220</v>
      </c>
      <c r="D9" s="4" t="s">
        <v>16</v>
      </c>
      <c r="E9" s="15" t="s">
        <v>15</v>
      </c>
      <c r="G9" s="85">
        <v>1421</v>
      </c>
      <c r="H9" s="85"/>
      <c r="I9" s="85">
        <v>1423</v>
      </c>
      <c r="J9" s="85"/>
      <c r="K9" s="85">
        <v>816</v>
      </c>
      <c r="M9" s="20">
        <f t="shared" si="0"/>
        <v>1220</v>
      </c>
      <c r="O9" s="34"/>
    </row>
    <row r="10" spans="2:15" ht="12.75">
      <c r="B10" s="4" t="s">
        <v>26</v>
      </c>
      <c r="C10" s="4" t="s">
        <v>220</v>
      </c>
      <c r="D10" s="4" t="s">
        <v>16</v>
      </c>
      <c r="E10" s="15" t="s">
        <v>15</v>
      </c>
      <c r="G10" s="50">
        <v>0.459</v>
      </c>
      <c r="H10" s="50"/>
      <c r="I10" s="50">
        <v>0.625</v>
      </c>
      <c r="J10" s="50"/>
      <c r="K10" s="50">
        <v>43.3</v>
      </c>
      <c r="M10" s="20">
        <f t="shared" si="0"/>
        <v>14.794666666666666</v>
      </c>
      <c r="O10" s="34"/>
    </row>
    <row r="11" spans="2:13" ht="12.75">
      <c r="B11" s="4" t="s">
        <v>55</v>
      </c>
      <c r="C11" s="4" t="s">
        <v>220</v>
      </c>
      <c r="D11" s="4" t="s">
        <v>16</v>
      </c>
      <c r="E11" s="15" t="s">
        <v>15</v>
      </c>
      <c r="G11" s="7">
        <f>G9+2*G10</f>
        <v>1421.918</v>
      </c>
      <c r="H11" s="7"/>
      <c r="I11" s="7">
        <f>I9+2*I10</f>
        <v>1424.25</v>
      </c>
      <c r="J11" s="7"/>
      <c r="K11" s="7">
        <f>K9+2*K10</f>
        <v>902.6</v>
      </c>
      <c r="L11" s="6"/>
      <c r="M11" s="20">
        <f t="shared" si="0"/>
        <v>1249.5893333333331</v>
      </c>
    </row>
    <row r="12" spans="4:9" ht="12.75">
      <c r="D12" s="13"/>
      <c r="E12" s="13"/>
      <c r="F12" s="13"/>
      <c r="I12" s="13"/>
    </row>
    <row r="13" spans="4:9" ht="12.75">
      <c r="D13" s="13"/>
      <c r="E13" s="13"/>
      <c r="F13" s="13"/>
      <c r="I13" s="13"/>
    </row>
    <row r="14" spans="2:13" ht="12.75">
      <c r="B14" s="4" t="s">
        <v>108</v>
      </c>
      <c r="D14" s="4" t="s">
        <v>28</v>
      </c>
      <c r="E14" s="13"/>
      <c r="F14" s="13"/>
      <c r="G14" s="61">
        <v>0.000554</v>
      </c>
      <c r="H14" s="61"/>
      <c r="I14" s="61">
        <v>0.000194</v>
      </c>
      <c r="K14" s="61">
        <v>5.49E-05</v>
      </c>
      <c r="M14" s="61"/>
    </row>
    <row r="15" spans="2:13" ht="12.75">
      <c r="B15" s="4" t="s">
        <v>107</v>
      </c>
      <c r="D15" s="4" t="s">
        <v>28</v>
      </c>
      <c r="E15" s="13"/>
      <c r="F15" s="13"/>
      <c r="G15" s="61">
        <v>0.000116</v>
      </c>
      <c r="I15" s="61">
        <v>0.000115</v>
      </c>
      <c r="K15" s="61">
        <v>0.000247</v>
      </c>
      <c r="M15" s="61"/>
    </row>
    <row r="16" spans="2:13" ht="12.75">
      <c r="B16" s="4" t="s">
        <v>109</v>
      </c>
      <c r="D16" s="4" t="s">
        <v>28</v>
      </c>
      <c r="E16" s="13"/>
      <c r="F16" s="13"/>
      <c r="G16" s="61">
        <v>4.49E-05</v>
      </c>
      <c r="I16" s="61">
        <v>6.19E-05</v>
      </c>
      <c r="K16" s="61">
        <v>2.37E-05</v>
      </c>
      <c r="M16" s="61"/>
    </row>
    <row r="17" spans="2:13" ht="12.75">
      <c r="B17" s="4" t="s">
        <v>110</v>
      </c>
      <c r="D17" s="4" t="s">
        <v>28</v>
      </c>
      <c r="E17" s="13"/>
      <c r="F17" s="13" t="s">
        <v>106</v>
      </c>
      <c r="G17" s="61">
        <v>4.01E-06</v>
      </c>
      <c r="H17" s="13" t="s">
        <v>106</v>
      </c>
      <c r="I17" s="61">
        <v>3.95E-06</v>
      </c>
      <c r="J17" s="61" t="s">
        <v>106</v>
      </c>
      <c r="K17" s="61">
        <v>3.95E-06</v>
      </c>
      <c r="M17" s="61"/>
    </row>
    <row r="18" spans="2:13" ht="12.75">
      <c r="B18" s="4" t="s">
        <v>111</v>
      </c>
      <c r="D18" s="4" t="s">
        <v>28</v>
      </c>
      <c r="E18" s="13"/>
      <c r="F18" s="13"/>
      <c r="G18" s="61">
        <v>5.17E-05</v>
      </c>
      <c r="H18" s="13" t="s">
        <v>106</v>
      </c>
      <c r="I18" s="61">
        <v>1.58E-05</v>
      </c>
      <c r="K18" s="61">
        <v>5.13E-05</v>
      </c>
      <c r="M18" s="61"/>
    </row>
    <row r="19" spans="2:13" ht="12.75">
      <c r="B19" s="4" t="s">
        <v>112</v>
      </c>
      <c r="D19" s="4" t="s">
        <v>28</v>
      </c>
      <c r="E19" s="13"/>
      <c r="F19" s="13"/>
      <c r="G19" s="61">
        <v>0.000762</v>
      </c>
      <c r="I19" s="61">
        <v>0.000285</v>
      </c>
      <c r="K19" s="61">
        <v>0.00045</v>
      </c>
      <c r="M19" s="61"/>
    </row>
    <row r="20" spans="2:13" ht="12.75">
      <c r="B20" s="92" t="s">
        <v>189</v>
      </c>
      <c r="D20" s="4" t="s">
        <v>28</v>
      </c>
      <c r="E20" s="13"/>
      <c r="F20" s="13" t="s">
        <v>106</v>
      </c>
      <c r="G20" s="61">
        <v>6.37E-05</v>
      </c>
      <c r="H20" s="13" t="s">
        <v>106</v>
      </c>
      <c r="I20" s="61">
        <v>5.67E-05</v>
      </c>
      <c r="J20" s="13" t="s">
        <v>106</v>
      </c>
      <c r="K20" s="61">
        <v>5.13E-05</v>
      </c>
      <c r="M20" s="61"/>
    </row>
    <row r="21" spans="2:13" ht="12.75">
      <c r="B21" s="4" t="s">
        <v>136</v>
      </c>
      <c r="D21" s="4" t="s">
        <v>28</v>
      </c>
      <c r="E21" s="13"/>
      <c r="F21" s="13"/>
      <c r="G21" s="61">
        <v>4.73E-05</v>
      </c>
      <c r="H21" s="13" t="s">
        <v>106</v>
      </c>
      <c r="I21" s="61">
        <v>3.95E-05</v>
      </c>
      <c r="K21" s="61">
        <v>0.000142</v>
      </c>
      <c r="M21" s="61"/>
    </row>
    <row r="22" spans="2:13" ht="12.75">
      <c r="B22" s="4" t="s">
        <v>113</v>
      </c>
      <c r="D22" s="4" t="s">
        <v>28</v>
      </c>
      <c r="E22" s="13"/>
      <c r="F22" s="13"/>
      <c r="G22" s="61">
        <v>0.000217</v>
      </c>
      <c r="I22" s="61">
        <v>2.83E-05</v>
      </c>
      <c r="K22" s="61">
        <v>0.000301</v>
      </c>
      <c r="M22" s="61"/>
    </row>
    <row r="23" spans="2:13" ht="12.75">
      <c r="B23" s="4" t="s">
        <v>114</v>
      </c>
      <c r="D23" s="4" t="s">
        <v>28</v>
      </c>
      <c r="E23" s="13"/>
      <c r="F23" s="13"/>
      <c r="G23" s="61">
        <v>0.000206</v>
      </c>
      <c r="I23" s="61">
        <v>4.03E-05</v>
      </c>
      <c r="K23" s="61">
        <v>8.29E-05</v>
      </c>
      <c r="M23" s="61"/>
    </row>
    <row r="24" spans="2:13" ht="12.75">
      <c r="B24" s="4" t="s">
        <v>137</v>
      </c>
      <c r="D24" s="4" t="s">
        <v>28</v>
      </c>
      <c r="E24" s="13"/>
      <c r="F24" s="13"/>
      <c r="G24" s="61">
        <v>0.000983</v>
      </c>
      <c r="I24" s="61">
        <v>0.000275</v>
      </c>
      <c r="K24" s="61">
        <v>0.00113</v>
      </c>
      <c r="M24" s="61"/>
    </row>
    <row r="25" spans="2:13" ht="12.75">
      <c r="B25" s="4" t="s">
        <v>115</v>
      </c>
      <c r="D25" s="4" t="s">
        <v>28</v>
      </c>
      <c r="E25" s="13"/>
      <c r="F25" s="13" t="s">
        <v>106</v>
      </c>
      <c r="G25" s="61">
        <v>0.000102</v>
      </c>
      <c r="I25" s="61">
        <v>0.000167</v>
      </c>
      <c r="J25" s="13" t="s">
        <v>106</v>
      </c>
      <c r="K25" s="61">
        <v>0.000101</v>
      </c>
      <c r="M25" s="61"/>
    </row>
    <row r="26" spans="2:13" ht="12.75">
      <c r="B26" s="4" t="s">
        <v>116</v>
      </c>
      <c r="D26" s="4" t="s">
        <v>28</v>
      </c>
      <c r="E26" s="13"/>
      <c r="F26" s="13"/>
      <c r="G26" s="61">
        <v>0.00313</v>
      </c>
      <c r="I26" s="61">
        <v>0.000299</v>
      </c>
      <c r="K26" s="61">
        <v>0.00871</v>
      </c>
      <c r="M26" s="61"/>
    </row>
    <row r="27" spans="2:13" ht="12.75">
      <c r="B27" s="4" t="s">
        <v>117</v>
      </c>
      <c r="D27" s="4" t="s">
        <v>28</v>
      </c>
      <c r="E27" s="13"/>
      <c r="F27" s="13"/>
      <c r="G27" s="61">
        <v>0.000505</v>
      </c>
      <c r="I27" s="61">
        <v>0.000324</v>
      </c>
      <c r="K27" s="61">
        <v>0.000211</v>
      </c>
      <c r="M27" s="61"/>
    </row>
    <row r="28" spans="2:13" ht="12.75">
      <c r="B28" s="4" t="s">
        <v>118</v>
      </c>
      <c r="D28" s="4" t="s">
        <v>28</v>
      </c>
      <c r="E28" s="13"/>
      <c r="F28" s="13"/>
      <c r="G28" s="61">
        <v>2.4E-05</v>
      </c>
      <c r="H28" s="13" t="s">
        <v>106</v>
      </c>
      <c r="I28" s="61">
        <v>1.58E-05</v>
      </c>
      <c r="K28" s="61">
        <v>1.89E-05</v>
      </c>
      <c r="M28" s="61"/>
    </row>
    <row r="29" spans="2:13" ht="12.75">
      <c r="B29" s="4" t="s">
        <v>119</v>
      </c>
      <c r="D29" s="4" t="s">
        <v>28</v>
      </c>
      <c r="E29" s="13"/>
      <c r="F29" s="13" t="s">
        <v>106</v>
      </c>
      <c r="G29" s="61">
        <v>4.01E-05</v>
      </c>
      <c r="H29" s="13" t="s">
        <v>106</v>
      </c>
      <c r="I29" s="61">
        <v>3.95E-05</v>
      </c>
      <c r="J29" s="13" t="s">
        <v>106</v>
      </c>
      <c r="K29" s="61">
        <v>3.95E-05</v>
      </c>
      <c r="M29" s="61"/>
    </row>
    <row r="30" spans="2:13" ht="12.75">
      <c r="B30" s="4" t="s">
        <v>120</v>
      </c>
      <c r="D30" s="4" t="s">
        <v>28</v>
      </c>
      <c r="E30" s="13"/>
      <c r="F30" s="13"/>
      <c r="G30" s="61">
        <v>0.00143</v>
      </c>
      <c r="I30" s="61">
        <v>0.00014</v>
      </c>
      <c r="K30" s="61">
        <v>0.000653</v>
      </c>
      <c r="M30" s="61"/>
    </row>
    <row r="31" spans="2:13" ht="12.75">
      <c r="B31" s="4"/>
      <c r="C31" s="4"/>
      <c r="G31" s="18"/>
      <c r="H31" s="18"/>
      <c r="I31" s="19"/>
      <c r="J31" s="18"/>
      <c r="K31" s="18"/>
      <c r="L31" s="15"/>
      <c r="M31" s="20"/>
    </row>
    <row r="32" spans="2:13" ht="12.75">
      <c r="B32" s="4" t="s">
        <v>56</v>
      </c>
      <c r="C32" s="4" t="s">
        <v>52</v>
      </c>
      <c r="D32" s="4" t="s">
        <v>220</v>
      </c>
      <c r="L32" s="15"/>
      <c r="M32" s="63"/>
    </row>
    <row r="33" spans="2:13" ht="12.75">
      <c r="B33" s="4" t="s">
        <v>51</v>
      </c>
      <c r="C33" s="4"/>
      <c r="D33" s="4" t="s">
        <v>17</v>
      </c>
      <c r="G33" s="18">
        <v>25002</v>
      </c>
      <c r="H33" s="18"/>
      <c r="I33" s="18">
        <v>25700</v>
      </c>
      <c r="J33" s="7"/>
      <c r="K33" s="18">
        <v>26989</v>
      </c>
      <c r="M33" s="20">
        <f>AVERAGE(G33,I33,K33)</f>
        <v>25897</v>
      </c>
    </row>
    <row r="34" spans="2:13" ht="12.75">
      <c r="B34" s="4" t="s">
        <v>53</v>
      </c>
      <c r="C34" s="4"/>
      <c r="D34" s="4" t="s">
        <v>18</v>
      </c>
      <c r="G34" s="23">
        <v>15.7</v>
      </c>
      <c r="H34" s="18"/>
      <c r="I34" s="23">
        <v>15.9</v>
      </c>
      <c r="J34" s="18"/>
      <c r="K34" s="23">
        <v>15.3</v>
      </c>
      <c r="M34" s="17">
        <f>AVERAGE(G34,I34,K34)</f>
        <v>15.633333333333335</v>
      </c>
    </row>
    <row r="35" spans="2:13" ht="12.75">
      <c r="B35" s="4" t="s">
        <v>54</v>
      </c>
      <c r="C35" s="4"/>
      <c r="D35" s="4" t="s">
        <v>18</v>
      </c>
      <c r="G35" s="23">
        <v>15.3</v>
      </c>
      <c r="H35" s="18"/>
      <c r="I35" s="23">
        <v>15.4</v>
      </c>
      <c r="J35" s="18"/>
      <c r="K35" s="23">
        <v>16.4</v>
      </c>
      <c r="M35" s="17">
        <f>AVERAGE(G35,I35,K35)</f>
        <v>15.700000000000001</v>
      </c>
    </row>
    <row r="36" spans="2:13" ht="12.75">
      <c r="B36" s="4" t="s">
        <v>50</v>
      </c>
      <c r="C36" s="4"/>
      <c r="D36" s="4" t="s">
        <v>19</v>
      </c>
      <c r="G36" s="85">
        <v>271</v>
      </c>
      <c r="H36" s="7"/>
      <c r="I36" s="85">
        <v>274</v>
      </c>
      <c r="J36" s="7"/>
      <c r="K36" s="85">
        <v>277</v>
      </c>
      <c r="M36" s="20">
        <f>AVERAGE(G36,I36,K36)</f>
        <v>274</v>
      </c>
    </row>
    <row r="37" spans="2:13" ht="12.75">
      <c r="B37" s="4"/>
      <c r="C37" s="4"/>
      <c r="G37" s="18"/>
      <c r="H37" s="18"/>
      <c r="I37" s="19"/>
      <c r="J37" s="18"/>
      <c r="K37" s="18"/>
      <c r="M37" s="63"/>
    </row>
    <row r="38" spans="2:13" ht="12.75">
      <c r="B38" s="4" t="s">
        <v>56</v>
      </c>
      <c r="C38" s="4" t="s">
        <v>122</v>
      </c>
      <c r="D38" s="4" t="s">
        <v>221</v>
      </c>
      <c r="G38" s="18"/>
      <c r="H38" s="18"/>
      <c r="I38" s="19"/>
      <c r="J38" s="18"/>
      <c r="K38" s="18"/>
      <c r="M38" s="63"/>
    </row>
    <row r="39" spans="2:13" ht="12.75">
      <c r="B39" s="4" t="s">
        <v>51</v>
      </c>
      <c r="C39" s="4"/>
      <c r="D39" s="4" t="s">
        <v>17</v>
      </c>
      <c r="G39" s="18">
        <v>24685</v>
      </c>
      <c r="H39" s="18"/>
      <c r="I39" s="19">
        <v>25746</v>
      </c>
      <c r="J39" s="18"/>
      <c r="K39" s="18">
        <v>26011</v>
      </c>
      <c r="M39" s="63"/>
    </row>
    <row r="40" spans="2:13" ht="12.75">
      <c r="B40" s="4" t="s">
        <v>53</v>
      </c>
      <c r="C40" s="4"/>
      <c r="D40" s="4" t="s">
        <v>18</v>
      </c>
      <c r="G40" s="18">
        <v>15.7</v>
      </c>
      <c r="H40" s="18"/>
      <c r="I40" s="19">
        <v>15.9</v>
      </c>
      <c r="J40" s="18"/>
      <c r="K40" s="18">
        <v>15.3</v>
      </c>
      <c r="M40" s="63"/>
    </row>
    <row r="41" spans="2:13" ht="12.75">
      <c r="B41" s="4" t="s">
        <v>54</v>
      </c>
      <c r="C41" s="4"/>
      <c r="D41" s="4" t="s">
        <v>18</v>
      </c>
      <c r="G41" s="18">
        <v>15.6</v>
      </c>
      <c r="H41" s="18"/>
      <c r="I41" s="19">
        <v>16</v>
      </c>
      <c r="J41" s="18"/>
      <c r="K41" s="18">
        <v>16.4</v>
      </c>
      <c r="M41" s="63"/>
    </row>
    <row r="42" spans="2:13" ht="12.75">
      <c r="B42" s="4" t="s">
        <v>50</v>
      </c>
      <c r="C42" s="4"/>
      <c r="D42" s="4" t="s">
        <v>19</v>
      </c>
      <c r="G42" s="18">
        <v>266</v>
      </c>
      <c r="H42" s="18"/>
      <c r="I42" s="19">
        <v>269</v>
      </c>
      <c r="J42" s="18"/>
      <c r="K42" s="18">
        <v>271</v>
      </c>
      <c r="M42" s="63"/>
    </row>
    <row r="43" spans="2:13" ht="12.75">
      <c r="B43" s="4"/>
      <c r="C43" s="4"/>
      <c r="G43" s="18"/>
      <c r="H43" s="18"/>
      <c r="I43" s="19"/>
      <c r="J43" s="18"/>
      <c r="K43" s="18"/>
      <c r="M43" s="63"/>
    </row>
    <row r="44" spans="2:13" ht="12.75">
      <c r="B44" s="4"/>
      <c r="C44" s="4"/>
      <c r="E44" s="15"/>
      <c r="G44" s="5"/>
      <c r="H44" s="6"/>
      <c r="I44" s="5"/>
      <c r="J44" s="6"/>
      <c r="K44" s="5"/>
      <c r="L44" s="6"/>
      <c r="M44" s="20"/>
    </row>
    <row r="45" spans="2:13" ht="12.75">
      <c r="B45" s="4" t="s">
        <v>108</v>
      </c>
      <c r="C45" s="4" t="s">
        <v>221</v>
      </c>
      <c r="D45" s="4" t="s">
        <v>34</v>
      </c>
      <c r="E45" s="15" t="s">
        <v>15</v>
      </c>
      <c r="F45" s="13"/>
      <c r="G45" s="5">
        <f>G14*1/60*454*1000000/(G$39*0.0283)*(21-7)/(21-G$40)</f>
        <v>15.850645978968757</v>
      </c>
      <c r="H45" s="61"/>
      <c r="I45" s="5">
        <f>I14*1/60*454*1000000/(I$39*0.0283)*(21-7)/(21-I$40)</f>
        <v>5.530545779017962</v>
      </c>
      <c r="K45" s="5">
        <f>K14*1/60*454*1000000/(K$39*0.0283)*(21-7)/(21-K$40)</f>
        <v>1.3860747188066467</v>
      </c>
      <c r="L45" s="6"/>
      <c r="M45" s="63">
        <f aca="true" t="shared" si="1" ref="M45:M55">AVERAGE(G45,I45,K45)</f>
        <v>7.589088825597789</v>
      </c>
    </row>
    <row r="46" spans="2:13" ht="12.75">
      <c r="B46" s="4" t="s">
        <v>107</v>
      </c>
      <c r="C46" s="4" t="s">
        <v>221</v>
      </c>
      <c r="D46" s="4" t="s">
        <v>34</v>
      </c>
      <c r="E46" s="15" t="s">
        <v>15</v>
      </c>
      <c r="F46" s="13"/>
      <c r="G46" s="5">
        <f aca="true" t="shared" si="2" ref="G46:G61">G15*1/60*454*1000000/(G$39*0.0283)*(21-7)/(21-G$40)</f>
        <v>3.3189078223111474</v>
      </c>
      <c r="I46" s="5">
        <f aca="true" t="shared" si="3" ref="I46:I61">I15*1/60*454*1000000/(I$39*0.0283)*(21-7)/(21-I$40)</f>
        <v>3.2784163123044627</v>
      </c>
      <c r="K46" s="5">
        <f aca="true" t="shared" si="4" ref="K46:K61">K15*1/60*454*1000000/(K$39*0.0283)*(21-7)/(21-K$40)</f>
        <v>6.236073871498027</v>
      </c>
      <c r="L46" s="15"/>
      <c r="M46" s="63">
        <f t="shared" si="1"/>
        <v>4.2777993353712125</v>
      </c>
    </row>
    <row r="47" spans="1:13" ht="12.75">
      <c r="A47" s="15"/>
      <c r="B47" s="4" t="s">
        <v>109</v>
      </c>
      <c r="C47" s="4" t="s">
        <v>221</v>
      </c>
      <c r="D47" s="4" t="s">
        <v>34</v>
      </c>
      <c r="E47" s="15" t="s">
        <v>15</v>
      </c>
      <c r="F47" s="13"/>
      <c r="G47" s="5">
        <f t="shared" si="2"/>
        <v>1.284646217429056</v>
      </c>
      <c r="I47" s="5">
        <f t="shared" si="3"/>
        <v>1.764643215057793</v>
      </c>
      <c r="K47" s="5">
        <f t="shared" si="4"/>
        <v>0.5983601245121588</v>
      </c>
      <c r="L47" s="18"/>
      <c r="M47" s="63">
        <f t="shared" si="1"/>
        <v>1.215883185666336</v>
      </c>
    </row>
    <row r="48" spans="2:13" ht="12.75">
      <c r="B48" s="4" t="s">
        <v>110</v>
      </c>
      <c r="C48" s="4" t="s">
        <v>221</v>
      </c>
      <c r="D48" s="4" t="s">
        <v>34</v>
      </c>
      <c r="E48" s="15" t="s">
        <v>15</v>
      </c>
      <c r="F48" s="13" t="s">
        <v>106</v>
      </c>
      <c r="G48" s="5">
        <f t="shared" si="2"/>
        <v>0.11473121006437675</v>
      </c>
      <c r="H48" s="13" t="s">
        <v>106</v>
      </c>
      <c r="I48" s="5">
        <f t="shared" si="3"/>
        <v>0.11260647333567501</v>
      </c>
      <c r="J48" s="61" t="s">
        <v>106</v>
      </c>
      <c r="K48" s="5">
        <f t="shared" si="4"/>
        <v>0.09972668741869313</v>
      </c>
      <c r="L48" s="13">
        <v>100</v>
      </c>
      <c r="M48" s="63">
        <f t="shared" si="1"/>
        <v>0.10902145693958164</v>
      </c>
    </row>
    <row r="49" spans="2:13" ht="12.75">
      <c r="B49" s="4" t="s">
        <v>111</v>
      </c>
      <c r="C49" s="4" t="s">
        <v>221</v>
      </c>
      <c r="D49" s="4" t="s">
        <v>34</v>
      </c>
      <c r="E49" s="15" t="s">
        <v>15</v>
      </c>
      <c r="F49" s="13"/>
      <c r="G49" s="5">
        <f t="shared" si="2"/>
        <v>1.4792028828748822</v>
      </c>
      <c r="H49" s="13" t="s">
        <v>106</v>
      </c>
      <c r="I49" s="5">
        <f t="shared" si="3"/>
        <v>0.45042589334270006</v>
      </c>
      <c r="K49" s="5">
        <f t="shared" si="4"/>
        <v>1.2951845733111285</v>
      </c>
      <c r="M49" s="63">
        <f t="shared" si="1"/>
        <v>1.074937783176237</v>
      </c>
    </row>
    <row r="50" spans="2:13" ht="12.75">
      <c r="B50" s="4" t="s">
        <v>112</v>
      </c>
      <c r="C50" s="4" t="s">
        <v>221</v>
      </c>
      <c r="D50" s="4" t="s">
        <v>34</v>
      </c>
      <c r="E50" s="15" t="s">
        <v>15</v>
      </c>
      <c r="F50" s="13"/>
      <c r="G50" s="5">
        <f t="shared" si="2"/>
        <v>21.801791039664607</v>
      </c>
      <c r="I50" s="5">
        <f t="shared" si="3"/>
        <v>8.124770860928448</v>
      </c>
      <c r="K50" s="5">
        <f t="shared" si="4"/>
        <v>11.361268186939725</v>
      </c>
      <c r="M50" s="63">
        <f t="shared" si="1"/>
        <v>13.762610029177594</v>
      </c>
    </row>
    <row r="51" spans="2:13" ht="12.75">
      <c r="B51" s="92" t="s">
        <v>189</v>
      </c>
      <c r="C51" s="4" t="s">
        <v>221</v>
      </c>
      <c r="D51" s="4" t="s">
        <v>34</v>
      </c>
      <c r="E51" s="15" t="s">
        <v>15</v>
      </c>
      <c r="F51" s="13" t="s">
        <v>106</v>
      </c>
      <c r="G51" s="5">
        <f t="shared" si="2"/>
        <v>1.8225381748381044</v>
      </c>
      <c r="H51" s="13" t="s">
        <v>106</v>
      </c>
      <c r="I51" s="5">
        <f t="shared" si="3"/>
        <v>1.6164017818057654</v>
      </c>
      <c r="J51" s="13" t="s">
        <v>106</v>
      </c>
      <c r="K51" s="5">
        <f t="shared" si="4"/>
        <v>1.2951845733111285</v>
      </c>
      <c r="L51" s="20">
        <v>100</v>
      </c>
      <c r="M51" s="63">
        <f t="shared" si="1"/>
        <v>1.5780415099849996</v>
      </c>
    </row>
    <row r="52" spans="2:13" ht="12.75">
      <c r="B52" s="4" t="s">
        <v>136</v>
      </c>
      <c r="C52" s="4" t="s">
        <v>221</v>
      </c>
      <c r="D52" s="4" t="s">
        <v>34</v>
      </c>
      <c r="E52" s="15" t="s">
        <v>15</v>
      </c>
      <c r="F52" s="13"/>
      <c r="G52" s="5">
        <f t="shared" si="2"/>
        <v>1.3533132758217008</v>
      </c>
      <c r="H52" s="13" t="s">
        <v>106</v>
      </c>
      <c r="I52" s="5">
        <f t="shared" si="3"/>
        <v>1.12606473335675</v>
      </c>
      <c r="K52" s="5">
        <f t="shared" si="4"/>
        <v>3.5851112945454244</v>
      </c>
      <c r="L52" s="17"/>
      <c r="M52" s="63">
        <f t="shared" si="1"/>
        <v>2.0214964345746247</v>
      </c>
    </row>
    <row r="53" spans="2:13" ht="12.75">
      <c r="B53" s="4" t="s">
        <v>113</v>
      </c>
      <c r="C53" s="4" t="s">
        <v>221</v>
      </c>
      <c r="D53" s="4" t="s">
        <v>34</v>
      </c>
      <c r="E53" s="15" t="s">
        <v>15</v>
      </c>
      <c r="F53" s="13"/>
      <c r="G53" s="5">
        <f t="shared" si="2"/>
        <v>6.208646529668267</v>
      </c>
      <c r="I53" s="5">
        <f t="shared" si="3"/>
        <v>0.8067754925062287</v>
      </c>
      <c r="K53" s="5">
        <f t="shared" si="4"/>
        <v>7.599426053930794</v>
      </c>
      <c r="M53" s="63">
        <f t="shared" si="1"/>
        <v>4.8716160253684295</v>
      </c>
    </row>
    <row r="54" spans="2:13" ht="12.75">
      <c r="B54" s="4" t="s">
        <v>114</v>
      </c>
      <c r="C54" s="4" t="s">
        <v>221</v>
      </c>
      <c r="D54" s="4" t="s">
        <v>34</v>
      </c>
      <c r="E54" s="15" t="s">
        <v>15</v>
      </c>
      <c r="F54" s="13"/>
      <c r="G54" s="5">
        <f t="shared" si="2"/>
        <v>5.893922512035314</v>
      </c>
      <c r="I54" s="5">
        <f t="shared" si="3"/>
        <v>1.1488711077032159</v>
      </c>
      <c r="K54" s="5">
        <f t="shared" si="4"/>
        <v>2.0929980726606736</v>
      </c>
      <c r="M54" s="63">
        <f t="shared" si="1"/>
        <v>3.0452638974664006</v>
      </c>
    </row>
    <row r="55" spans="2:13" ht="12.75">
      <c r="B55" s="4" t="s">
        <v>137</v>
      </c>
      <c r="C55" s="4" t="s">
        <v>221</v>
      </c>
      <c r="D55" s="4" t="s">
        <v>34</v>
      </c>
      <c r="E55" s="15" t="s">
        <v>15</v>
      </c>
      <c r="F55" s="13"/>
      <c r="G55" s="5">
        <f t="shared" si="2"/>
        <v>28.124882666653946</v>
      </c>
      <c r="I55" s="5">
        <f t="shared" si="3"/>
        <v>7.839691181597628</v>
      </c>
      <c r="K55" s="5">
        <f t="shared" si="4"/>
        <v>28.529406780537524</v>
      </c>
      <c r="M55" s="63">
        <f t="shared" si="1"/>
        <v>21.497993542929702</v>
      </c>
    </row>
    <row r="56" spans="2:13" ht="12.75">
      <c r="B56" s="4" t="s">
        <v>115</v>
      </c>
      <c r="C56" s="4" t="s">
        <v>221</v>
      </c>
      <c r="D56" s="4" t="s">
        <v>34</v>
      </c>
      <c r="E56" s="15" t="s">
        <v>15</v>
      </c>
      <c r="F56" s="13" t="s">
        <v>106</v>
      </c>
      <c r="G56" s="5">
        <f t="shared" si="2"/>
        <v>2.9183499816873884</v>
      </c>
      <c r="I56" s="5">
        <f t="shared" si="3"/>
        <v>4.760830644824741</v>
      </c>
      <c r="J56" s="13" t="s">
        <v>106</v>
      </c>
      <c r="K56" s="5">
        <f t="shared" si="4"/>
        <v>2.549973526402027</v>
      </c>
      <c r="L56" s="13">
        <f>(G56+K56)/M56*100/3</f>
        <v>53.458217818836566</v>
      </c>
      <c r="M56" s="63">
        <f aca="true" t="shared" si="5" ref="M56:M63">AVERAGE(G56,I56,K56)</f>
        <v>3.409718050971385</v>
      </c>
    </row>
    <row r="57" spans="2:13" ht="12.75">
      <c r="B57" s="4" t="s">
        <v>116</v>
      </c>
      <c r="C57" s="4" t="s">
        <v>221</v>
      </c>
      <c r="D57" s="4" t="s">
        <v>34</v>
      </c>
      <c r="E57" s="15" t="s">
        <v>15</v>
      </c>
      <c r="F57" s="13"/>
      <c r="G57" s="5">
        <f t="shared" si="2"/>
        <v>89.55328865374044</v>
      </c>
      <c r="I57" s="5">
        <f t="shared" si="3"/>
        <v>8.523882411991602</v>
      </c>
      <c r="K57" s="5">
        <f t="shared" si="4"/>
        <v>219.9036575738778</v>
      </c>
      <c r="M57" s="63">
        <f t="shared" si="5"/>
        <v>105.99360954653662</v>
      </c>
    </row>
    <row r="58" spans="2:13" ht="12.75">
      <c r="B58" s="4" t="s">
        <v>117</v>
      </c>
      <c r="C58" s="4" t="s">
        <v>221</v>
      </c>
      <c r="D58" s="4" t="s">
        <v>34</v>
      </c>
      <c r="E58" s="15" t="s">
        <v>15</v>
      </c>
      <c r="F58" s="13"/>
      <c r="G58" s="5">
        <f t="shared" si="2"/>
        <v>14.4486935367856</v>
      </c>
      <c r="I58" s="5">
        <f t="shared" si="3"/>
        <v>9.236581610318659</v>
      </c>
      <c r="K58" s="5">
        <f t="shared" si="4"/>
        <v>5.327172416542849</v>
      </c>
      <c r="M58" s="63">
        <f t="shared" si="5"/>
        <v>9.670815854549035</v>
      </c>
    </row>
    <row r="59" spans="2:13" ht="12.75">
      <c r="B59" s="4" t="s">
        <v>118</v>
      </c>
      <c r="C59" s="4" t="s">
        <v>221</v>
      </c>
      <c r="D59" s="4" t="s">
        <v>34</v>
      </c>
      <c r="E59" s="15" t="s">
        <v>15</v>
      </c>
      <c r="F59" s="13"/>
      <c r="G59" s="5">
        <f t="shared" si="2"/>
        <v>0.6866705839264444</v>
      </c>
      <c r="H59" s="13" t="s">
        <v>106</v>
      </c>
      <c r="I59" s="5">
        <f t="shared" si="3"/>
        <v>0.45042589334270006</v>
      </c>
      <c r="K59" s="5">
        <f t="shared" si="4"/>
        <v>0.4771732638514684</v>
      </c>
      <c r="M59" s="63">
        <f t="shared" si="5"/>
        <v>0.538089913706871</v>
      </c>
    </row>
    <row r="60" spans="2:13" ht="12.75">
      <c r="B60" s="4" t="s">
        <v>119</v>
      </c>
      <c r="C60" s="4" t="s">
        <v>221</v>
      </c>
      <c r="D60" s="4" t="s">
        <v>34</v>
      </c>
      <c r="E60" s="15" t="s">
        <v>15</v>
      </c>
      <c r="F60" s="13" t="s">
        <v>106</v>
      </c>
      <c r="G60" s="5">
        <f t="shared" si="2"/>
        <v>1.1473121006437672</v>
      </c>
      <c r="H60" s="13" t="s">
        <v>106</v>
      </c>
      <c r="I60" s="5">
        <f t="shared" si="3"/>
        <v>1.12606473335675</v>
      </c>
      <c r="J60" s="13" t="s">
        <v>106</v>
      </c>
      <c r="K60" s="5">
        <f t="shared" si="4"/>
        <v>0.9972668741869314</v>
      </c>
      <c r="L60" s="13">
        <v>100</v>
      </c>
      <c r="M60" s="63">
        <f t="shared" si="5"/>
        <v>1.0902145693958163</v>
      </c>
    </row>
    <row r="61" spans="2:13" ht="12.75">
      <c r="B61" s="4" t="s">
        <v>120</v>
      </c>
      <c r="C61" s="4" t="s">
        <v>221</v>
      </c>
      <c r="D61" s="4" t="s">
        <v>34</v>
      </c>
      <c r="E61" s="15" t="s">
        <v>15</v>
      </c>
      <c r="F61" s="13"/>
      <c r="G61" s="5">
        <f t="shared" si="2"/>
        <v>40.914122292283984</v>
      </c>
      <c r="I61" s="5">
        <f t="shared" si="3"/>
        <v>3.991115510631519</v>
      </c>
      <c r="K61" s="5">
        <f t="shared" si="4"/>
        <v>16.486462502381425</v>
      </c>
      <c r="M61" s="63">
        <f t="shared" si="5"/>
        <v>20.463900101765642</v>
      </c>
    </row>
    <row r="62" spans="2:13" ht="12.75">
      <c r="B62" s="4" t="s">
        <v>36</v>
      </c>
      <c r="C62" s="4" t="s">
        <v>221</v>
      </c>
      <c r="D62" s="4" t="s">
        <v>34</v>
      </c>
      <c r="E62" s="15" t="s">
        <v>15</v>
      </c>
      <c r="F62" s="4">
        <f>G48/G62*100</f>
        <v>0.4546433713903471</v>
      </c>
      <c r="G62" s="17">
        <f>G46+G48+G50</f>
        <v>25.23543007204013</v>
      </c>
      <c r="H62" s="4">
        <f>I48/I62*100</f>
        <v>0.977843792548583</v>
      </c>
      <c r="I62" s="17">
        <f>I46+I48+I50</f>
        <v>11.515793646568586</v>
      </c>
      <c r="J62" s="4">
        <f>K48/K62*100</f>
        <v>0.5635209358727441</v>
      </c>
      <c r="K62" s="17">
        <f>K46+K48+K50</f>
        <v>17.697068745856445</v>
      </c>
      <c r="L62" s="4">
        <f>M48/M62*100</f>
        <v>0.6006880216348354</v>
      </c>
      <c r="M62" s="63">
        <f t="shared" si="5"/>
        <v>18.149430821488384</v>
      </c>
    </row>
    <row r="63" spans="2:13" ht="12.75">
      <c r="B63" s="4" t="s">
        <v>35</v>
      </c>
      <c r="C63" s="4" t="s">
        <v>221</v>
      </c>
      <c r="D63" s="4" t="s">
        <v>34</v>
      </c>
      <c r="E63" s="15" t="s">
        <v>15</v>
      </c>
      <c r="G63" s="17">
        <f>G49+G54</f>
        <v>7.373125394910196</v>
      </c>
      <c r="H63" s="20">
        <f>I49/I63*100</f>
        <v>28.16399286987522</v>
      </c>
      <c r="I63" s="17">
        <f>I49+I54</f>
        <v>1.599297001045916</v>
      </c>
      <c r="K63" s="17">
        <f>K49+K54</f>
        <v>3.388182645971802</v>
      </c>
      <c r="L63" s="13">
        <f>I63*H63/SUM(G63,I63,K63)</f>
        <v>3.644044056215924</v>
      </c>
      <c r="M63" s="63">
        <f t="shared" si="5"/>
        <v>4.120201680642638</v>
      </c>
    </row>
    <row r="64" spans="2:13" ht="12.75">
      <c r="B64" s="4"/>
      <c r="C64" s="4"/>
      <c r="G64" s="61"/>
      <c r="I64" s="61"/>
      <c r="K64" s="61"/>
      <c r="M64" s="102"/>
    </row>
    <row r="65" spans="1:13" ht="12.75">
      <c r="A65" s="15">
        <v>11</v>
      </c>
      <c r="B65" s="12" t="s">
        <v>165</v>
      </c>
      <c r="C65" s="13" t="s">
        <v>121</v>
      </c>
      <c r="G65" s="15" t="s">
        <v>171</v>
      </c>
      <c r="H65" s="15"/>
      <c r="I65" s="15" t="s">
        <v>172</v>
      </c>
      <c r="J65" s="15"/>
      <c r="K65" s="15" t="s">
        <v>173</v>
      </c>
      <c r="M65" s="15" t="s">
        <v>170</v>
      </c>
    </row>
    <row r="66" spans="3:13" ht="12.75">
      <c r="C66" s="101"/>
      <c r="D66" s="38"/>
      <c r="E66" s="62"/>
      <c r="F66" s="13"/>
      <c r="G66" s="15"/>
      <c r="H66" s="15"/>
      <c r="I66" s="15"/>
      <c r="J66" s="15"/>
      <c r="K66" s="15"/>
      <c r="M66" s="15"/>
    </row>
    <row r="67" spans="4:9" ht="12.75">
      <c r="D67" s="16"/>
      <c r="E67" s="13"/>
      <c r="F67" s="13"/>
      <c r="I67" s="13"/>
    </row>
    <row r="68" spans="2:13" ht="12.75">
      <c r="B68" s="4" t="s">
        <v>13</v>
      </c>
      <c r="C68" s="4" t="s">
        <v>220</v>
      </c>
      <c r="D68" s="4" t="s">
        <v>14</v>
      </c>
      <c r="E68" s="15" t="s">
        <v>15</v>
      </c>
      <c r="G68" s="46">
        <v>0.00172</v>
      </c>
      <c r="H68" s="46"/>
      <c r="I68" s="46">
        <v>0.00154</v>
      </c>
      <c r="J68" s="46"/>
      <c r="K68" s="46">
        <v>0.00177</v>
      </c>
      <c r="M68" s="100">
        <f>AVERAGE(G68,I68,K68)</f>
        <v>0.0016766666666666666</v>
      </c>
    </row>
    <row r="69" spans="2:13" ht="12.75">
      <c r="B69" s="4" t="s">
        <v>25</v>
      </c>
      <c r="C69" s="4" t="s">
        <v>220</v>
      </c>
      <c r="D69" s="4" t="s">
        <v>16</v>
      </c>
      <c r="E69" s="15" t="s">
        <v>15</v>
      </c>
      <c r="G69" s="85">
        <v>1623</v>
      </c>
      <c r="H69" s="85"/>
      <c r="I69" s="85">
        <v>1606</v>
      </c>
      <c r="J69" s="85"/>
      <c r="K69" s="85">
        <v>1497</v>
      </c>
      <c r="M69" s="20">
        <f>AVERAGE(G69,I69,K69)</f>
        <v>1575.3333333333333</v>
      </c>
    </row>
    <row r="70" spans="2:13" ht="12.75">
      <c r="B70" s="4" t="s">
        <v>26</v>
      </c>
      <c r="C70" s="4" t="s">
        <v>220</v>
      </c>
      <c r="D70" s="4" t="s">
        <v>16</v>
      </c>
      <c r="E70" s="15" t="s">
        <v>15</v>
      </c>
      <c r="G70" s="50">
        <v>2.52</v>
      </c>
      <c r="H70" s="50"/>
      <c r="I70" s="50">
        <v>0.719</v>
      </c>
      <c r="J70" s="50"/>
      <c r="K70" s="50">
        <v>3.45</v>
      </c>
      <c r="M70" s="63">
        <f>AVERAGE(G70,I70,K70)</f>
        <v>2.2296666666666667</v>
      </c>
    </row>
    <row r="71" spans="2:13" ht="12.75">
      <c r="B71" s="4" t="s">
        <v>55</v>
      </c>
      <c r="C71" s="4" t="s">
        <v>220</v>
      </c>
      <c r="D71" s="4" t="s">
        <v>16</v>
      </c>
      <c r="E71" s="15" t="s">
        <v>15</v>
      </c>
      <c r="G71" s="7">
        <f>G69+2*G70</f>
        <v>1628.04</v>
      </c>
      <c r="H71" s="7"/>
      <c r="I71" s="7">
        <f>I69+2*I70</f>
        <v>1607.438</v>
      </c>
      <c r="J71" s="7"/>
      <c r="K71" s="7">
        <f>K69+2*K70</f>
        <v>1503.9</v>
      </c>
      <c r="L71" s="6"/>
      <c r="M71" s="20">
        <f>AVERAGE(G71,I71,K71)</f>
        <v>1579.792666666667</v>
      </c>
    </row>
    <row r="72" spans="2:13" ht="12.75">
      <c r="B72" s="4"/>
      <c r="C72" s="4"/>
      <c r="G72" s="23"/>
      <c r="H72" s="18"/>
      <c r="I72" s="23"/>
      <c r="J72" s="18"/>
      <c r="K72" s="23"/>
      <c r="M72" s="17"/>
    </row>
    <row r="73" spans="2:13" ht="12.75">
      <c r="B73" s="4" t="s">
        <v>146</v>
      </c>
      <c r="C73" s="4" t="s">
        <v>149</v>
      </c>
      <c r="G73" s="23"/>
      <c r="H73" s="18"/>
      <c r="I73" s="23"/>
      <c r="J73" s="18"/>
      <c r="K73" s="23"/>
      <c r="M73" s="17"/>
    </row>
    <row r="74" spans="2:13" ht="12.75">
      <c r="B74" s="4" t="s">
        <v>147</v>
      </c>
      <c r="C74" s="4"/>
      <c r="D74" s="4" t="s">
        <v>28</v>
      </c>
      <c r="G74" s="18">
        <v>45.54</v>
      </c>
      <c r="H74" s="18"/>
      <c r="I74" s="18">
        <v>45.54</v>
      </c>
      <c r="J74" s="18"/>
      <c r="K74" s="18">
        <v>45.54</v>
      </c>
      <c r="L74" s="20"/>
      <c r="M74" s="63">
        <f>AVERAGE(G74,I74,K74)</f>
        <v>45.54</v>
      </c>
    </row>
    <row r="75" spans="2:13" ht="12.75">
      <c r="B75" s="4" t="s">
        <v>148</v>
      </c>
      <c r="C75" s="4" t="s">
        <v>221</v>
      </c>
      <c r="D75" s="4" t="s">
        <v>28</v>
      </c>
      <c r="G75" s="18">
        <v>0.000628</v>
      </c>
      <c r="H75" s="18"/>
      <c r="I75" s="19">
        <v>0.00076</v>
      </c>
      <c r="J75" s="18"/>
      <c r="K75" s="18">
        <v>0.000958</v>
      </c>
      <c r="M75" s="103">
        <f>AVERAGE(G75,I75,K75)</f>
        <v>0.000782</v>
      </c>
    </row>
    <row r="76" spans="2:13" ht="12.75">
      <c r="B76" s="4" t="s">
        <v>27</v>
      </c>
      <c r="C76" s="4" t="s">
        <v>221</v>
      </c>
      <c r="D76" s="4" t="s">
        <v>18</v>
      </c>
      <c r="G76" s="124">
        <f>(G74-G75)/G74*100</f>
        <v>99.99862099253404</v>
      </c>
      <c r="H76" s="124"/>
      <c r="I76" s="124">
        <f>(I74-I75)/I74*100</f>
        <v>99.99833113746158</v>
      </c>
      <c r="J76" s="124"/>
      <c r="K76" s="124">
        <f>(K74-K75)/K74*100</f>
        <v>99.99789635485288</v>
      </c>
      <c r="M76" s="63"/>
    </row>
    <row r="77" spans="2:13" ht="12.75">
      <c r="B77" s="4"/>
      <c r="C77" s="4"/>
      <c r="G77" s="18"/>
      <c r="H77" s="18"/>
      <c r="I77" s="18"/>
      <c r="J77" s="18"/>
      <c r="K77" s="18"/>
      <c r="M77" s="20"/>
    </row>
    <row r="78" spans="2:13" ht="12.75">
      <c r="B78" s="4" t="s">
        <v>146</v>
      </c>
      <c r="C78" s="4" t="s">
        <v>150</v>
      </c>
      <c r="G78" s="23"/>
      <c r="H78" s="18"/>
      <c r="I78" s="23"/>
      <c r="J78" s="18"/>
      <c r="K78" s="23"/>
      <c r="M78" s="17"/>
    </row>
    <row r="79" spans="2:13" ht="12.75">
      <c r="B79" s="4" t="s">
        <v>147</v>
      </c>
      <c r="C79" s="4"/>
      <c r="D79" s="4" t="s">
        <v>28</v>
      </c>
      <c r="G79" s="18">
        <v>45.59</v>
      </c>
      <c r="H79" s="18"/>
      <c r="I79" s="18">
        <v>45.59</v>
      </c>
      <c r="J79" s="18"/>
      <c r="K79" s="18">
        <v>45.59</v>
      </c>
      <c r="M79" s="63">
        <f>AVERAGE(G79,I79,K79)</f>
        <v>45.59</v>
      </c>
    </row>
    <row r="80" spans="2:13" ht="12.75">
      <c r="B80" s="4" t="s">
        <v>148</v>
      </c>
      <c r="C80" s="4" t="s">
        <v>221</v>
      </c>
      <c r="D80" s="4" t="s">
        <v>28</v>
      </c>
      <c r="G80" s="18">
        <v>0.0013</v>
      </c>
      <c r="H80" s="18"/>
      <c r="I80" s="19">
        <v>0.00155</v>
      </c>
      <c r="J80" s="18"/>
      <c r="K80" s="18">
        <v>0.00121</v>
      </c>
      <c r="M80" s="103">
        <f>AVERAGE(G80,I80,K80)</f>
        <v>0.0013533333333333333</v>
      </c>
    </row>
    <row r="81" spans="2:13" ht="12.75">
      <c r="B81" s="4" t="s">
        <v>27</v>
      </c>
      <c r="C81" s="4" t="s">
        <v>221</v>
      </c>
      <c r="D81" s="4" t="s">
        <v>18</v>
      </c>
      <c r="G81" s="124">
        <f>(G79-G80)/G79*100</f>
        <v>99.99714849747751</v>
      </c>
      <c r="H81" s="124"/>
      <c r="I81" s="124">
        <f>(I79-I80)/I79*100</f>
        <v>99.9966001316078</v>
      </c>
      <c r="J81" s="124"/>
      <c r="K81" s="124">
        <f>(K79-K80)/K79*100</f>
        <v>99.99734590919061</v>
      </c>
      <c r="L81" s="15"/>
      <c r="M81" s="20"/>
    </row>
    <row r="82" spans="2:13" ht="12.75">
      <c r="B82" s="4"/>
      <c r="C82" s="4"/>
      <c r="G82" s="18"/>
      <c r="H82" s="18"/>
      <c r="I82" s="19"/>
      <c r="J82" s="18"/>
      <c r="K82" s="18"/>
      <c r="M82" s="63"/>
    </row>
    <row r="83" spans="2:13" ht="12.75">
      <c r="B83" s="4" t="s">
        <v>56</v>
      </c>
      <c r="C83" s="4" t="s">
        <v>52</v>
      </c>
      <c r="D83" s="4" t="s">
        <v>220</v>
      </c>
      <c r="L83" s="15"/>
      <c r="M83" s="20"/>
    </row>
    <row r="84" spans="2:13" ht="12.75">
      <c r="B84" s="4" t="s">
        <v>51</v>
      </c>
      <c r="C84" s="4"/>
      <c r="D84" s="4" t="s">
        <v>17</v>
      </c>
      <c r="G84" s="18">
        <v>25358</v>
      </c>
      <c r="H84" s="18"/>
      <c r="I84" s="18">
        <v>25673</v>
      </c>
      <c r="J84" s="7"/>
      <c r="K84" s="18">
        <v>26765</v>
      </c>
      <c r="M84" s="20">
        <f>AVERAGE(G84,I84,K84)</f>
        <v>25932</v>
      </c>
    </row>
    <row r="85" spans="2:13" ht="12.75">
      <c r="B85" s="4" t="s">
        <v>53</v>
      </c>
      <c r="C85" s="4"/>
      <c r="D85" s="4" t="s">
        <v>18</v>
      </c>
      <c r="G85" s="23">
        <v>16</v>
      </c>
      <c r="H85" s="18"/>
      <c r="I85" s="23">
        <v>16</v>
      </c>
      <c r="J85" s="18"/>
      <c r="K85" s="23">
        <v>15.8</v>
      </c>
      <c r="M85" s="17">
        <f>AVERAGE(G85,I85,K85)</f>
        <v>15.933333333333332</v>
      </c>
    </row>
    <row r="86" spans="2:13" ht="12.75">
      <c r="B86" s="4" t="s">
        <v>54</v>
      </c>
      <c r="C86" s="4"/>
      <c r="D86" s="4" t="s">
        <v>18</v>
      </c>
      <c r="G86" s="23">
        <v>10.6</v>
      </c>
      <c r="H86" s="18"/>
      <c r="I86" s="23">
        <v>12.5</v>
      </c>
      <c r="J86" s="18"/>
      <c r="K86" s="23">
        <v>12.4</v>
      </c>
      <c r="M86" s="17">
        <f>AVERAGE(G86,I86,K86)</f>
        <v>11.833333333333334</v>
      </c>
    </row>
    <row r="87" spans="2:13" ht="12.75">
      <c r="B87" s="4" t="s">
        <v>50</v>
      </c>
      <c r="C87" s="4"/>
      <c r="D87" s="4" t="s">
        <v>19</v>
      </c>
      <c r="G87" s="85">
        <v>331</v>
      </c>
      <c r="H87" s="7"/>
      <c r="I87" s="85">
        <v>361</v>
      </c>
      <c r="J87" s="7"/>
      <c r="K87" s="85">
        <v>304</v>
      </c>
      <c r="M87" s="20">
        <f>AVERAGE(G87,I87,K87)</f>
        <v>332</v>
      </c>
    </row>
    <row r="88" spans="2:13" ht="12.75">
      <c r="B88" s="4"/>
      <c r="C88" s="4"/>
      <c r="G88" s="18"/>
      <c r="H88" s="18"/>
      <c r="I88" s="19"/>
      <c r="J88" s="18"/>
      <c r="K88" s="18"/>
      <c r="M88" s="17"/>
    </row>
    <row r="89" spans="2:11" ht="12.75">
      <c r="B89" s="4" t="s">
        <v>56</v>
      </c>
      <c r="C89" s="4" t="s">
        <v>151</v>
      </c>
      <c r="D89" s="4" t="s">
        <v>221</v>
      </c>
      <c r="G89" s="18"/>
      <c r="H89" s="18"/>
      <c r="I89" s="19"/>
      <c r="J89" s="18"/>
      <c r="K89" s="18"/>
    </row>
    <row r="90" spans="2:13" ht="12.75">
      <c r="B90" s="4" t="s">
        <v>51</v>
      </c>
      <c r="C90" s="4"/>
      <c r="D90" s="4" t="s">
        <v>17</v>
      </c>
      <c r="G90" s="18">
        <v>25995</v>
      </c>
      <c r="H90" s="18"/>
      <c r="I90" s="19">
        <v>25675</v>
      </c>
      <c r="J90" s="18"/>
      <c r="K90" s="18">
        <v>25620</v>
      </c>
      <c r="M90" s="20">
        <f>AVERAGE(G90,I90,K90)</f>
        <v>25763.333333333332</v>
      </c>
    </row>
    <row r="91" spans="2:13" ht="12.75">
      <c r="B91" s="4" t="s">
        <v>53</v>
      </c>
      <c r="C91" s="4"/>
      <c r="D91" s="4" t="s">
        <v>18</v>
      </c>
      <c r="G91" s="18">
        <v>16</v>
      </c>
      <c r="H91" s="18"/>
      <c r="I91" s="19">
        <v>16</v>
      </c>
      <c r="J91" s="18"/>
      <c r="K91" s="18">
        <v>15.8</v>
      </c>
      <c r="M91" s="17">
        <f>AVERAGE(G91,I91,K91)</f>
        <v>15.933333333333332</v>
      </c>
    </row>
    <row r="92" spans="2:13" ht="12.75">
      <c r="B92" s="4" t="s">
        <v>54</v>
      </c>
      <c r="C92" s="4"/>
      <c r="D92" s="4" t="s">
        <v>18</v>
      </c>
      <c r="G92" s="18">
        <v>11.6</v>
      </c>
      <c r="H92" s="18"/>
      <c r="I92" s="19">
        <v>11.5</v>
      </c>
      <c r="J92" s="18"/>
      <c r="K92" s="18">
        <v>10</v>
      </c>
      <c r="M92" s="17">
        <f>AVERAGE(G92,I92,K92)</f>
        <v>11.033333333333333</v>
      </c>
    </row>
    <row r="93" spans="2:13" ht="12.75">
      <c r="B93" s="4" t="s">
        <v>50</v>
      </c>
      <c r="C93" s="4"/>
      <c r="D93" s="4" t="s">
        <v>19</v>
      </c>
      <c r="G93" s="18">
        <v>364</v>
      </c>
      <c r="H93" s="18"/>
      <c r="I93" s="19">
        <v>358</v>
      </c>
      <c r="J93" s="18"/>
      <c r="K93" s="18">
        <v>334</v>
      </c>
      <c r="M93" s="20">
        <f>AVERAGE(G93,I93,K93)</f>
        <v>352</v>
      </c>
    </row>
    <row r="94" spans="2:11" ht="12.75">
      <c r="B94" s="4"/>
      <c r="C94" s="4"/>
      <c r="E94" s="15"/>
      <c r="G94" s="104"/>
      <c r="H94" s="4"/>
      <c r="I94" s="104"/>
      <c r="J94" s="4"/>
      <c r="K94" s="104"/>
    </row>
    <row r="95" spans="2:11" ht="12.75">
      <c r="B95" s="4"/>
      <c r="C95" s="4"/>
      <c r="E95" s="15"/>
      <c r="G95" s="63"/>
      <c r="H95" s="4"/>
      <c r="I95" s="63"/>
      <c r="J95" s="4"/>
      <c r="K95" s="63"/>
    </row>
    <row r="96" spans="1:13" ht="12.75">
      <c r="A96" s="15">
        <v>12</v>
      </c>
      <c r="B96" s="12" t="s">
        <v>166</v>
      </c>
      <c r="C96" s="13" t="s">
        <v>121</v>
      </c>
      <c r="G96" s="15" t="s">
        <v>171</v>
      </c>
      <c r="H96" s="15"/>
      <c r="I96" s="15" t="s">
        <v>172</v>
      </c>
      <c r="J96" s="15"/>
      <c r="K96" s="15" t="s">
        <v>173</v>
      </c>
      <c r="M96" s="15" t="s">
        <v>170</v>
      </c>
    </row>
    <row r="97" spans="3:13" ht="12.75">
      <c r="C97" s="22"/>
      <c r="D97" s="15"/>
      <c r="E97" s="88"/>
      <c r="F97" s="13"/>
      <c r="G97" s="15"/>
      <c r="H97" s="15"/>
      <c r="I97" s="15"/>
      <c r="J97" s="15"/>
      <c r="K97" s="15"/>
      <c r="M97" s="15"/>
    </row>
    <row r="98" spans="4:9" ht="12.75">
      <c r="D98" s="16"/>
      <c r="E98" s="13"/>
      <c r="F98" s="13"/>
      <c r="I98" s="13"/>
    </row>
    <row r="99" spans="2:13" ht="12.75">
      <c r="B99" s="4" t="s">
        <v>60</v>
      </c>
      <c r="C99" s="4" t="s">
        <v>220</v>
      </c>
      <c r="D99" s="4" t="s">
        <v>16</v>
      </c>
      <c r="E99" s="15" t="s">
        <v>15</v>
      </c>
      <c r="G99" s="17">
        <v>30.72</v>
      </c>
      <c r="H99" s="17"/>
      <c r="I99" s="17">
        <v>25.99</v>
      </c>
      <c r="J99" s="17"/>
      <c r="K99" s="17">
        <v>31.98</v>
      </c>
      <c r="L99" s="17"/>
      <c r="M99" s="20">
        <f>AVERAGE(G99,I99,K99)</f>
        <v>29.563333333333333</v>
      </c>
    </row>
    <row r="100" spans="2:13" ht="12.75">
      <c r="B100" s="4"/>
      <c r="C100" s="4"/>
      <c r="G100" s="23"/>
      <c r="H100" s="18"/>
      <c r="I100" s="23"/>
      <c r="J100" s="18"/>
      <c r="K100" s="23"/>
      <c r="M100" s="17"/>
    </row>
    <row r="101" spans="2:13" ht="12.75">
      <c r="B101" s="4"/>
      <c r="C101" s="4"/>
      <c r="G101" s="18"/>
      <c r="H101" s="18"/>
      <c r="I101" s="19"/>
      <c r="J101" s="18"/>
      <c r="K101" s="18"/>
      <c r="M101" s="63"/>
    </row>
    <row r="102" spans="2:13" ht="12.75">
      <c r="B102" s="4" t="s">
        <v>56</v>
      </c>
      <c r="C102" s="4" t="s">
        <v>151</v>
      </c>
      <c r="D102" s="4" t="s">
        <v>220</v>
      </c>
      <c r="L102" s="15"/>
      <c r="M102" s="20"/>
    </row>
    <row r="103" spans="2:13" ht="12.75">
      <c r="B103" s="4" t="s">
        <v>51</v>
      </c>
      <c r="C103" s="4"/>
      <c r="D103" s="4" t="s">
        <v>17</v>
      </c>
      <c r="G103" s="18">
        <v>20012</v>
      </c>
      <c r="H103" s="18"/>
      <c r="I103" s="18">
        <v>20050</v>
      </c>
      <c r="J103" s="7"/>
      <c r="K103" s="18">
        <v>21358</v>
      </c>
      <c r="M103" s="20">
        <f>AVERAGE(G103,I103,K103)</f>
        <v>20473.333333333332</v>
      </c>
    </row>
    <row r="104" spans="2:13" ht="12.75">
      <c r="B104" s="4" t="s">
        <v>53</v>
      </c>
      <c r="C104" s="4"/>
      <c r="D104" s="4" t="s">
        <v>18</v>
      </c>
      <c r="G104" s="23">
        <v>16</v>
      </c>
      <c r="H104" s="18"/>
      <c r="I104" s="23">
        <v>14.4</v>
      </c>
      <c r="J104" s="18"/>
      <c r="K104" s="23">
        <v>17.6</v>
      </c>
      <c r="M104" s="17">
        <f>AVERAGE(G104,I104,K104)</f>
        <v>16</v>
      </c>
    </row>
    <row r="105" spans="2:13" ht="12.75">
      <c r="B105" s="4" t="s">
        <v>54</v>
      </c>
      <c r="C105" s="4"/>
      <c r="D105" s="4" t="s">
        <v>18</v>
      </c>
      <c r="G105" s="23">
        <v>12.4</v>
      </c>
      <c r="H105" s="18"/>
      <c r="I105" s="23">
        <v>10.2</v>
      </c>
      <c r="J105" s="18"/>
      <c r="K105" s="23">
        <v>9.6</v>
      </c>
      <c r="M105" s="17">
        <f>AVERAGE(G105,I105,K105)</f>
        <v>10.733333333333334</v>
      </c>
    </row>
    <row r="106" spans="2:13" ht="12.75">
      <c r="B106" s="4" t="s">
        <v>50</v>
      </c>
      <c r="C106" s="4"/>
      <c r="D106" s="4" t="s">
        <v>19</v>
      </c>
      <c r="G106" s="85">
        <v>295</v>
      </c>
      <c r="H106" s="7"/>
      <c r="I106" s="85">
        <v>291</v>
      </c>
      <c r="J106" s="7"/>
      <c r="K106" s="85">
        <v>299</v>
      </c>
      <c r="M106" s="20">
        <f>AVERAGE(G106,I106,K106)</f>
        <v>295</v>
      </c>
    </row>
    <row r="107" spans="2:13" ht="12.75">
      <c r="B107" s="4"/>
      <c r="C107" s="4"/>
      <c r="G107" s="61"/>
      <c r="H107" s="61"/>
      <c r="I107" s="61"/>
      <c r="J107" s="61"/>
      <c r="K107" s="61"/>
      <c r="M107" s="102"/>
    </row>
    <row r="108" spans="2:13" ht="12.75">
      <c r="B108" s="4"/>
      <c r="C108" s="4"/>
      <c r="G108" s="61"/>
      <c r="H108" s="61"/>
      <c r="I108" s="61"/>
      <c r="J108" s="61"/>
      <c r="K108" s="61"/>
      <c r="M108" s="102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I44"/>
  <sheetViews>
    <sheetView workbookViewId="0" topLeftCell="B3">
      <selection activeCell="N28" sqref="N28"/>
    </sheetView>
  </sheetViews>
  <sheetFormatPr defaultColWidth="9.140625" defaultRowHeight="12.75"/>
  <cols>
    <col min="1" max="1" width="4.8515625" style="117" hidden="1" customWidth="1"/>
    <col min="2" max="2" width="14.7109375" style="0" customWidth="1"/>
    <col min="5" max="6" width="4.00390625" style="0" customWidth="1"/>
    <col min="8" max="8" width="3.8515625" style="0" customWidth="1"/>
    <col min="10" max="10" width="3.7109375" style="0" customWidth="1"/>
    <col min="12" max="12" width="4.00390625" style="0" customWidth="1"/>
    <col min="14" max="14" width="9.57421875" style="0" customWidth="1"/>
    <col min="15" max="15" width="10.57421875" style="0" bestFit="1" customWidth="1"/>
  </cols>
  <sheetData>
    <row r="1" ht="12.75">
      <c r="B1" s="2" t="s">
        <v>199</v>
      </c>
    </row>
    <row r="2" ht="12.75">
      <c r="B2" s="2"/>
    </row>
    <row r="3" ht="12.75">
      <c r="B3" s="2"/>
    </row>
    <row r="4" spans="1:13" ht="12.75">
      <c r="A4" s="117">
        <v>1</v>
      </c>
      <c r="B4" s="2" t="s">
        <v>181</v>
      </c>
      <c r="G4" s="112" t="s">
        <v>171</v>
      </c>
      <c r="H4" s="112"/>
      <c r="I4" s="112" t="s">
        <v>172</v>
      </c>
      <c r="J4" s="112"/>
      <c r="K4" s="112" t="s">
        <v>173</v>
      </c>
      <c r="L4" s="112"/>
      <c r="M4" s="112" t="s">
        <v>170</v>
      </c>
    </row>
    <row r="6" spans="1:61" s="90" customFormat="1" ht="12.75">
      <c r="A6" s="93"/>
      <c r="B6" s="90" t="s">
        <v>13</v>
      </c>
      <c r="C6" s="90" t="s">
        <v>220</v>
      </c>
      <c r="D6" s="90" t="s">
        <v>14</v>
      </c>
      <c r="E6" s="90" t="s">
        <v>15</v>
      </c>
      <c r="F6" s="91" t="s">
        <v>186</v>
      </c>
      <c r="G6" s="90">
        <v>0.00400003968</v>
      </c>
      <c r="H6" s="91" t="s">
        <v>186</v>
      </c>
      <c r="I6" s="90">
        <v>0.00700006944</v>
      </c>
      <c r="J6" s="91" t="s">
        <v>186</v>
      </c>
      <c r="K6" s="90">
        <v>0.00600005952</v>
      </c>
      <c r="L6" s="91" t="s">
        <v>186</v>
      </c>
      <c r="M6" s="90">
        <f>AVERAGE(G6,I6,K6)</f>
        <v>0.00566672288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</row>
    <row r="7" spans="1:61" s="92" customFormat="1" ht="12.75">
      <c r="A7" s="93"/>
      <c r="B7" s="92" t="s">
        <v>135</v>
      </c>
      <c r="C7" s="90" t="s">
        <v>220</v>
      </c>
      <c r="D7" s="92" t="s">
        <v>16</v>
      </c>
      <c r="E7" s="90" t="s">
        <v>15</v>
      </c>
      <c r="F7" s="91" t="s">
        <v>186</v>
      </c>
      <c r="G7" s="92">
        <v>54.48</v>
      </c>
      <c r="H7" s="91" t="s">
        <v>186</v>
      </c>
      <c r="I7" s="92">
        <v>92.22</v>
      </c>
      <c r="J7" s="91" t="s">
        <v>186</v>
      </c>
      <c r="K7" s="92">
        <v>66.79</v>
      </c>
      <c r="L7" s="91" t="s">
        <v>186</v>
      </c>
      <c r="M7" s="92">
        <f aca="true" t="shared" si="0" ref="M7:M12">AVERAGE(G7,I7,K7)</f>
        <v>71.16333333333334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</row>
    <row r="8" spans="1:61" s="92" customFormat="1" ht="12.75">
      <c r="A8" s="93"/>
      <c r="B8" s="92" t="s">
        <v>60</v>
      </c>
      <c r="C8" s="90" t="s">
        <v>220</v>
      </c>
      <c r="D8" s="92" t="s">
        <v>16</v>
      </c>
      <c r="E8" s="90" t="s">
        <v>15</v>
      </c>
      <c r="F8" s="91" t="s">
        <v>186</v>
      </c>
      <c r="G8" s="92">
        <v>50.5</v>
      </c>
      <c r="H8" s="91" t="s">
        <v>186</v>
      </c>
      <c r="I8" s="92">
        <v>70.3</v>
      </c>
      <c r="J8" s="91" t="s">
        <v>186</v>
      </c>
      <c r="K8" s="92">
        <v>58.9</v>
      </c>
      <c r="L8" s="91" t="s">
        <v>186</v>
      </c>
      <c r="M8" s="92">
        <f t="shared" si="0"/>
        <v>59.9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</row>
    <row r="9" spans="1:61" s="92" customFormat="1" ht="12.75">
      <c r="A9" s="93"/>
      <c r="B9" s="92" t="s">
        <v>187</v>
      </c>
      <c r="C9" s="90" t="s">
        <v>220</v>
      </c>
      <c r="D9" s="92" t="s">
        <v>16</v>
      </c>
      <c r="E9" s="90" t="s">
        <v>15</v>
      </c>
      <c r="F9" s="91" t="s">
        <v>186</v>
      </c>
      <c r="G9" s="92">
        <v>5.23</v>
      </c>
      <c r="H9" s="91" t="s">
        <v>186</v>
      </c>
      <c r="I9" s="92">
        <v>5.71</v>
      </c>
      <c r="J9" s="91" t="s">
        <v>186</v>
      </c>
      <c r="K9" s="92">
        <v>4.94</v>
      </c>
      <c r="L9" s="91" t="s">
        <v>186</v>
      </c>
      <c r="M9" s="92">
        <f t="shared" si="0"/>
        <v>5.293333333333334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</row>
    <row r="10" spans="1:61" s="92" customFormat="1" ht="12.75">
      <c r="A10" s="93"/>
      <c r="B10" s="92" t="s">
        <v>188</v>
      </c>
      <c r="C10" s="90" t="s">
        <v>220</v>
      </c>
      <c r="D10" s="92" t="s">
        <v>16</v>
      </c>
      <c r="E10" s="90" t="s">
        <v>15</v>
      </c>
      <c r="F10" s="91" t="s">
        <v>186</v>
      </c>
      <c r="G10" s="92">
        <v>4.5</v>
      </c>
      <c r="H10" s="91" t="s">
        <v>186</v>
      </c>
      <c r="I10" s="92">
        <v>5.1</v>
      </c>
      <c r="J10" s="91" t="s">
        <v>186</v>
      </c>
      <c r="K10" s="92">
        <v>4.6</v>
      </c>
      <c r="L10" s="91" t="s">
        <v>186</v>
      </c>
      <c r="M10" s="92">
        <f t="shared" si="0"/>
        <v>4.733333333333333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</row>
    <row r="11" spans="1:61" s="92" customFormat="1" ht="12.75">
      <c r="A11" s="93"/>
      <c r="B11" s="92" t="s">
        <v>25</v>
      </c>
      <c r="C11" s="90" t="s">
        <v>220</v>
      </c>
      <c r="D11" s="92" t="s">
        <v>16</v>
      </c>
      <c r="E11" s="90" t="s">
        <v>15</v>
      </c>
      <c r="F11" s="91" t="s">
        <v>186</v>
      </c>
      <c r="G11" s="92">
        <v>1293.8212093791694</v>
      </c>
      <c r="H11" s="91" t="s">
        <v>186</v>
      </c>
      <c r="I11" s="92">
        <v>1147.5186698382238</v>
      </c>
      <c r="J11" s="91" t="s">
        <v>186</v>
      </c>
      <c r="K11" s="92">
        <v>1257.1542115425125</v>
      </c>
      <c r="L11" s="91" t="s">
        <v>186</v>
      </c>
      <c r="M11" s="92">
        <f t="shared" si="0"/>
        <v>1232.8313635866352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</row>
    <row r="12" spans="1:61" s="92" customFormat="1" ht="12.75">
      <c r="A12" s="93"/>
      <c r="B12" s="92" t="s">
        <v>26</v>
      </c>
      <c r="C12" s="90" t="s">
        <v>220</v>
      </c>
      <c r="D12" s="92" t="s">
        <v>16</v>
      </c>
      <c r="E12" s="90" t="s">
        <v>15</v>
      </c>
      <c r="F12" s="91" t="s">
        <v>186</v>
      </c>
      <c r="G12" s="92">
        <v>30.34267994650188</v>
      </c>
      <c r="H12" s="91" t="s">
        <v>186</v>
      </c>
      <c r="I12" s="92">
        <v>3.8703356464268643</v>
      </c>
      <c r="J12" s="91" t="s">
        <v>186</v>
      </c>
      <c r="K12" s="92">
        <v>7.565316279747011</v>
      </c>
      <c r="L12" s="91" t="s">
        <v>186</v>
      </c>
      <c r="M12" s="92">
        <f t="shared" si="0"/>
        <v>13.926110624225252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</row>
    <row r="13" spans="1:61" s="92" customFormat="1" ht="12.75">
      <c r="A13" s="93"/>
      <c r="B13" s="92" t="s">
        <v>55</v>
      </c>
      <c r="C13" s="90" t="s">
        <v>220</v>
      </c>
      <c r="D13" s="92" t="s">
        <v>16</v>
      </c>
      <c r="E13" s="90" t="s">
        <v>15</v>
      </c>
      <c r="F13" s="91"/>
      <c r="G13" s="92">
        <f>G11+2*G12</f>
        <v>1354.5065692721732</v>
      </c>
      <c r="H13" s="91"/>
      <c r="I13" s="92">
        <f>I11+2*I12</f>
        <v>1155.2593411310775</v>
      </c>
      <c r="J13" s="91"/>
      <c r="K13" s="92">
        <f>K11+2*K12</f>
        <v>1272.2848441020064</v>
      </c>
      <c r="L13" s="91"/>
      <c r="M13" s="92">
        <f>AVERAGE(G13,I13,K13)</f>
        <v>1260.6835848350859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</row>
    <row r="14" spans="1:61" s="92" customFormat="1" ht="12.75">
      <c r="A14" s="93"/>
      <c r="B14" s="92" t="s">
        <v>108</v>
      </c>
      <c r="C14" s="92" t="s">
        <v>221</v>
      </c>
      <c r="D14" s="92" t="s">
        <v>34</v>
      </c>
      <c r="E14" s="90" t="s">
        <v>15</v>
      </c>
      <c r="F14" s="91" t="s">
        <v>106</v>
      </c>
      <c r="G14" s="92">
        <v>3.815</v>
      </c>
      <c r="H14" s="91" t="s">
        <v>186</v>
      </c>
      <c r="I14" s="92">
        <v>5.5641025641025665</v>
      </c>
      <c r="J14" s="91" t="s">
        <v>186</v>
      </c>
      <c r="K14" s="92">
        <v>1.9821052631579</v>
      </c>
      <c r="L14" s="91" t="s">
        <v>186</v>
      </c>
      <c r="M14" s="92">
        <f aca="true" t="shared" si="1" ref="M14:M21">AVERAGE(G14,I14,K14)</f>
        <v>3.7870692757534887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</row>
    <row r="15" spans="1:61" s="92" customFormat="1" ht="12.75">
      <c r="A15" s="93"/>
      <c r="B15" s="92" t="s">
        <v>107</v>
      </c>
      <c r="C15" s="92" t="s">
        <v>221</v>
      </c>
      <c r="D15" s="92" t="s">
        <v>34</v>
      </c>
      <c r="E15" s="90" t="s">
        <v>15</v>
      </c>
      <c r="F15" s="91" t="s">
        <v>186</v>
      </c>
      <c r="G15" s="92">
        <v>6.825</v>
      </c>
      <c r="H15" s="91" t="s">
        <v>186</v>
      </c>
      <c r="I15" s="92">
        <v>10.80512820512821</v>
      </c>
      <c r="J15" s="91" t="s">
        <v>186</v>
      </c>
      <c r="K15" s="92">
        <v>4.163157894736841</v>
      </c>
      <c r="L15" s="91" t="s">
        <v>186</v>
      </c>
      <c r="M15" s="92">
        <f t="shared" si="1"/>
        <v>7.264428699955016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</row>
    <row r="16" spans="1:61" s="92" customFormat="1" ht="12.75">
      <c r="A16" s="93"/>
      <c r="B16" s="92" t="s">
        <v>109</v>
      </c>
      <c r="C16" s="92" t="s">
        <v>221</v>
      </c>
      <c r="D16" s="92" t="s">
        <v>34</v>
      </c>
      <c r="E16" s="90" t="s">
        <v>15</v>
      </c>
      <c r="F16" s="91" t="s">
        <v>106</v>
      </c>
      <c r="G16" s="92">
        <v>51.45</v>
      </c>
      <c r="H16" s="91" t="s">
        <v>106</v>
      </c>
      <c r="I16" s="92">
        <v>38.41025641025642</v>
      </c>
      <c r="J16" s="91" t="s">
        <v>106</v>
      </c>
      <c r="K16" s="92">
        <v>26.342105263157894</v>
      </c>
      <c r="L16" s="91" t="s">
        <v>186</v>
      </c>
      <c r="M16" s="92">
        <f t="shared" si="1"/>
        <v>38.73412055780477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</row>
    <row r="17" spans="1:61" s="92" customFormat="1" ht="12.75">
      <c r="A17" s="93"/>
      <c r="B17" s="92" t="s">
        <v>110</v>
      </c>
      <c r="C17" s="92" t="s">
        <v>221</v>
      </c>
      <c r="D17" s="92" t="s">
        <v>34</v>
      </c>
      <c r="E17" s="90" t="s">
        <v>15</v>
      </c>
      <c r="F17" s="91" t="s">
        <v>106</v>
      </c>
      <c r="G17" s="92">
        <v>1.477</v>
      </c>
      <c r="H17" s="91" t="s">
        <v>106</v>
      </c>
      <c r="I17" s="92">
        <v>2.3369230769230778</v>
      </c>
      <c r="J17" s="91" t="s">
        <v>106</v>
      </c>
      <c r="K17" s="92">
        <v>1.6873684210526314</v>
      </c>
      <c r="L17" s="91">
        <v>100</v>
      </c>
      <c r="M17" s="92">
        <f t="shared" si="1"/>
        <v>1.8337638326585697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</row>
    <row r="18" spans="1:61" s="92" customFormat="1" ht="12.75">
      <c r="A18" s="93"/>
      <c r="B18" s="92" t="s">
        <v>111</v>
      </c>
      <c r="C18" s="92" t="s">
        <v>221</v>
      </c>
      <c r="D18" s="92" t="s">
        <v>34</v>
      </c>
      <c r="E18" s="90" t="s">
        <v>15</v>
      </c>
      <c r="F18" s="91" t="s">
        <v>186</v>
      </c>
      <c r="G18" s="92">
        <v>16.975</v>
      </c>
      <c r="H18" s="91" t="s">
        <v>186</v>
      </c>
      <c r="I18" s="92">
        <v>131.02564102564108</v>
      </c>
      <c r="J18" s="91" t="s">
        <v>186</v>
      </c>
      <c r="K18" s="92">
        <v>412.6315789473684</v>
      </c>
      <c r="L18" s="91" t="s">
        <v>186</v>
      </c>
      <c r="M18" s="92">
        <f t="shared" si="1"/>
        <v>186.8774066576698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</row>
    <row r="19" spans="1:61" s="92" customFormat="1" ht="12.75">
      <c r="A19" s="93"/>
      <c r="B19" s="92" t="s">
        <v>112</v>
      </c>
      <c r="C19" s="92" t="s">
        <v>221</v>
      </c>
      <c r="D19" s="92" t="s">
        <v>34</v>
      </c>
      <c r="E19" s="90" t="s">
        <v>15</v>
      </c>
      <c r="F19" s="91" t="s">
        <v>106</v>
      </c>
      <c r="G19" s="92">
        <v>24.045</v>
      </c>
      <c r="H19" s="91" t="s">
        <v>106</v>
      </c>
      <c r="I19" s="92">
        <v>30.835897435897447</v>
      </c>
      <c r="J19" s="91" t="s">
        <v>106</v>
      </c>
      <c r="K19" s="92">
        <v>28.884210526315783</v>
      </c>
      <c r="L19" s="91" t="s">
        <v>186</v>
      </c>
      <c r="M19" s="92">
        <f t="shared" si="1"/>
        <v>27.92170265407108</v>
      </c>
      <c r="N19" t="s">
        <v>251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</row>
    <row r="20" spans="1:61" s="92" customFormat="1" ht="12.75">
      <c r="A20" s="93"/>
      <c r="B20" s="92" t="s">
        <v>189</v>
      </c>
      <c r="C20" s="92" t="s">
        <v>222</v>
      </c>
      <c r="D20" s="92" t="s">
        <v>34</v>
      </c>
      <c r="E20" s="90" t="s">
        <v>15</v>
      </c>
      <c r="F20" s="91" t="s">
        <v>106</v>
      </c>
      <c r="G20" s="92">
        <v>3.226829268292682</v>
      </c>
      <c r="H20" s="91" t="s">
        <v>106</v>
      </c>
      <c r="I20" s="92">
        <v>2.4</v>
      </c>
      <c r="J20" s="91" t="s">
        <v>106</v>
      </c>
      <c r="K20" s="92">
        <v>1.813</v>
      </c>
      <c r="L20" s="91" t="s">
        <v>186</v>
      </c>
      <c r="M20" s="92">
        <f t="shared" si="1"/>
        <v>2.479943089430894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</row>
    <row r="21" spans="1:61" s="92" customFormat="1" ht="12.75">
      <c r="A21" s="93"/>
      <c r="B21" s="92" t="s">
        <v>114</v>
      </c>
      <c r="C21" s="92" t="s">
        <v>221</v>
      </c>
      <c r="D21" s="92" t="s">
        <v>34</v>
      </c>
      <c r="E21" s="90" t="s">
        <v>15</v>
      </c>
      <c r="F21" s="91" t="s">
        <v>186</v>
      </c>
      <c r="G21" s="92">
        <v>162.4</v>
      </c>
      <c r="H21" s="91" t="s">
        <v>106</v>
      </c>
      <c r="I21" s="92">
        <v>291.846153846154</v>
      </c>
      <c r="J21" s="91" t="s">
        <v>186</v>
      </c>
      <c r="K21" s="92">
        <v>534.21052631579</v>
      </c>
      <c r="L21" s="91" t="s">
        <v>186</v>
      </c>
      <c r="M21" s="92">
        <f t="shared" si="1"/>
        <v>329.4855600539814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</row>
    <row r="22" spans="1:61" s="92" customFormat="1" ht="12.75">
      <c r="A22" s="93"/>
      <c r="B22" s="92" t="s">
        <v>115</v>
      </c>
      <c r="C22" s="92" t="s">
        <v>221</v>
      </c>
      <c r="D22" s="92" t="s">
        <v>34</v>
      </c>
      <c r="E22" s="90" t="s">
        <v>15</v>
      </c>
      <c r="F22" s="91" t="s">
        <v>106</v>
      </c>
      <c r="G22" s="92">
        <v>11.06</v>
      </c>
      <c r="H22" s="91" t="s">
        <v>106</v>
      </c>
      <c r="I22" s="92">
        <v>18.487179487179496</v>
      </c>
      <c r="J22" s="91" t="s">
        <v>106</v>
      </c>
      <c r="K22" s="92">
        <v>15.510526315789471</v>
      </c>
      <c r="L22" s="91">
        <v>100</v>
      </c>
      <c r="M22" s="92">
        <f>AVERAGE(G22,I22,K22)</f>
        <v>15.019235267656322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</row>
    <row r="23" spans="1:61" s="92" customFormat="1" ht="12.75">
      <c r="A23" s="93"/>
      <c r="B23" s="92" t="s">
        <v>118</v>
      </c>
      <c r="C23" s="92" t="s">
        <v>221</v>
      </c>
      <c r="D23" s="92" t="s">
        <v>34</v>
      </c>
      <c r="E23" s="90" t="s">
        <v>15</v>
      </c>
      <c r="F23" s="91" t="s">
        <v>106</v>
      </c>
      <c r="G23" s="92">
        <v>3.745</v>
      </c>
      <c r="H23" s="91" t="s">
        <v>106</v>
      </c>
      <c r="I23" s="92">
        <v>76.4615384615385</v>
      </c>
      <c r="J23" s="91" t="s">
        <v>106</v>
      </c>
      <c r="K23" s="92">
        <v>3.7947368421052627</v>
      </c>
      <c r="L23" s="91">
        <v>100</v>
      </c>
      <c r="M23" s="92">
        <f>AVERAGE(G23,I23,K23)</f>
        <v>28.00042510121459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</row>
    <row r="24" spans="1:61" s="92" customFormat="1" ht="12.75">
      <c r="A24" s="93"/>
      <c r="B24" s="92" t="s">
        <v>119</v>
      </c>
      <c r="C24" s="92" t="s">
        <v>221</v>
      </c>
      <c r="D24" s="92" t="s">
        <v>34</v>
      </c>
      <c r="E24" s="90" t="s">
        <v>15</v>
      </c>
      <c r="F24" s="91" t="s">
        <v>106</v>
      </c>
      <c r="G24" s="92">
        <v>1.323</v>
      </c>
      <c r="H24" s="91" t="s">
        <v>106</v>
      </c>
      <c r="I24" s="92">
        <v>2.843076923076924</v>
      </c>
      <c r="J24" s="91" t="s">
        <v>106</v>
      </c>
      <c r="K24" s="92">
        <v>1.0389473684210524</v>
      </c>
      <c r="L24" s="91">
        <v>100</v>
      </c>
      <c r="M24" s="92">
        <f>AVERAGE(G24,I24,K24)</f>
        <v>1.735008097165992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</row>
    <row r="25" spans="1:61" s="92" customFormat="1" ht="12.75">
      <c r="A25" s="93"/>
      <c r="B25" s="92" t="s">
        <v>35</v>
      </c>
      <c r="C25" s="92" t="s">
        <v>221</v>
      </c>
      <c r="D25" s="92" t="s">
        <v>34</v>
      </c>
      <c r="E25" s="90" t="s">
        <v>15</v>
      </c>
      <c r="F25" s="91"/>
      <c r="G25" s="92">
        <f>G21+G18</f>
        <v>179.375</v>
      </c>
      <c r="H25" s="91">
        <v>69.9</v>
      </c>
      <c r="I25" s="92">
        <f>I21+I18</f>
        <v>422.87179487179503</v>
      </c>
      <c r="J25" s="91"/>
      <c r="K25" s="92">
        <f>K21+K18</f>
        <v>946.8421052631584</v>
      </c>
      <c r="L25" s="91">
        <v>18.8</v>
      </c>
      <c r="M25" s="92">
        <f>AVERAGE(K25,I25,G25)</f>
        <v>516.3629667116511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</row>
    <row r="26" spans="1:61" s="92" customFormat="1" ht="12.75">
      <c r="A26" s="93"/>
      <c r="B26" s="92" t="s">
        <v>36</v>
      </c>
      <c r="C26" s="92" t="s">
        <v>221</v>
      </c>
      <c r="D26" s="92" t="s">
        <v>34</v>
      </c>
      <c r="E26" s="90" t="s">
        <v>15</v>
      </c>
      <c r="F26" s="91">
        <v>78.9</v>
      </c>
      <c r="G26" s="92">
        <f>G15+G17+G19</f>
        <v>32.347</v>
      </c>
      <c r="H26" s="91">
        <v>75.4</v>
      </c>
      <c r="I26" s="92">
        <f>I15+I17+I19</f>
        <v>43.977948717948735</v>
      </c>
      <c r="J26" s="91">
        <v>88</v>
      </c>
      <c r="K26" s="92">
        <f>K15+K17+K19</f>
        <v>34.73473684210526</v>
      </c>
      <c r="L26" s="91">
        <v>80.4</v>
      </c>
      <c r="M26" s="92">
        <f>AVERAGE(K26,I26,G26)</f>
        <v>37.019895186684664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</row>
    <row r="27" spans="1:61" s="94" customFormat="1" ht="12.75">
      <c r="A27" s="93"/>
      <c r="G27" s="91"/>
      <c r="H27" s="91"/>
      <c r="I27" s="91"/>
      <c r="J27" s="91"/>
      <c r="K27" s="91"/>
      <c r="L27" s="91"/>
      <c r="M27" s="91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</row>
    <row r="28" spans="1:61" s="94" customFormat="1" ht="12.75">
      <c r="A28" s="93"/>
      <c r="B28" s="92" t="s">
        <v>56</v>
      </c>
      <c r="C28" s="94" t="s">
        <v>191</v>
      </c>
      <c r="D28" s="92" t="s">
        <v>220</v>
      </c>
      <c r="G28" s="91"/>
      <c r="H28" s="91"/>
      <c r="I28" s="91"/>
      <c r="J28" s="91"/>
      <c r="K28" s="91"/>
      <c r="L28" s="91"/>
      <c r="M28" s="91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</row>
    <row r="29" spans="1:61" s="94" customFormat="1" ht="12.75">
      <c r="A29" s="93"/>
      <c r="B29" s="4" t="s">
        <v>51</v>
      </c>
      <c r="C29" s="4"/>
      <c r="D29" s="4" t="s">
        <v>17</v>
      </c>
      <c r="G29" s="91">
        <v>32800</v>
      </c>
      <c r="H29" s="91"/>
      <c r="I29" s="91">
        <v>31000</v>
      </c>
      <c r="J29" s="91"/>
      <c r="K29" s="91">
        <v>29700</v>
      </c>
      <c r="L29" s="91"/>
      <c r="M29" s="91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</row>
    <row r="30" spans="1:61" s="94" customFormat="1" ht="12.75">
      <c r="A30" s="93"/>
      <c r="B30" s="4" t="s">
        <v>53</v>
      </c>
      <c r="C30" s="4"/>
      <c r="D30" s="4" t="s">
        <v>18</v>
      </c>
      <c r="G30" s="91">
        <v>17</v>
      </c>
      <c r="H30" s="91"/>
      <c r="I30" s="91">
        <v>17.2</v>
      </c>
      <c r="J30" s="91"/>
      <c r="K30" s="91">
        <v>17.2</v>
      </c>
      <c r="L30" s="91"/>
      <c r="M30" s="91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</row>
    <row r="31" spans="1:61" s="94" customFormat="1" ht="12.75">
      <c r="A31" s="93"/>
      <c r="B31" s="4" t="s">
        <v>54</v>
      </c>
      <c r="C31" s="4"/>
      <c r="D31" s="4" t="s">
        <v>18</v>
      </c>
      <c r="G31" s="91">
        <v>6.1</v>
      </c>
      <c r="H31" s="91"/>
      <c r="I31" s="91">
        <v>6.3</v>
      </c>
      <c r="J31" s="91"/>
      <c r="K31" s="91">
        <v>6.9</v>
      </c>
      <c r="L31" s="91"/>
      <c r="M31" s="9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</row>
    <row r="32" spans="1:61" s="94" customFormat="1" ht="12.75">
      <c r="A32" s="93"/>
      <c r="B32" s="4" t="s">
        <v>50</v>
      </c>
      <c r="C32" s="4"/>
      <c r="D32" s="4" t="s">
        <v>19</v>
      </c>
      <c r="G32" s="91">
        <v>339.5</v>
      </c>
      <c r="H32" s="91"/>
      <c r="I32" s="91">
        <v>340.9</v>
      </c>
      <c r="J32" s="91"/>
      <c r="K32" s="91">
        <v>339.6</v>
      </c>
      <c r="L32" s="91"/>
      <c r="M32" s="91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</row>
    <row r="33" spans="1:61" s="94" customFormat="1" ht="12.75">
      <c r="A33" s="93"/>
      <c r="G33" s="91"/>
      <c r="H33" s="91"/>
      <c r="I33" s="91"/>
      <c r="J33" s="91"/>
      <c r="K33" s="91"/>
      <c r="L33" s="91"/>
      <c r="M33" s="91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</row>
    <row r="34" spans="1:61" s="94" customFormat="1" ht="12.75">
      <c r="A34" s="93"/>
      <c r="B34" s="92" t="s">
        <v>56</v>
      </c>
      <c r="C34" s="94" t="s">
        <v>122</v>
      </c>
      <c r="D34" s="94" t="s">
        <v>221</v>
      </c>
      <c r="G34" s="91"/>
      <c r="H34" s="91"/>
      <c r="I34" s="91"/>
      <c r="J34" s="91"/>
      <c r="K34" s="91"/>
      <c r="L34" s="91"/>
      <c r="M34" s="91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</row>
    <row r="35" spans="1:61" s="94" customFormat="1" ht="12.75">
      <c r="A35" s="93"/>
      <c r="B35" s="4" t="s">
        <v>51</v>
      </c>
      <c r="C35" s="4"/>
      <c r="D35" s="4" t="s">
        <v>17</v>
      </c>
      <c r="G35" s="91">
        <v>32000</v>
      </c>
      <c r="H35" s="91"/>
      <c r="I35" s="91">
        <v>33200</v>
      </c>
      <c r="J35" s="91"/>
      <c r="K35" s="91">
        <v>30700</v>
      </c>
      <c r="L35" s="91"/>
      <c r="M35" s="91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</row>
    <row r="36" spans="1:61" s="94" customFormat="1" ht="12.75">
      <c r="A36" s="93"/>
      <c r="B36" s="4" t="s">
        <v>53</v>
      </c>
      <c r="C36" s="4"/>
      <c r="D36" s="4" t="s">
        <v>18</v>
      </c>
      <c r="G36" s="91">
        <v>17</v>
      </c>
      <c r="H36" s="91"/>
      <c r="I36" s="91">
        <v>17.1</v>
      </c>
      <c r="J36" s="91"/>
      <c r="K36" s="91">
        <v>17.2</v>
      </c>
      <c r="L36" s="91"/>
      <c r="M36" s="91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</row>
    <row r="37" spans="1:61" s="94" customFormat="1" ht="12.75">
      <c r="A37" s="93"/>
      <c r="B37" s="4" t="s">
        <v>54</v>
      </c>
      <c r="C37" s="4"/>
      <c r="D37" s="4" t="s">
        <v>18</v>
      </c>
      <c r="G37" s="91">
        <v>5.4</v>
      </c>
      <c r="H37" s="91"/>
      <c r="I37" s="91">
        <v>6</v>
      </c>
      <c r="J37" s="91"/>
      <c r="K37" s="91">
        <v>6.7</v>
      </c>
      <c r="L37" s="91"/>
      <c r="M37" s="91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</row>
    <row r="38" spans="1:61" s="94" customFormat="1" ht="12.75">
      <c r="A38" s="93"/>
      <c r="B38" s="4" t="s">
        <v>50</v>
      </c>
      <c r="C38" s="4"/>
      <c r="D38" s="4" t="s">
        <v>19</v>
      </c>
      <c r="G38" s="91">
        <v>355</v>
      </c>
      <c r="H38" s="91"/>
      <c r="I38" s="91">
        <v>349</v>
      </c>
      <c r="J38" s="91"/>
      <c r="K38" s="91">
        <v>344.3</v>
      </c>
      <c r="L38" s="91"/>
      <c r="M38" s="91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</row>
    <row r="40" spans="2:4" ht="12.75">
      <c r="B40" s="92" t="s">
        <v>56</v>
      </c>
      <c r="C40" s="94" t="s">
        <v>190</v>
      </c>
      <c r="D40" t="s">
        <v>222</v>
      </c>
    </row>
    <row r="41" spans="1:61" s="94" customFormat="1" ht="12.75">
      <c r="A41" s="93"/>
      <c r="B41" s="4" t="s">
        <v>51</v>
      </c>
      <c r="C41" s="4"/>
      <c r="D41" s="4" t="s">
        <v>17</v>
      </c>
      <c r="G41" s="91">
        <v>32600</v>
      </c>
      <c r="H41" s="91"/>
      <c r="I41" s="91">
        <v>33000</v>
      </c>
      <c r="J41" s="91"/>
      <c r="K41" s="91">
        <v>30700</v>
      </c>
      <c r="L41" s="91"/>
      <c r="M41" s="9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</row>
    <row r="42" spans="1:61" s="94" customFormat="1" ht="12.75">
      <c r="A42" s="93"/>
      <c r="B42" s="4" t="s">
        <v>53</v>
      </c>
      <c r="C42" s="4"/>
      <c r="D42" s="4" t="s">
        <v>18</v>
      </c>
      <c r="G42" s="91">
        <v>16.9</v>
      </c>
      <c r="H42" s="91"/>
      <c r="I42" s="91">
        <v>17.5</v>
      </c>
      <c r="J42" s="91"/>
      <c r="K42" s="91">
        <v>17</v>
      </c>
      <c r="L42" s="91"/>
      <c r="M42" s="91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</row>
    <row r="43" spans="1:61" s="94" customFormat="1" ht="12.75">
      <c r="A43" s="93"/>
      <c r="B43" s="4" t="s">
        <v>54</v>
      </c>
      <c r="C43" s="4"/>
      <c r="D43" s="4" t="s">
        <v>18</v>
      </c>
      <c r="G43" s="91">
        <v>4.6</v>
      </c>
      <c r="H43" s="91"/>
      <c r="I43" s="91">
        <v>6.2</v>
      </c>
      <c r="J43" s="91"/>
      <c r="K43" s="91">
        <v>6.1</v>
      </c>
      <c r="L43" s="91"/>
      <c r="M43" s="91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</row>
    <row r="44" spans="1:61" s="94" customFormat="1" ht="12.75">
      <c r="A44" s="93"/>
      <c r="B44" s="4" t="s">
        <v>50</v>
      </c>
      <c r="C44" s="4"/>
      <c r="D44" s="4" t="s">
        <v>19</v>
      </c>
      <c r="G44" s="91">
        <v>356.1</v>
      </c>
      <c r="H44" s="91"/>
      <c r="I44" s="91">
        <v>342.4</v>
      </c>
      <c r="J44" s="91"/>
      <c r="K44" s="91">
        <v>350.5</v>
      </c>
      <c r="L44" s="91"/>
      <c r="M44" s="91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104"/>
  <sheetViews>
    <sheetView zoomScale="75" zoomScaleNormal="75" workbookViewId="0" topLeftCell="B1">
      <selection activeCell="C2" sqref="C2"/>
    </sheetView>
  </sheetViews>
  <sheetFormatPr defaultColWidth="9.140625" defaultRowHeight="12.75"/>
  <cols>
    <col min="1" max="1" width="2.421875" style="35" hidden="1" customWidth="1"/>
    <col min="2" max="2" width="20.57421875" style="59" customWidth="1"/>
    <col min="3" max="3" width="4.140625" style="59" customWidth="1"/>
    <col min="4" max="4" width="8.7109375" style="59" customWidth="1"/>
    <col min="5" max="5" width="2.7109375" style="35" customWidth="1"/>
    <col min="6" max="6" width="11.140625" style="54" customWidth="1"/>
    <col min="7" max="7" width="2.8515625" style="55" customWidth="1"/>
    <col min="8" max="8" width="10.7109375" style="35" customWidth="1"/>
    <col min="9" max="9" width="2.8515625" style="35" customWidth="1"/>
    <col min="10" max="10" width="10.28125" style="35" customWidth="1"/>
    <col min="11" max="11" width="2.8515625" style="35" customWidth="1"/>
    <col min="12" max="12" width="9.57421875" style="35" customWidth="1"/>
    <col min="13" max="13" width="2.421875" style="35" customWidth="1"/>
    <col min="14" max="14" width="9.57421875" style="35" customWidth="1"/>
    <col min="15" max="15" width="2.421875" style="35" customWidth="1"/>
    <col min="16" max="16" width="9.7109375" style="35" customWidth="1"/>
    <col min="17" max="17" width="2.140625" style="35" customWidth="1"/>
    <col min="18" max="18" width="9.57421875" style="35" customWidth="1"/>
    <col min="19" max="19" width="1.28515625" style="35" customWidth="1"/>
    <col min="20" max="20" width="10.28125" style="35" customWidth="1"/>
    <col min="21" max="21" width="2.140625" style="35" customWidth="1"/>
    <col min="22" max="22" width="9.421875" style="35" customWidth="1"/>
    <col min="23" max="23" width="2.421875" style="35" customWidth="1"/>
    <col min="24" max="24" width="8.8515625" style="35" customWidth="1"/>
    <col min="25" max="25" width="2.421875" style="35" customWidth="1"/>
    <col min="26" max="26" width="8.8515625" style="35" customWidth="1"/>
    <col min="27" max="27" width="2.7109375" style="35" customWidth="1"/>
    <col min="28" max="28" width="8.8515625" style="35" customWidth="1"/>
    <col min="29" max="29" width="2.00390625" style="35" customWidth="1"/>
    <col min="30" max="30" width="10.28125" style="35" customWidth="1"/>
    <col min="31" max="16384" width="8.8515625" style="35" customWidth="1"/>
  </cols>
  <sheetData>
    <row r="1" spans="2:16" ht="12.75">
      <c r="B1" s="16" t="s">
        <v>219</v>
      </c>
      <c r="C1" s="16"/>
      <c r="D1" s="4"/>
      <c r="E1" s="13"/>
      <c r="F1" s="18"/>
      <c r="G1" s="15"/>
      <c r="H1" s="13"/>
      <c r="I1" s="13"/>
      <c r="J1" s="13"/>
      <c r="K1" s="13"/>
      <c r="L1" s="13"/>
      <c r="M1" s="13"/>
      <c r="N1" s="13"/>
      <c r="O1" s="13"/>
      <c r="P1" s="13"/>
    </row>
    <row r="2" spans="2:16" ht="12.75">
      <c r="B2" s="4"/>
      <c r="C2" s="4"/>
      <c r="D2" s="4"/>
      <c r="E2" s="13"/>
      <c r="F2" s="18"/>
      <c r="G2" s="15"/>
      <c r="H2" s="13"/>
      <c r="I2" s="13"/>
      <c r="J2" s="13"/>
      <c r="K2" s="13"/>
      <c r="L2" s="13"/>
      <c r="M2" s="13"/>
      <c r="N2" s="13"/>
      <c r="O2" s="13"/>
      <c r="P2" s="13"/>
    </row>
    <row r="4" spans="1:30" ht="12.75">
      <c r="A4" s="35" t="s">
        <v>58</v>
      </c>
      <c r="B4" s="16" t="s">
        <v>164</v>
      </c>
      <c r="C4" s="4" t="s">
        <v>179</v>
      </c>
      <c r="D4" s="4"/>
      <c r="E4" s="13"/>
      <c r="F4" s="55" t="s">
        <v>171</v>
      </c>
      <c r="H4" s="55" t="s">
        <v>172</v>
      </c>
      <c r="I4" s="15"/>
      <c r="J4" s="55" t="s">
        <v>173</v>
      </c>
      <c r="K4" s="18"/>
      <c r="L4" s="55" t="s">
        <v>171</v>
      </c>
      <c r="M4" s="55"/>
      <c r="N4" s="55" t="s">
        <v>172</v>
      </c>
      <c r="O4" s="15"/>
      <c r="P4" s="55" t="s">
        <v>173</v>
      </c>
      <c r="Q4" s="16"/>
      <c r="R4" s="55" t="s">
        <v>171</v>
      </c>
      <c r="S4" s="55"/>
      <c r="T4" s="55" t="s">
        <v>172</v>
      </c>
      <c r="U4" s="15"/>
      <c r="V4" s="55" t="s">
        <v>173</v>
      </c>
      <c r="W4" s="16"/>
      <c r="X4" s="55" t="s">
        <v>171</v>
      </c>
      <c r="Y4" s="55"/>
      <c r="Z4" s="55" t="s">
        <v>172</v>
      </c>
      <c r="AA4" s="15"/>
      <c r="AB4" s="55" t="s">
        <v>173</v>
      </c>
      <c r="AD4" s="55" t="s">
        <v>170</v>
      </c>
    </row>
    <row r="5" spans="2:30" ht="12.75">
      <c r="B5" s="16"/>
      <c r="C5" s="4"/>
      <c r="D5" s="4"/>
      <c r="E5" s="13"/>
      <c r="F5" s="55"/>
      <c r="H5" s="55"/>
      <c r="I5" s="15"/>
      <c r="J5" s="55"/>
      <c r="K5" s="18"/>
      <c r="L5" s="55"/>
      <c r="M5" s="55"/>
      <c r="N5" s="55"/>
      <c r="O5" s="15"/>
      <c r="P5" s="55"/>
      <c r="Q5" s="16"/>
      <c r="R5" s="55"/>
      <c r="S5" s="55"/>
      <c r="T5" s="55"/>
      <c r="U5" s="15"/>
      <c r="V5" s="55"/>
      <c r="W5" s="16"/>
      <c r="X5" s="55"/>
      <c r="Y5" s="55"/>
      <c r="Z5" s="55"/>
      <c r="AA5" s="15"/>
      <c r="AB5" s="55"/>
      <c r="AD5" s="55"/>
    </row>
    <row r="6" spans="2:30" ht="12.75">
      <c r="B6" s="8" t="s">
        <v>241</v>
      </c>
      <c r="C6" s="4"/>
      <c r="D6" s="4"/>
      <c r="E6" s="13"/>
      <c r="F6" s="55" t="s">
        <v>244</v>
      </c>
      <c r="H6" s="55" t="s">
        <v>244</v>
      </c>
      <c r="I6" s="15"/>
      <c r="J6" s="55" t="s">
        <v>244</v>
      </c>
      <c r="K6" s="18"/>
      <c r="L6" s="55" t="s">
        <v>246</v>
      </c>
      <c r="M6" s="55"/>
      <c r="N6" s="55" t="s">
        <v>246</v>
      </c>
      <c r="O6" s="15"/>
      <c r="P6" s="55" t="s">
        <v>246</v>
      </c>
      <c r="Q6" s="16"/>
      <c r="R6" s="55" t="s">
        <v>247</v>
      </c>
      <c r="S6" s="55"/>
      <c r="T6" s="55" t="s">
        <v>247</v>
      </c>
      <c r="U6" s="15"/>
      <c r="V6" s="55" t="s">
        <v>247</v>
      </c>
      <c r="W6" s="16"/>
      <c r="X6" s="55" t="s">
        <v>248</v>
      </c>
      <c r="Y6" s="55"/>
      <c r="Z6" s="55" t="s">
        <v>248</v>
      </c>
      <c r="AA6" s="15"/>
      <c r="AB6" s="55" t="s">
        <v>248</v>
      </c>
      <c r="AD6" s="55" t="s">
        <v>248</v>
      </c>
    </row>
    <row r="7" spans="1:30" ht="12.75">
      <c r="A7" s="56"/>
      <c r="B7" s="8" t="s">
        <v>242</v>
      </c>
      <c r="C7" s="4"/>
      <c r="D7" s="4"/>
      <c r="E7" s="13"/>
      <c r="F7" s="35" t="s">
        <v>243</v>
      </c>
      <c r="G7" s="35"/>
      <c r="H7" s="35" t="s">
        <v>243</v>
      </c>
      <c r="J7" s="35" t="s">
        <v>243</v>
      </c>
      <c r="L7" s="35" t="s">
        <v>245</v>
      </c>
      <c r="N7" s="35" t="s">
        <v>245</v>
      </c>
      <c r="P7" s="35" t="s">
        <v>245</v>
      </c>
      <c r="R7" s="106" t="s">
        <v>33</v>
      </c>
      <c r="S7" s="106"/>
      <c r="T7" s="106" t="s">
        <v>33</v>
      </c>
      <c r="U7" s="106"/>
      <c r="V7" s="106" t="s">
        <v>33</v>
      </c>
      <c r="X7" s="106" t="s">
        <v>62</v>
      </c>
      <c r="Y7" s="106"/>
      <c r="Z7" s="106" t="s">
        <v>62</v>
      </c>
      <c r="AA7" s="106"/>
      <c r="AB7" s="106" t="s">
        <v>62</v>
      </c>
      <c r="AD7" s="55" t="s">
        <v>62</v>
      </c>
    </row>
    <row r="8" spans="1:30" ht="12.75">
      <c r="A8" s="56"/>
      <c r="B8" s="8" t="s">
        <v>249</v>
      </c>
      <c r="C8" s="4"/>
      <c r="D8" s="4"/>
      <c r="E8" s="13"/>
      <c r="F8" s="35" t="s">
        <v>140</v>
      </c>
      <c r="G8" s="35"/>
      <c r="H8" s="35" t="s">
        <v>140</v>
      </c>
      <c r="J8" s="35" t="s">
        <v>140</v>
      </c>
      <c r="L8" s="35" t="s">
        <v>40</v>
      </c>
      <c r="N8" s="35" t="s">
        <v>40</v>
      </c>
      <c r="P8" s="35" t="s">
        <v>40</v>
      </c>
      <c r="R8" s="106" t="s">
        <v>33</v>
      </c>
      <c r="S8" s="106"/>
      <c r="T8" s="106" t="s">
        <v>33</v>
      </c>
      <c r="U8" s="106"/>
      <c r="V8" s="106" t="s">
        <v>33</v>
      </c>
      <c r="X8" s="106" t="s">
        <v>62</v>
      </c>
      <c r="Y8" s="106"/>
      <c r="Z8" s="106" t="s">
        <v>62</v>
      </c>
      <c r="AA8" s="106"/>
      <c r="AB8" s="106" t="s">
        <v>62</v>
      </c>
      <c r="AD8" s="55" t="s">
        <v>62</v>
      </c>
    </row>
    <row r="9" spans="2:30" ht="12.75">
      <c r="B9" s="4" t="s">
        <v>20</v>
      </c>
      <c r="C9" s="16"/>
      <c r="D9" s="15"/>
      <c r="E9" s="13"/>
      <c r="F9" s="35" t="s">
        <v>243</v>
      </c>
      <c r="G9" s="35"/>
      <c r="H9" s="35" t="s">
        <v>243</v>
      </c>
      <c r="J9" s="35" t="s">
        <v>243</v>
      </c>
      <c r="K9" s="13"/>
      <c r="L9" s="105" t="s">
        <v>138</v>
      </c>
      <c r="M9" s="55"/>
      <c r="N9" s="105" t="s">
        <v>138</v>
      </c>
      <c r="O9" s="13"/>
      <c r="P9" s="105" t="s">
        <v>138</v>
      </c>
      <c r="Q9" s="106"/>
      <c r="R9" s="106" t="s">
        <v>33</v>
      </c>
      <c r="S9" s="106"/>
      <c r="T9" s="106" t="s">
        <v>33</v>
      </c>
      <c r="U9" s="106"/>
      <c r="V9" s="106" t="s">
        <v>33</v>
      </c>
      <c r="W9" s="106"/>
      <c r="X9" s="106" t="s">
        <v>62</v>
      </c>
      <c r="Y9" s="106"/>
      <c r="Z9" s="106" t="s">
        <v>62</v>
      </c>
      <c r="AA9" s="106"/>
      <c r="AB9" s="106" t="s">
        <v>62</v>
      </c>
      <c r="AD9" s="55" t="s">
        <v>62</v>
      </c>
    </row>
    <row r="10" spans="2:30" ht="12.75">
      <c r="B10" s="4" t="s">
        <v>61</v>
      </c>
      <c r="C10" s="4"/>
      <c r="D10" s="4" t="s">
        <v>28</v>
      </c>
      <c r="E10" s="13"/>
      <c r="F10" s="54">
        <f>14.67*2000</f>
        <v>29340</v>
      </c>
      <c r="H10" s="54">
        <f>14.47*2000</f>
        <v>28940</v>
      </c>
      <c r="I10" s="13"/>
      <c r="J10" s="54">
        <f>14.64*2000</f>
        <v>29280</v>
      </c>
      <c r="K10" s="13"/>
      <c r="L10" s="54">
        <v>2358</v>
      </c>
      <c r="M10" s="55"/>
      <c r="N10" s="54">
        <v>2239.2</v>
      </c>
      <c r="O10" s="13"/>
      <c r="P10" s="54">
        <v>2331.6</v>
      </c>
      <c r="Q10" s="4"/>
      <c r="R10" s="54">
        <v>198</v>
      </c>
      <c r="S10" s="55"/>
      <c r="T10" s="35">
        <v>194.1</v>
      </c>
      <c r="U10" s="13"/>
      <c r="V10" s="35">
        <v>210.7</v>
      </c>
      <c r="X10" s="36">
        <f>F10+L10+R10</f>
        <v>31896</v>
      </c>
      <c r="Y10" s="55"/>
      <c r="Z10" s="36">
        <f>H10+N10+T10</f>
        <v>31373.3</v>
      </c>
      <c r="AA10" s="18"/>
      <c r="AB10" s="36">
        <f>J10+P10+V10</f>
        <v>31822.3</v>
      </c>
      <c r="AD10" s="107">
        <f>AVERAGE(X10,Z10,AB10)</f>
        <v>31697.2</v>
      </c>
    </row>
    <row r="11" spans="2:30" ht="12.75">
      <c r="B11" s="4" t="s">
        <v>123</v>
      </c>
      <c r="C11" s="4"/>
      <c r="D11" s="4" t="s">
        <v>124</v>
      </c>
      <c r="E11" s="13"/>
      <c r="H11" s="54"/>
      <c r="I11" s="13"/>
      <c r="J11" s="54"/>
      <c r="K11" s="13"/>
      <c r="L11" s="54">
        <v>0.89</v>
      </c>
      <c r="M11" s="55"/>
      <c r="N11" s="54">
        <v>0.866</v>
      </c>
      <c r="O11" s="13"/>
      <c r="P11" s="54">
        <v>0.904</v>
      </c>
      <c r="Q11" s="4"/>
      <c r="R11" s="54"/>
      <c r="S11" s="55"/>
      <c r="U11" s="13"/>
      <c r="X11" s="43"/>
      <c r="Y11" s="55"/>
      <c r="Z11" s="43"/>
      <c r="AA11" s="18"/>
      <c r="AB11" s="43"/>
      <c r="AD11" s="107"/>
    </row>
    <row r="12" spans="2:28" ht="12.75">
      <c r="B12" s="4" t="s">
        <v>21</v>
      </c>
      <c r="C12" s="4"/>
      <c r="D12" s="4" t="s">
        <v>22</v>
      </c>
      <c r="E12" s="13"/>
      <c r="I12" s="13"/>
      <c r="K12" s="13"/>
      <c r="L12" s="54">
        <v>12148</v>
      </c>
      <c r="M12" s="55"/>
      <c r="N12" s="35">
        <v>11165</v>
      </c>
      <c r="O12" s="13"/>
      <c r="P12" s="35">
        <v>11045</v>
      </c>
      <c r="Q12" s="4"/>
      <c r="R12" s="54"/>
      <c r="S12" s="55"/>
      <c r="U12" s="13"/>
      <c r="X12" s="36"/>
      <c r="Y12" s="55"/>
      <c r="Z12" s="36"/>
      <c r="AA12" s="18"/>
      <c r="AB12" s="36"/>
    </row>
    <row r="13" spans="2:28" ht="12.75">
      <c r="B13" s="4"/>
      <c r="C13" s="4"/>
      <c r="D13" s="4"/>
      <c r="E13" s="13"/>
      <c r="I13" s="13"/>
      <c r="K13" s="13"/>
      <c r="L13" s="54"/>
      <c r="M13" s="55"/>
      <c r="O13" s="13"/>
      <c r="Q13" s="4"/>
      <c r="R13" s="37"/>
      <c r="S13" s="55"/>
      <c r="U13" s="13"/>
      <c r="X13" s="39"/>
      <c r="Y13" s="40"/>
      <c r="Z13" s="39"/>
      <c r="AA13" s="41"/>
      <c r="AB13" s="39"/>
    </row>
    <row r="14" spans="2:30" ht="12.75">
      <c r="B14" s="4" t="s">
        <v>23</v>
      </c>
      <c r="C14" s="4"/>
      <c r="D14" s="4" t="s">
        <v>18</v>
      </c>
      <c r="E14" s="15"/>
      <c r="F14" s="37"/>
      <c r="I14" s="5"/>
      <c r="K14" s="15"/>
      <c r="L14" s="37">
        <v>2.47</v>
      </c>
      <c r="M14" s="55"/>
      <c r="N14" s="35">
        <v>1.77</v>
      </c>
      <c r="O14" s="5"/>
      <c r="P14" s="35">
        <v>1.59</v>
      </c>
      <c r="Q14" s="4"/>
      <c r="R14" s="54"/>
      <c r="S14" s="55"/>
      <c r="U14" s="5"/>
      <c r="X14" s="37"/>
      <c r="Y14" s="78"/>
      <c r="Z14" s="37"/>
      <c r="AA14" s="6"/>
      <c r="AB14" s="37"/>
      <c r="AD14" s="108"/>
    </row>
    <row r="15" spans="2:30" ht="12.75">
      <c r="B15" s="4" t="s">
        <v>24</v>
      </c>
      <c r="C15" s="4"/>
      <c r="D15" s="4" t="s">
        <v>139</v>
      </c>
      <c r="E15" s="15" t="s">
        <v>106</v>
      </c>
      <c r="F15" s="43">
        <f>50/2*F10/1000000*453.6</f>
        <v>332.71560000000005</v>
      </c>
      <c r="G15" s="55" t="s">
        <v>106</v>
      </c>
      <c r="H15" s="43">
        <f>50/2*H10/1000000*453.6</f>
        <v>328.17960000000005</v>
      </c>
      <c r="I15" s="5" t="s">
        <v>106</v>
      </c>
      <c r="J15" s="43">
        <f>50/2*J10/1000000*453.6</f>
        <v>332.03520000000003</v>
      </c>
      <c r="L15" s="54">
        <v>6663.41</v>
      </c>
      <c r="M15" s="55"/>
      <c r="N15" s="35">
        <v>4812.17</v>
      </c>
      <c r="O15" s="5"/>
      <c r="P15" s="35">
        <v>3795.43</v>
      </c>
      <c r="Q15" s="4"/>
      <c r="R15" s="54">
        <v>22731.98</v>
      </c>
      <c r="S15" s="55"/>
      <c r="T15" s="54">
        <v>21761.04</v>
      </c>
      <c r="U15" s="5"/>
      <c r="V15" s="54">
        <v>26901.45</v>
      </c>
      <c r="X15" s="36">
        <f>F15+L15+R15</f>
        <v>29728.1056</v>
      </c>
      <c r="Y15" s="55"/>
      <c r="Z15" s="36">
        <f>H15+N15+T15</f>
        <v>26901.389600000002</v>
      </c>
      <c r="AA15" s="18"/>
      <c r="AB15" s="36">
        <f>J15+P15+V15</f>
        <v>31028.9152</v>
      </c>
      <c r="AD15" s="42"/>
    </row>
    <row r="16" spans="2:30" ht="12.75">
      <c r="B16" s="4"/>
      <c r="C16" s="4"/>
      <c r="D16" s="4"/>
      <c r="E16" s="15"/>
      <c r="I16" s="5"/>
      <c r="L16" s="54"/>
      <c r="M16" s="55"/>
      <c r="O16" s="5"/>
      <c r="Q16" s="4"/>
      <c r="R16" s="54"/>
      <c r="S16" s="55"/>
      <c r="T16" s="54"/>
      <c r="U16" s="5"/>
      <c r="V16" s="54"/>
      <c r="X16" s="79"/>
      <c r="Y16" s="40"/>
      <c r="Z16" s="43"/>
      <c r="AA16" s="41"/>
      <c r="AB16" s="43"/>
      <c r="AC16" s="42"/>
      <c r="AD16" s="42"/>
    </row>
    <row r="17" spans="2:30" ht="12.75">
      <c r="B17" s="4" t="s">
        <v>108</v>
      </c>
      <c r="C17" s="4"/>
      <c r="D17" s="4" t="s">
        <v>139</v>
      </c>
      <c r="E17" s="15" t="s">
        <v>106</v>
      </c>
      <c r="F17" s="68">
        <f>0.5/2*F$10/1000000*453.6</f>
        <v>3.3271560000000004</v>
      </c>
      <c r="G17" s="55" t="s">
        <v>106</v>
      </c>
      <c r="H17" s="68">
        <f>0.5/2*H$10/1000000*453.6</f>
        <v>3.2817960000000004</v>
      </c>
      <c r="I17" s="5" t="s">
        <v>106</v>
      </c>
      <c r="J17" s="68">
        <f>0.5/2*J$10/1000000*453.6</f>
        <v>3.320352</v>
      </c>
      <c r="L17" s="68">
        <v>8.62</v>
      </c>
      <c r="M17" s="55"/>
      <c r="N17" s="68">
        <v>4.57</v>
      </c>
      <c r="O17" s="5"/>
      <c r="P17" s="68">
        <v>2.31</v>
      </c>
      <c r="Q17" s="4"/>
      <c r="R17" s="54"/>
      <c r="S17" s="55"/>
      <c r="T17" s="54"/>
      <c r="U17" s="5"/>
      <c r="V17" s="54"/>
      <c r="X17" s="43">
        <f>F17+L17+R17</f>
        <v>11.947156</v>
      </c>
      <c r="Y17" s="82"/>
      <c r="Z17" s="43">
        <f>H17+N17+T17</f>
        <v>7.851796</v>
      </c>
      <c r="AA17" s="6"/>
      <c r="AB17" s="43">
        <f>J17+P17+V17</f>
        <v>5.630352</v>
      </c>
      <c r="AD17" s="42"/>
    </row>
    <row r="18" spans="2:30" ht="12.75">
      <c r="B18" s="4" t="s">
        <v>107</v>
      </c>
      <c r="C18" s="4"/>
      <c r="D18" s="4" t="s">
        <v>139</v>
      </c>
      <c r="E18" s="15"/>
      <c r="F18" s="43">
        <v>274.55</v>
      </c>
      <c r="H18" s="68">
        <v>141.77</v>
      </c>
      <c r="I18" s="5"/>
      <c r="J18" s="68">
        <v>176.16</v>
      </c>
      <c r="L18" s="37">
        <v>1.21</v>
      </c>
      <c r="M18" s="78"/>
      <c r="N18" s="37">
        <v>0.6</v>
      </c>
      <c r="O18" s="6"/>
      <c r="P18" s="37">
        <f>0.5/2*P10/1000000*453.6</f>
        <v>0.26440344000000005</v>
      </c>
      <c r="Q18" s="4"/>
      <c r="R18" s="54">
        <v>437.37</v>
      </c>
      <c r="S18" s="55"/>
      <c r="T18" s="54">
        <v>466.14</v>
      </c>
      <c r="U18" s="5"/>
      <c r="V18" s="54">
        <v>425.34</v>
      </c>
      <c r="X18" s="43">
        <f>F18+L18+R18</f>
        <v>713.13</v>
      </c>
      <c r="Y18" s="82"/>
      <c r="Z18" s="43">
        <f>H18+N18+T18</f>
        <v>608.51</v>
      </c>
      <c r="AA18" s="6"/>
      <c r="AB18" s="43">
        <f>J18+P18+V18</f>
        <v>601.76440344</v>
      </c>
      <c r="AD18" s="42"/>
    </row>
    <row r="19" spans="2:30" ht="12.75">
      <c r="B19" s="4" t="s">
        <v>109</v>
      </c>
      <c r="C19" s="4"/>
      <c r="D19" s="4" t="s">
        <v>139</v>
      </c>
      <c r="E19" s="15"/>
      <c r="F19" s="43">
        <v>1777.28</v>
      </c>
      <c r="H19" s="43">
        <v>1627.77</v>
      </c>
      <c r="I19" s="5"/>
      <c r="J19" s="43">
        <v>1390.74</v>
      </c>
      <c r="L19" s="37">
        <v>229.26</v>
      </c>
      <c r="M19" s="55"/>
      <c r="N19" s="37">
        <v>178.84</v>
      </c>
      <c r="O19" s="5"/>
      <c r="P19" s="37">
        <v>205.19</v>
      </c>
      <c r="Q19" s="4"/>
      <c r="R19" s="54"/>
      <c r="S19" s="55"/>
      <c r="T19" s="54"/>
      <c r="U19" s="5"/>
      <c r="V19" s="54"/>
      <c r="X19" s="36">
        <f aca="true" t="shared" si="0" ref="X19:X28">F19+L19+R19</f>
        <v>2006.54</v>
      </c>
      <c r="Y19" s="36"/>
      <c r="Z19" s="36">
        <f aca="true" t="shared" si="1" ref="Z19:Z28">H19+N19+T19</f>
        <v>1806.61</v>
      </c>
      <c r="AA19" s="7"/>
      <c r="AB19" s="36">
        <f aca="true" t="shared" si="2" ref="AB19:AB28">J19+P19+V19</f>
        <v>1595.93</v>
      </c>
      <c r="AD19" s="42"/>
    </row>
    <row r="20" spans="2:30" ht="12.75">
      <c r="B20" s="4" t="s">
        <v>110</v>
      </c>
      <c r="C20" s="4"/>
      <c r="D20" s="4" t="s">
        <v>139</v>
      </c>
      <c r="E20" s="15"/>
      <c r="F20" s="68">
        <v>27.06</v>
      </c>
      <c r="H20" s="68">
        <v>26.12</v>
      </c>
      <c r="I20" s="5"/>
      <c r="J20" s="68">
        <v>30.07</v>
      </c>
      <c r="L20" s="68">
        <f>0.05/2*L$10/1000000*453.6</f>
        <v>0.02673972</v>
      </c>
      <c r="M20" s="81"/>
      <c r="N20" s="68">
        <f>0.05/2*N$10/1000000*453.6</f>
        <v>0.025392528</v>
      </c>
      <c r="O20" s="80"/>
      <c r="P20" s="68">
        <f>0.05/2*P$10/1000000*453.6</f>
        <v>0.026440344</v>
      </c>
      <c r="Q20" s="4"/>
      <c r="R20" s="54">
        <v>78.9</v>
      </c>
      <c r="S20" s="55"/>
      <c r="T20" s="54">
        <v>78.97</v>
      </c>
      <c r="U20" s="5"/>
      <c r="V20" s="54">
        <v>79.1</v>
      </c>
      <c r="X20" s="43">
        <f t="shared" si="0"/>
        <v>105.98673972</v>
      </c>
      <c r="Y20" s="82"/>
      <c r="Z20" s="43">
        <f t="shared" si="1"/>
        <v>105.115392528</v>
      </c>
      <c r="AA20" s="6"/>
      <c r="AB20" s="43">
        <f t="shared" si="2"/>
        <v>109.196440344</v>
      </c>
      <c r="AD20" s="42"/>
    </row>
    <row r="21" spans="2:30" ht="12.75">
      <c r="B21" s="4" t="s">
        <v>111</v>
      </c>
      <c r="C21" s="4"/>
      <c r="D21" s="4" t="s">
        <v>139</v>
      </c>
      <c r="E21" s="15"/>
      <c r="F21" s="68">
        <v>2.73</v>
      </c>
      <c r="G21" s="55" t="s">
        <v>106</v>
      </c>
      <c r="H21" s="68">
        <f>0.2/2*H$10/1000000*453.6</f>
        <v>1.3127184</v>
      </c>
      <c r="I21" s="5" t="s">
        <v>106</v>
      </c>
      <c r="J21" s="68">
        <f>0.2/2*J$10/1000000*453.6</f>
        <v>1.3281408000000001</v>
      </c>
      <c r="L21" s="37">
        <v>3.03</v>
      </c>
      <c r="M21" s="78"/>
      <c r="N21" s="37">
        <v>1.51</v>
      </c>
      <c r="O21" s="6"/>
      <c r="P21" s="37">
        <v>1.01</v>
      </c>
      <c r="Q21" s="4"/>
      <c r="R21" s="54">
        <v>212.06</v>
      </c>
      <c r="S21" s="55"/>
      <c r="T21" s="54">
        <v>218.14</v>
      </c>
      <c r="U21" s="5"/>
      <c r="V21" s="54">
        <v>224.72</v>
      </c>
      <c r="X21" s="43">
        <f t="shared" si="0"/>
        <v>217.82</v>
      </c>
      <c r="Y21" s="82"/>
      <c r="Z21" s="43">
        <f t="shared" si="1"/>
        <v>220.9627184</v>
      </c>
      <c r="AA21" s="6"/>
      <c r="AB21" s="43">
        <f t="shared" si="2"/>
        <v>227.0581408</v>
      </c>
      <c r="AD21" s="42"/>
    </row>
    <row r="22" spans="2:30" ht="12.75">
      <c r="B22" s="4" t="s">
        <v>112</v>
      </c>
      <c r="C22" s="4"/>
      <c r="D22" s="4" t="s">
        <v>139</v>
      </c>
      <c r="E22" s="15"/>
      <c r="F22" s="68">
        <v>736.11</v>
      </c>
      <c r="H22" s="54">
        <v>734.47</v>
      </c>
      <c r="I22" s="5"/>
      <c r="J22" s="37">
        <v>802.65</v>
      </c>
      <c r="L22" s="37">
        <v>22.34</v>
      </c>
      <c r="M22" s="78"/>
      <c r="N22" s="37">
        <v>17.5</v>
      </c>
      <c r="O22" s="6"/>
      <c r="P22" s="37">
        <v>16.37</v>
      </c>
      <c r="Q22" s="4"/>
      <c r="R22" s="54">
        <v>752.32</v>
      </c>
      <c r="S22" s="55"/>
      <c r="T22" s="54">
        <v>764.59</v>
      </c>
      <c r="U22" s="5"/>
      <c r="V22" s="54">
        <v>1051.42</v>
      </c>
      <c r="X22" s="36">
        <f t="shared" si="0"/>
        <v>1510.77</v>
      </c>
      <c r="Y22" s="36"/>
      <c r="Z22" s="36">
        <f t="shared" si="1"/>
        <v>1516.56</v>
      </c>
      <c r="AA22" s="7"/>
      <c r="AB22" s="36">
        <f t="shared" si="2"/>
        <v>1870.44</v>
      </c>
      <c r="AD22" s="42"/>
    </row>
    <row r="23" spans="2:30" ht="12.75">
      <c r="B23" s="4" t="s">
        <v>114</v>
      </c>
      <c r="C23" s="4"/>
      <c r="D23" s="4" t="s">
        <v>139</v>
      </c>
      <c r="E23" s="15"/>
      <c r="F23" s="37">
        <v>180.38</v>
      </c>
      <c r="G23" s="78"/>
      <c r="H23" s="37">
        <v>156.87</v>
      </c>
      <c r="I23" s="6"/>
      <c r="J23" s="37">
        <v>198.68</v>
      </c>
      <c r="L23" s="37">
        <v>28.4</v>
      </c>
      <c r="M23" s="78"/>
      <c r="N23" s="37">
        <v>14.82</v>
      </c>
      <c r="O23" s="6"/>
      <c r="P23" s="37">
        <v>10.22</v>
      </c>
      <c r="Q23" s="4"/>
      <c r="R23" s="36">
        <v>5649.96</v>
      </c>
      <c r="S23" s="64"/>
      <c r="T23" s="36">
        <v>5473.41</v>
      </c>
      <c r="U23" s="7"/>
      <c r="V23" s="36">
        <v>5534.88</v>
      </c>
      <c r="X23" s="36">
        <f t="shared" si="0"/>
        <v>5858.74</v>
      </c>
      <c r="Y23" s="36"/>
      <c r="Z23" s="36">
        <f t="shared" si="1"/>
        <v>5645.099999999999</v>
      </c>
      <c r="AA23" s="7"/>
      <c r="AB23" s="36">
        <f t="shared" si="2"/>
        <v>5743.78</v>
      </c>
      <c r="AD23" s="42"/>
    </row>
    <row r="24" spans="2:30" ht="12.75">
      <c r="B24" s="4" t="s">
        <v>137</v>
      </c>
      <c r="C24" s="4"/>
      <c r="D24" s="4" t="s">
        <v>139</v>
      </c>
      <c r="E24" s="15"/>
      <c r="F24" s="36">
        <v>11724.73</v>
      </c>
      <c r="G24" s="64"/>
      <c r="H24" s="36">
        <v>11840.72</v>
      </c>
      <c r="I24" s="7"/>
      <c r="J24" s="36">
        <v>11788.16</v>
      </c>
      <c r="K24" s="15"/>
      <c r="L24" s="37">
        <v>75.33</v>
      </c>
      <c r="M24" s="78"/>
      <c r="N24" s="37">
        <v>35.93</v>
      </c>
      <c r="O24" s="6"/>
      <c r="P24" s="37">
        <v>37.48</v>
      </c>
      <c r="Q24" s="4"/>
      <c r="R24" s="54"/>
      <c r="S24" s="55"/>
      <c r="T24" s="54"/>
      <c r="U24" s="5"/>
      <c r="V24" s="54"/>
      <c r="X24" s="36">
        <f t="shared" si="0"/>
        <v>11800.06</v>
      </c>
      <c r="Y24" s="36"/>
      <c r="Z24" s="36">
        <f t="shared" si="1"/>
        <v>11876.65</v>
      </c>
      <c r="AA24" s="7"/>
      <c r="AB24" s="36">
        <f t="shared" si="2"/>
        <v>11825.64</v>
      </c>
      <c r="AD24" s="42"/>
    </row>
    <row r="25" spans="2:30" ht="12.75">
      <c r="B25" s="4" t="s">
        <v>115</v>
      </c>
      <c r="C25" s="4"/>
      <c r="D25" s="4" t="s">
        <v>139</v>
      </c>
      <c r="E25" s="15" t="s">
        <v>106</v>
      </c>
      <c r="F25" s="68">
        <f>0.019/2*F$10/1000000*453.6</f>
        <v>0.12643192800000003</v>
      </c>
      <c r="G25" s="55" t="s">
        <v>106</v>
      </c>
      <c r="H25" s="68">
        <f>0.02/2*H$10/1000000*453.6</f>
        <v>0.13127184000000003</v>
      </c>
      <c r="I25" s="5" t="s">
        <v>106</v>
      </c>
      <c r="J25" s="68">
        <f>0.02/2*J$10/1000000*453.6</f>
        <v>0.13281408</v>
      </c>
      <c r="K25" s="35" t="s">
        <v>106</v>
      </c>
      <c r="L25" s="68">
        <f>0.019/2*L$10/1000000*453.6</f>
        <v>0.0101610936</v>
      </c>
      <c r="M25" s="78" t="s">
        <v>106</v>
      </c>
      <c r="N25" s="68">
        <f>0.019/2*N$10/1000000*453.6</f>
        <v>0.00964916064</v>
      </c>
      <c r="O25" s="6" t="s">
        <v>106</v>
      </c>
      <c r="P25" s="68">
        <f>0.019/2*P$10/1000000*453.6</f>
        <v>0.010047330719999999</v>
      </c>
      <c r="Q25" s="4"/>
      <c r="R25" s="54"/>
      <c r="S25" s="55"/>
      <c r="T25" s="54"/>
      <c r="U25" s="5"/>
      <c r="V25" s="54"/>
      <c r="X25" s="68">
        <f t="shared" si="0"/>
        <v>0.13659302160000003</v>
      </c>
      <c r="Y25" s="68"/>
      <c r="Z25" s="68">
        <f t="shared" si="1"/>
        <v>0.14092100064000002</v>
      </c>
      <c r="AA25" s="83"/>
      <c r="AB25" s="68">
        <f t="shared" si="2"/>
        <v>0.14286141072</v>
      </c>
      <c r="AD25" s="42"/>
    </row>
    <row r="26" spans="2:30" ht="12.75">
      <c r="B26" s="4" t="s">
        <v>116</v>
      </c>
      <c r="C26" s="4"/>
      <c r="D26" s="4" t="s">
        <v>139</v>
      </c>
      <c r="E26" s="15"/>
      <c r="F26" s="37">
        <v>449.62</v>
      </c>
      <c r="G26" s="78"/>
      <c r="H26" s="37">
        <v>458.8</v>
      </c>
      <c r="I26" s="6"/>
      <c r="J26" s="37">
        <v>505.96</v>
      </c>
      <c r="L26" s="37">
        <v>2.61</v>
      </c>
      <c r="M26" s="78"/>
      <c r="N26" s="37">
        <v>1.55</v>
      </c>
      <c r="O26" s="6"/>
      <c r="P26" s="37">
        <v>2.29</v>
      </c>
      <c r="Q26" s="4"/>
      <c r="R26" s="54"/>
      <c r="S26" s="55"/>
      <c r="T26" s="54"/>
      <c r="U26" s="5"/>
      <c r="V26" s="54"/>
      <c r="X26" s="43">
        <f t="shared" si="0"/>
        <v>452.23</v>
      </c>
      <c r="Y26" s="82"/>
      <c r="Z26" s="43">
        <f t="shared" si="1"/>
        <v>460.35</v>
      </c>
      <c r="AA26" s="6"/>
      <c r="AB26" s="43">
        <f t="shared" si="2"/>
        <v>508.25</v>
      </c>
      <c r="AD26" s="42"/>
    </row>
    <row r="27" spans="2:30" ht="12.75">
      <c r="B27" s="4" t="s">
        <v>118</v>
      </c>
      <c r="C27" s="4"/>
      <c r="D27" s="4" t="s">
        <v>139</v>
      </c>
      <c r="E27" s="15"/>
      <c r="F27" s="68">
        <v>2.69</v>
      </c>
      <c r="H27" s="68">
        <v>2.63</v>
      </c>
      <c r="I27" s="5"/>
      <c r="J27" s="68">
        <v>2.99</v>
      </c>
      <c r="L27" s="37">
        <v>3.37</v>
      </c>
      <c r="M27" s="78"/>
      <c r="N27" s="37">
        <v>0.6</v>
      </c>
      <c r="O27" s="6"/>
      <c r="P27" s="37">
        <v>0.63</v>
      </c>
      <c r="Q27" s="4"/>
      <c r="R27" s="37"/>
      <c r="S27" s="55"/>
      <c r="T27" s="37"/>
      <c r="U27" s="5"/>
      <c r="V27" s="37"/>
      <c r="X27" s="37">
        <f t="shared" si="0"/>
        <v>6.0600000000000005</v>
      </c>
      <c r="Y27" s="37"/>
      <c r="Z27" s="37">
        <f t="shared" si="1"/>
        <v>3.23</v>
      </c>
      <c r="AA27" s="6"/>
      <c r="AB27" s="37">
        <f t="shared" si="2"/>
        <v>3.62</v>
      </c>
      <c r="AD27" s="42"/>
    </row>
    <row r="28" spans="2:30" ht="12.75">
      <c r="B28" s="4" t="s">
        <v>119</v>
      </c>
      <c r="C28" s="4"/>
      <c r="D28" s="4" t="s">
        <v>139</v>
      </c>
      <c r="E28" s="15"/>
      <c r="F28" s="68">
        <v>7.23</v>
      </c>
      <c r="H28" s="68">
        <v>6.8</v>
      </c>
      <c r="I28" s="5"/>
      <c r="J28" s="68">
        <v>6.76</v>
      </c>
      <c r="K28" s="35" t="s">
        <v>106</v>
      </c>
      <c r="L28" s="68">
        <f>0.5/2*L$10/1000000*453.6</f>
        <v>0.2673972</v>
      </c>
      <c r="M28" s="78" t="s">
        <v>106</v>
      </c>
      <c r="N28" s="68">
        <f>0.5/2*N$10/1000000*453.6</f>
        <v>0.25392528</v>
      </c>
      <c r="O28" s="6" t="s">
        <v>106</v>
      </c>
      <c r="P28" s="68">
        <f>0.5/2*P$10/1000000*453.6</f>
        <v>0.26440344000000005</v>
      </c>
      <c r="Q28" s="4"/>
      <c r="R28" s="37"/>
      <c r="S28" s="55"/>
      <c r="T28" s="37"/>
      <c r="U28" s="5"/>
      <c r="V28" s="37"/>
      <c r="X28" s="37">
        <f t="shared" si="0"/>
        <v>7.4973972</v>
      </c>
      <c r="Y28" s="37"/>
      <c r="Z28" s="37">
        <f t="shared" si="1"/>
        <v>7.05392528</v>
      </c>
      <c r="AA28" s="6"/>
      <c r="AB28" s="37">
        <f t="shared" si="2"/>
        <v>7.0244034399999995</v>
      </c>
      <c r="AD28" s="42"/>
    </row>
    <row r="29" spans="2:30" ht="12.75">
      <c r="B29" s="4"/>
      <c r="C29" s="4"/>
      <c r="D29" s="4"/>
      <c r="E29" s="15"/>
      <c r="I29" s="5"/>
      <c r="L29" s="54"/>
      <c r="M29" s="55"/>
      <c r="O29" s="5"/>
      <c r="Q29" s="4"/>
      <c r="R29" s="54"/>
      <c r="S29" s="55"/>
      <c r="T29" s="54"/>
      <c r="U29" s="5"/>
      <c r="V29" s="54"/>
      <c r="X29" s="43"/>
      <c r="Y29" s="40"/>
      <c r="Z29" s="43"/>
      <c r="AA29" s="41"/>
      <c r="AB29" s="43"/>
      <c r="AC29" s="42"/>
      <c r="AD29" s="42"/>
    </row>
    <row r="30" spans="2:30" ht="12.75">
      <c r="B30" s="4"/>
      <c r="C30" s="4"/>
      <c r="D30" s="4"/>
      <c r="E30" s="15"/>
      <c r="I30" s="18"/>
      <c r="L30" s="54"/>
      <c r="M30" s="55"/>
      <c r="O30" s="18"/>
      <c r="X30" s="39"/>
      <c r="Y30" s="40"/>
      <c r="Z30" s="39"/>
      <c r="AA30" s="41"/>
      <c r="AB30" s="39"/>
      <c r="AC30" s="42"/>
      <c r="AD30" s="42"/>
    </row>
    <row r="31" spans="2:30" ht="12.75">
      <c r="B31" s="4" t="s">
        <v>37</v>
      </c>
      <c r="C31" s="4"/>
      <c r="D31" s="4" t="s">
        <v>17</v>
      </c>
      <c r="E31" s="15"/>
      <c r="F31" s="36">
        <f>'emiss 1'!G39</f>
        <v>24685</v>
      </c>
      <c r="H31" s="36">
        <f>'emiss 1'!I39</f>
        <v>25746</v>
      </c>
      <c r="I31" s="18"/>
      <c r="J31" s="36">
        <f>'emiss 1'!K39</f>
        <v>26011</v>
      </c>
      <c r="K31" s="15"/>
      <c r="L31" s="54">
        <f>$F31</f>
        <v>24685</v>
      </c>
      <c r="M31" s="55"/>
      <c r="N31" s="54">
        <f>$H31</f>
        <v>25746</v>
      </c>
      <c r="O31" s="18"/>
      <c r="P31" s="54">
        <f>$J31</f>
        <v>26011</v>
      </c>
      <c r="R31" s="54">
        <f>$F31</f>
        <v>24685</v>
      </c>
      <c r="S31" s="55"/>
      <c r="T31" s="54">
        <f>$H31</f>
        <v>25746</v>
      </c>
      <c r="U31" s="18"/>
      <c r="V31" s="54">
        <f>$J31</f>
        <v>26011</v>
      </c>
      <c r="X31" s="54">
        <f>$F31</f>
        <v>24685</v>
      </c>
      <c r="Y31" s="55"/>
      <c r="Z31" s="54">
        <f>$H31</f>
        <v>25746</v>
      </c>
      <c r="AA31" s="18"/>
      <c r="AB31" s="54">
        <f>$J31</f>
        <v>26011</v>
      </c>
      <c r="AD31" s="57">
        <f>AVERAGE(X31,Z31,AB31)</f>
        <v>25480.666666666668</v>
      </c>
    </row>
    <row r="32" spans="2:30" ht="12.75">
      <c r="B32" s="4" t="s">
        <v>38</v>
      </c>
      <c r="C32" s="4"/>
      <c r="D32" s="4" t="s">
        <v>18</v>
      </c>
      <c r="E32" s="15"/>
      <c r="F32" s="43">
        <f>'emiss 1'!G40</f>
        <v>15.7</v>
      </c>
      <c r="G32" s="58"/>
      <c r="H32" s="43">
        <f>'emiss 1'!I40</f>
        <v>15.9</v>
      </c>
      <c r="I32" s="5"/>
      <c r="J32" s="43">
        <f>'emiss 1'!K40</f>
        <v>15.3</v>
      </c>
      <c r="K32" s="15"/>
      <c r="L32" s="54">
        <f>$F32</f>
        <v>15.7</v>
      </c>
      <c r="M32" s="55"/>
      <c r="N32" s="54">
        <f>$H32</f>
        <v>15.9</v>
      </c>
      <c r="O32" s="18"/>
      <c r="P32" s="54">
        <f>$J32</f>
        <v>15.3</v>
      </c>
      <c r="Q32" s="15"/>
      <c r="R32" s="54">
        <f>$F32</f>
        <v>15.7</v>
      </c>
      <c r="S32" s="55"/>
      <c r="T32" s="54">
        <f>$H32</f>
        <v>15.9</v>
      </c>
      <c r="U32" s="18"/>
      <c r="V32" s="54">
        <f>$J32</f>
        <v>15.3</v>
      </c>
      <c r="W32" s="15"/>
      <c r="X32" s="54">
        <f>$F32</f>
        <v>15.7</v>
      </c>
      <c r="Y32" s="55"/>
      <c r="Z32" s="54">
        <f>$H32</f>
        <v>15.9</v>
      </c>
      <c r="AA32" s="18"/>
      <c r="AB32" s="54">
        <f>$J32</f>
        <v>15.3</v>
      </c>
      <c r="AD32" s="107">
        <f>AVERAGE(X32,Z32,AB32)</f>
        <v>15.633333333333335</v>
      </c>
    </row>
    <row r="33" spans="2:16" ht="12.75">
      <c r="B33" s="4"/>
      <c r="C33" s="4"/>
      <c r="D33" s="4"/>
      <c r="E33" s="15"/>
      <c r="I33" s="18"/>
      <c r="J33" s="15"/>
      <c r="K33" s="15"/>
      <c r="L33" s="13"/>
      <c r="M33" s="13"/>
      <c r="N33" s="13"/>
      <c r="O33" s="13"/>
      <c r="P33" s="13"/>
    </row>
    <row r="34" spans="2:30" ht="12.75">
      <c r="B34" s="4" t="s">
        <v>253</v>
      </c>
      <c r="C34" s="4"/>
      <c r="D34" s="4" t="s">
        <v>32</v>
      </c>
      <c r="E34" s="15"/>
      <c r="F34" s="43"/>
      <c r="H34" s="43"/>
      <c r="I34" s="18"/>
      <c r="J34" s="43"/>
      <c r="K34" s="15"/>
      <c r="L34" s="43">
        <f>L10*L12/1000000</f>
        <v>28.644984</v>
      </c>
      <c r="M34" s="13"/>
      <c r="N34" s="43">
        <f>N10*N12/1000000</f>
        <v>25.000667999999997</v>
      </c>
      <c r="O34" s="13"/>
      <c r="P34" s="43">
        <f>P10*P12/1000000</f>
        <v>25.752522</v>
      </c>
      <c r="R34" s="43"/>
      <c r="S34" s="55"/>
      <c r="T34" s="43"/>
      <c r="U34" s="18"/>
      <c r="V34" s="43"/>
      <c r="X34" s="43">
        <f>F34+L34+R34</f>
        <v>28.644984</v>
      </c>
      <c r="Y34" s="58"/>
      <c r="Z34" s="43">
        <f>H34+N34+T34</f>
        <v>25.000667999999997</v>
      </c>
      <c r="AA34" s="5"/>
      <c r="AB34" s="43">
        <f>J34+P34+V34</f>
        <v>25.752522</v>
      </c>
      <c r="AD34" s="107">
        <f>AVERAGE(X34,Z34,AB34)</f>
        <v>26.466058</v>
      </c>
    </row>
    <row r="35" spans="2:30" ht="12.75">
      <c r="B35" s="4" t="s">
        <v>250</v>
      </c>
      <c r="C35" s="4"/>
      <c r="D35" s="4" t="s">
        <v>32</v>
      </c>
      <c r="E35" s="15"/>
      <c r="F35" s="17"/>
      <c r="I35" s="5"/>
      <c r="J35" s="15"/>
      <c r="K35" s="15"/>
      <c r="L35" s="13"/>
      <c r="M35" s="13"/>
      <c r="N35" s="13"/>
      <c r="O35" s="13"/>
      <c r="P35" s="13"/>
      <c r="X35" s="63">
        <f>X31/9000*60*(21-X32)/21</f>
        <v>41.533492063492076</v>
      </c>
      <c r="Y35" s="57"/>
      <c r="Z35" s="63">
        <f>Z31/9000*60*(21-Z32)/21</f>
        <v>41.684</v>
      </c>
      <c r="AA35" s="57"/>
      <c r="AB35" s="63">
        <f>AB31/9000*60*(21-AB32)/21</f>
        <v>47.067523809523806</v>
      </c>
      <c r="AD35" s="107">
        <f>AVERAGE(X35,Z35,AB35)</f>
        <v>43.42833862433863</v>
      </c>
    </row>
    <row r="36" spans="2:16" ht="12.75">
      <c r="B36" s="4"/>
      <c r="C36" s="4"/>
      <c r="D36" s="4"/>
      <c r="E36" s="15"/>
      <c r="F36" s="17"/>
      <c r="I36" s="5"/>
      <c r="J36" s="15"/>
      <c r="K36" s="15"/>
      <c r="L36" s="13"/>
      <c r="M36" s="13"/>
      <c r="N36" s="13"/>
      <c r="O36" s="13"/>
      <c r="P36" s="13"/>
    </row>
    <row r="37" spans="2:30" ht="12.75">
      <c r="B37" s="4"/>
      <c r="C37" s="4"/>
      <c r="D37" s="4"/>
      <c r="E37" s="13"/>
      <c r="H37" s="54"/>
      <c r="I37" s="13"/>
      <c r="J37" s="54"/>
      <c r="K37" s="13"/>
      <c r="L37" s="13"/>
      <c r="M37" s="13"/>
      <c r="N37" s="13"/>
      <c r="O37" s="13"/>
      <c r="P37" s="13"/>
      <c r="X37" s="55"/>
      <c r="Z37" s="55"/>
      <c r="AB37" s="55"/>
      <c r="AD37" s="55"/>
    </row>
    <row r="38" spans="2:30" ht="12.75">
      <c r="B38" s="60" t="s">
        <v>46</v>
      </c>
      <c r="C38" s="60"/>
      <c r="D38" s="4"/>
      <c r="E38" s="13"/>
      <c r="F38" s="55"/>
      <c r="H38" s="55"/>
      <c r="I38" s="15"/>
      <c r="J38" s="55"/>
      <c r="K38" s="18"/>
      <c r="L38" s="13"/>
      <c r="M38" s="13"/>
      <c r="N38" s="13"/>
      <c r="O38" s="13"/>
      <c r="P38" s="13"/>
      <c r="Q38" s="16"/>
      <c r="R38" s="55"/>
      <c r="S38" s="55"/>
      <c r="T38" s="55"/>
      <c r="U38" s="15"/>
      <c r="V38" s="55"/>
      <c r="W38" s="16"/>
      <c r="X38" s="55"/>
      <c r="Y38" s="55"/>
      <c r="Z38" s="55"/>
      <c r="AA38" s="18"/>
      <c r="AB38" s="55"/>
      <c r="AD38" s="55"/>
    </row>
    <row r="39" spans="2:30" ht="12.75">
      <c r="B39" s="4" t="s">
        <v>23</v>
      </c>
      <c r="C39" s="4"/>
      <c r="D39" s="4" t="s">
        <v>39</v>
      </c>
      <c r="E39" s="13"/>
      <c r="F39" s="36"/>
      <c r="G39" s="64"/>
      <c r="H39" s="36"/>
      <c r="I39" s="7"/>
      <c r="J39" s="36"/>
      <c r="K39" s="13"/>
      <c r="L39" s="36">
        <f>L$10*L14/100*1/60*454*1000/(L$31*0.0283)*(21-7)/(21-L$32)</f>
        <v>1666.3950063080972</v>
      </c>
      <c r="M39" s="64"/>
      <c r="N39" s="36">
        <f>N$10*N14/100*1/60*454*1000/(N$31*0.0283)*(21-7)/(21-N$32)</f>
        <v>1129.8802397849136</v>
      </c>
      <c r="O39" s="7"/>
      <c r="P39" s="36">
        <f>P$10*P14/100*1/60*454*1000/(P$31*0.0283)*(21-7)/(21-P$32)</f>
        <v>935.9776292982928</v>
      </c>
      <c r="R39" s="36"/>
      <c r="S39" s="55"/>
      <c r="T39" s="36"/>
      <c r="U39" s="5"/>
      <c r="V39" s="36"/>
      <c r="X39" s="36"/>
      <c r="Y39" s="36"/>
      <c r="Z39" s="36"/>
      <c r="AA39" s="7"/>
      <c r="AB39" s="36"/>
      <c r="AD39" s="57"/>
    </row>
    <row r="40" spans="2:30" ht="12.75">
      <c r="B40" s="4" t="s">
        <v>24</v>
      </c>
      <c r="C40" s="4"/>
      <c r="D40" s="4" t="s">
        <v>34</v>
      </c>
      <c r="E40" s="13"/>
      <c r="F40" s="36">
        <f>F15*1/60*1000000/(F$31*0.0283)*(21-7)/(21-F$32)</f>
        <v>20967.879527664954</v>
      </c>
      <c r="G40" s="66"/>
      <c r="H40" s="36">
        <f>H15*1/60*1000000/(H$31*0.0283)*(21-7)/(21-H$32)</f>
        <v>20607.342539849717</v>
      </c>
      <c r="I40" s="67"/>
      <c r="J40" s="36">
        <f>J15*1/60*1000000/(J$31*0.0283)*(21-7)/(21-J$32)</f>
        <v>18464.713434675326</v>
      </c>
      <c r="K40" s="109"/>
      <c r="L40" s="36">
        <f>L15*1/60*1000000/(L$31*0.0283)*(21-7)/(21-L$32)</f>
        <v>419930.9504076091</v>
      </c>
      <c r="M40" s="66"/>
      <c r="N40" s="36">
        <f>N15*1/60*1000000/(N$31*0.0283)*(21-7)/(21-N$32)</f>
        <v>302170.01772806287</v>
      </c>
      <c r="O40" s="67"/>
      <c r="P40" s="36">
        <f>P15*1/60*1000000/(P$31*0.0283)*(21-7)/(21-P$32)</f>
        <v>211066.55954359588</v>
      </c>
      <c r="Q40" s="110"/>
      <c r="R40" s="36">
        <f>R15*1/60*1000000/(R$31*0.0283)*(21-7)/(21-R$32)</f>
        <v>1432579.1098021525</v>
      </c>
      <c r="S40" s="66"/>
      <c r="T40" s="36">
        <f>T15*1/60*1000000/(T$31*0.0283)*(21-7)/(21-T$32)</f>
        <v>1366438.3931949798</v>
      </c>
      <c r="U40" s="67"/>
      <c r="V40" s="36">
        <f>V15*1/60*1000000/(V$31*0.0283)*(21-7)/(21-V$32)</f>
        <v>1496008.7521661755</v>
      </c>
      <c r="W40" s="84"/>
      <c r="X40" s="65">
        <f>F40+L40+R40</f>
        <v>1873477.9397374266</v>
      </c>
      <c r="Y40" s="65"/>
      <c r="Z40" s="65">
        <f>H40+N40+T40</f>
        <v>1689215.7534628923</v>
      </c>
      <c r="AA40" s="67"/>
      <c r="AB40" s="65">
        <f>J40+P40+V40</f>
        <v>1725540.0251444466</v>
      </c>
      <c r="AD40" s="111">
        <f>AVERAGE(X40,Z40,AB40)</f>
        <v>1762744.5727815886</v>
      </c>
    </row>
    <row r="41" spans="2:30" ht="12.75">
      <c r="B41" s="4"/>
      <c r="C41" s="4"/>
      <c r="D41" s="4"/>
      <c r="E41" s="15"/>
      <c r="F41" s="7"/>
      <c r="I41" s="7"/>
      <c r="J41" s="7"/>
      <c r="K41" s="7"/>
      <c r="L41" s="7"/>
      <c r="M41" s="7"/>
      <c r="N41" s="7"/>
      <c r="O41" s="7"/>
      <c r="P41" s="7"/>
      <c r="AD41" s="111"/>
    </row>
    <row r="42" spans="2:35" ht="12.75">
      <c r="B42" s="4" t="s">
        <v>108</v>
      </c>
      <c r="C42" s="4"/>
      <c r="D42" s="4" t="s">
        <v>34</v>
      </c>
      <c r="F42" s="36">
        <f>F17*1/60*1000000/(F$31*0.0283)*(21-7)/(21-F$32)</f>
        <v>209.67879527664954</v>
      </c>
      <c r="H42" s="36">
        <f>H17*1/60*1000000/(H$31*0.0283)*(21-7)/(21-H$32)</f>
        <v>206.07342539849716</v>
      </c>
      <c r="J42" s="36">
        <f>J17*1/60*1000000/(J$31*0.0283)*(21-7)/(21-J$32)</f>
        <v>184.64713434675326</v>
      </c>
      <c r="L42" s="36">
        <f>L17*1/60*1000000/(L$31*0.0283)*(21-7)/(21-L$32)</f>
        <v>543.2360897068603</v>
      </c>
      <c r="M42" s="55"/>
      <c r="N42" s="36">
        <f>N17*1/60*1000000/(N$31*0.0283)*(21-7)/(21-N$32)</f>
        <v>286.963465758119</v>
      </c>
      <c r="P42" s="36">
        <f>P17*1/60*1000000/(P$31*0.0283)*(21-7)/(21-P$32)</f>
        <v>128.4607416144433</v>
      </c>
      <c r="R42" s="36">
        <f>R17*1/60*1000000/(R$31*0.0283)*(21-7)/(21-R$32)</f>
        <v>0</v>
      </c>
      <c r="S42" s="55"/>
      <c r="T42" s="36">
        <f>T17*1/60*1000000/(T$31*0.0283)*(21-7)/(21-T$32)</f>
        <v>0</v>
      </c>
      <c r="V42" s="36">
        <f>V17*1/60*1000000/(V$31*0.0283)*(21-7)/(21-V$32)</f>
        <v>0</v>
      </c>
      <c r="X42" s="36">
        <f aca="true" t="shared" si="3" ref="X42:X53">F42+L42+R42</f>
        <v>752.9148849835099</v>
      </c>
      <c r="Y42" s="36"/>
      <c r="Z42" s="36">
        <f aca="true" t="shared" si="4" ref="Z42:Z53">H42+N42+T42</f>
        <v>493.0368911566162</v>
      </c>
      <c r="AA42" s="7"/>
      <c r="AB42" s="36">
        <f aca="true" t="shared" si="5" ref="AB42:AB53">J42+P42+V42</f>
        <v>313.10787596119656</v>
      </c>
      <c r="AD42" s="111">
        <f aca="true" t="shared" si="6" ref="AD42:AD53">AVERAGE(X42,Z42,AB42)</f>
        <v>519.6865507004409</v>
      </c>
      <c r="AE42" s="36"/>
      <c r="AF42" s="55"/>
      <c r="AG42" s="36"/>
      <c r="AI42" s="36"/>
    </row>
    <row r="43" spans="2:35" ht="12.75">
      <c r="B43" s="4" t="s">
        <v>107</v>
      </c>
      <c r="C43" s="4"/>
      <c r="D43" s="4" t="s">
        <v>34</v>
      </c>
      <c r="F43" s="36">
        <f aca="true" t="shared" si="7" ref="F43:F53">F18*1/60*1000000/(F$31*0.0283)*(21-7)/(21-F$32)</f>
        <v>17302.258518447627</v>
      </c>
      <c r="H43" s="36">
        <f aca="true" t="shared" si="8" ref="H43:H53">H18*1/60*1000000/(H$31*0.0283)*(21-7)/(21-H$32)</f>
        <v>8902.146726592677</v>
      </c>
      <c r="J43" s="36">
        <f aca="true" t="shared" si="9" ref="J43:J53">J18*1/60*1000000/(J$31*0.0283)*(21-7)/(21-J$32)</f>
        <v>9796.382789091052</v>
      </c>
      <c r="L43" s="36">
        <f aca="true" t="shared" si="10" ref="L43:L53">L18*1/60*1000000/(L$31*0.0283)*(21-7)/(21-L$32)</f>
        <v>76.25471792868922</v>
      </c>
      <c r="M43" s="55"/>
      <c r="N43" s="36">
        <f aca="true" t="shared" si="11" ref="N43:N53">N18*1/60*1000000/(N$31*0.0283)*(21-7)/(21-N$32)</f>
        <v>37.675728545923725</v>
      </c>
      <c r="P43" s="36">
        <f aca="true" t="shared" si="12" ref="P43:P53">P18*1/60*1000000/(P$31*0.0283)*(21-7)/(21-P$32)</f>
        <v>14.703663198186133</v>
      </c>
      <c r="R43" s="36">
        <f aca="true" t="shared" si="13" ref="R43:R53">R18*1/60*1000000/(R$31*0.0283)*(21-7)/(21-R$32)</f>
        <v>27563.244611959337</v>
      </c>
      <c r="S43" s="55"/>
      <c r="T43" s="36">
        <f aca="true" t="shared" si="14" ref="T43:T53">T18*1/60*1000000/(T$31*0.0283)*(21-7)/(21-T$32)</f>
        <v>29270.273507328136</v>
      </c>
      <c r="V43" s="36">
        <f aca="true" t="shared" si="15" ref="V43:V53">V18*1/60*1000000/(V$31*0.0283)*(21-7)/(21-V$32)</f>
        <v>23653.459670254244</v>
      </c>
      <c r="X43" s="36">
        <f t="shared" si="3"/>
        <v>44941.75784833565</v>
      </c>
      <c r="Y43" s="36"/>
      <c r="Z43" s="36">
        <f t="shared" si="4"/>
        <v>38210.09596246674</v>
      </c>
      <c r="AA43" s="7"/>
      <c r="AB43" s="36">
        <f t="shared" si="5"/>
        <v>33464.546122543485</v>
      </c>
      <c r="AD43" s="111">
        <f t="shared" si="6"/>
        <v>38872.13331111529</v>
      </c>
      <c r="AE43" s="36"/>
      <c r="AF43" s="55"/>
      <c r="AG43" s="36"/>
      <c r="AI43" s="36"/>
    </row>
    <row r="44" spans="2:35" ht="12.75">
      <c r="B44" s="4" t="s">
        <v>109</v>
      </c>
      <c r="C44" s="4"/>
      <c r="D44" s="4" t="s">
        <v>34</v>
      </c>
      <c r="F44" s="36">
        <f t="shared" si="7"/>
        <v>112004.94634735599</v>
      </c>
      <c r="H44" s="36">
        <f t="shared" si="8"/>
        <v>102212.36775866376</v>
      </c>
      <c r="J44" s="36">
        <f t="shared" si="9"/>
        <v>77340.03973717353</v>
      </c>
      <c r="L44" s="36">
        <f t="shared" si="10"/>
        <v>14448.063332505197</v>
      </c>
      <c r="M44" s="55"/>
      <c r="N44" s="36">
        <f t="shared" si="11"/>
        <v>11229.878821921664</v>
      </c>
      <c r="P44" s="36">
        <f t="shared" si="12"/>
        <v>11410.761719423213</v>
      </c>
      <c r="R44" s="36">
        <f t="shared" si="13"/>
        <v>0</v>
      </c>
      <c r="S44" s="55"/>
      <c r="T44" s="36">
        <f t="shared" si="14"/>
        <v>0</v>
      </c>
      <c r="V44" s="36">
        <f t="shared" si="15"/>
        <v>0</v>
      </c>
      <c r="X44" s="36">
        <f t="shared" si="3"/>
        <v>126453.00967986119</v>
      </c>
      <c r="Y44" s="36"/>
      <c r="Z44" s="36">
        <f t="shared" si="4"/>
        <v>113442.24658058543</v>
      </c>
      <c r="AA44" s="7"/>
      <c r="AB44" s="36">
        <f t="shared" si="5"/>
        <v>88750.80145659675</v>
      </c>
      <c r="AD44" s="111">
        <f t="shared" si="6"/>
        <v>109548.68590568112</v>
      </c>
      <c r="AE44" s="36"/>
      <c r="AF44" s="55"/>
      <c r="AG44" s="36"/>
      <c r="AI44" s="36"/>
    </row>
    <row r="45" spans="2:35" ht="12.75">
      <c r="B45" s="4" t="s">
        <v>110</v>
      </c>
      <c r="C45" s="4"/>
      <c r="D45" s="4" t="s">
        <v>34</v>
      </c>
      <c r="F45" s="36">
        <f t="shared" si="7"/>
        <v>1705.3327827688674</v>
      </c>
      <c r="H45" s="36">
        <f t="shared" si="8"/>
        <v>1640.1500493658793</v>
      </c>
      <c r="J45" s="36">
        <f t="shared" si="9"/>
        <v>1672.2140694139869</v>
      </c>
      <c r="L45" s="36">
        <f t="shared" si="10"/>
        <v>1.6851486000761404</v>
      </c>
      <c r="M45" s="55"/>
      <c r="N45" s="36">
        <f t="shared" si="11"/>
        <v>1.5944699867046122</v>
      </c>
      <c r="P45" s="36">
        <f t="shared" si="12"/>
        <v>1.470366319818613</v>
      </c>
      <c r="R45" s="36">
        <f t="shared" si="13"/>
        <v>4972.311772374859</v>
      </c>
      <c r="S45" s="55"/>
      <c r="T45" s="36">
        <f t="shared" si="14"/>
        <v>4958.75380545266</v>
      </c>
      <c r="V45" s="36">
        <f t="shared" si="15"/>
        <v>4398.807212858209</v>
      </c>
      <c r="X45" s="36">
        <f t="shared" si="3"/>
        <v>6679.329703743802</v>
      </c>
      <c r="Y45" s="36"/>
      <c r="Z45" s="36">
        <f t="shared" si="4"/>
        <v>6600.498324805244</v>
      </c>
      <c r="AA45" s="7"/>
      <c r="AB45" s="36">
        <f t="shared" si="5"/>
        <v>6072.491648592015</v>
      </c>
      <c r="AD45" s="111">
        <f t="shared" si="6"/>
        <v>6450.773225713688</v>
      </c>
      <c r="AE45" s="36"/>
      <c r="AF45" s="55"/>
      <c r="AG45" s="36"/>
      <c r="AI45" s="36"/>
    </row>
    <row r="46" spans="2:35" ht="12.75">
      <c r="B46" s="4" t="s">
        <v>111</v>
      </c>
      <c r="C46" s="4"/>
      <c r="D46" s="4" t="s">
        <v>34</v>
      </c>
      <c r="F46" s="36">
        <f t="shared" si="7"/>
        <v>172.0457685498525</v>
      </c>
      <c r="H46" s="36">
        <f t="shared" si="8"/>
        <v>82.42937015939886</v>
      </c>
      <c r="J46" s="36">
        <f t="shared" si="9"/>
        <v>73.85885373870131</v>
      </c>
      <c r="L46" s="36">
        <f t="shared" si="10"/>
        <v>190.9518969619242</v>
      </c>
      <c r="M46" s="55"/>
      <c r="N46" s="36">
        <f t="shared" si="11"/>
        <v>94.81725017390804</v>
      </c>
      <c r="P46" s="36">
        <f t="shared" si="12"/>
        <v>56.166817762159184</v>
      </c>
      <c r="R46" s="36">
        <f t="shared" si="13"/>
        <v>13364.111970213087</v>
      </c>
      <c r="S46" s="55"/>
      <c r="T46" s="36">
        <f t="shared" si="14"/>
        <v>13697.639041679668</v>
      </c>
      <c r="V46" s="36">
        <f t="shared" si="15"/>
        <v>12496.838898527143</v>
      </c>
      <c r="X46" s="36">
        <f t="shared" si="3"/>
        <v>13727.109635724864</v>
      </c>
      <c r="Y46" s="36"/>
      <c r="Z46" s="36">
        <f t="shared" si="4"/>
        <v>13874.885662012974</v>
      </c>
      <c r="AA46" s="7"/>
      <c r="AB46" s="36">
        <f t="shared" si="5"/>
        <v>12626.864570028003</v>
      </c>
      <c r="AD46" s="111">
        <f t="shared" si="6"/>
        <v>13409.619955921948</v>
      </c>
      <c r="AE46" s="36"/>
      <c r="AF46" s="55"/>
      <c r="AG46" s="36"/>
      <c r="AI46" s="36"/>
    </row>
    <row r="47" spans="2:35" ht="12.75">
      <c r="B47" s="4" t="s">
        <v>112</v>
      </c>
      <c r="C47" s="4"/>
      <c r="D47" s="4" t="s">
        <v>34</v>
      </c>
      <c r="F47" s="36">
        <f t="shared" si="7"/>
        <v>46389.96728470034</v>
      </c>
      <c r="H47" s="36">
        <f t="shared" si="8"/>
        <v>46119.48724187432</v>
      </c>
      <c r="J47" s="36">
        <f t="shared" si="9"/>
        <v>44635.93690771987</v>
      </c>
      <c r="L47" s="36">
        <f t="shared" si="10"/>
        <v>1407.8763624189396</v>
      </c>
      <c r="M47" s="55"/>
      <c r="N47" s="36">
        <f t="shared" si="11"/>
        <v>1098.8754159227753</v>
      </c>
      <c r="P47" s="36">
        <f t="shared" si="12"/>
        <v>910.347333432224</v>
      </c>
      <c r="R47" s="36">
        <f t="shared" si="13"/>
        <v>47411.52842323262</v>
      </c>
      <c r="S47" s="55"/>
      <c r="T47" s="36">
        <f t="shared" si="14"/>
        <v>48010.808814879696</v>
      </c>
      <c r="V47" s="36">
        <f t="shared" si="15"/>
        <v>58470.213397514286</v>
      </c>
      <c r="X47" s="36">
        <f t="shared" si="3"/>
        <v>95209.3720703519</v>
      </c>
      <c r="Y47" s="36"/>
      <c r="Z47" s="36">
        <f t="shared" si="4"/>
        <v>95229.1714726768</v>
      </c>
      <c r="AA47" s="7"/>
      <c r="AB47" s="36">
        <f t="shared" si="5"/>
        <v>104016.49763866639</v>
      </c>
      <c r="AD47" s="111">
        <f t="shared" si="6"/>
        <v>98151.68039389835</v>
      </c>
      <c r="AE47" s="36"/>
      <c r="AF47" s="55"/>
      <c r="AG47" s="36"/>
      <c r="AI47" s="36"/>
    </row>
    <row r="48" spans="2:35" ht="12.75">
      <c r="B48" s="4" t="s">
        <v>114</v>
      </c>
      <c r="C48" s="4"/>
      <c r="D48" s="4" t="s">
        <v>34</v>
      </c>
      <c r="F48" s="36">
        <f t="shared" si="7"/>
        <v>11367.624809898312</v>
      </c>
      <c r="H48" s="36">
        <f t="shared" si="8"/>
        <v>9850.319228331757</v>
      </c>
      <c r="J48" s="36">
        <f t="shared" si="9"/>
        <v>11048.735993055236</v>
      </c>
      <c r="L48" s="36">
        <f t="shared" si="10"/>
        <v>1789.7801563427881</v>
      </c>
      <c r="M48" s="55"/>
      <c r="N48" s="36">
        <f t="shared" si="11"/>
        <v>930.5904950843159</v>
      </c>
      <c r="P48" s="36">
        <f t="shared" si="12"/>
        <v>568.3414629002643</v>
      </c>
      <c r="R48" s="36">
        <f t="shared" si="13"/>
        <v>356062.89761022886</v>
      </c>
      <c r="S48" s="55"/>
      <c r="T48" s="36">
        <f t="shared" si="14"/>
        <v>343691.18230090727</v>
      </c>
      <c r="V48" s="36">
        <f t="shared" si="15"/>
        <v>307798.61019348487</v>
      </c>
      <c r="X48" s="36">
        <f t="shared" si="3"/>
        <v>369220.30257646996</v>
      </c>
      <c r="Y48" s="36"/>
      <c r="Z48" s="36">
        <f t="shared" si="4"/>
        <v>354472.09202432336</v>
      </c>
      <c r="AA48" s="7"/>
      <c r="AB48" s="36">
        <f t="shared" si="5"/>
        <v>319415.68764944037</v>
      </c>
      <c r="AD48" s="111">
        <f t="shared" si="6"/>
        <v>347702.6940834112</v>
      </c>
      <c r="AE48" s="36"/>
      <c r="AF48" s="55"/>
      <c r="AG48" s="36"/>
      <c r="AI48" s="36"/>
    </row>
    <row r="49" spans="2:35" ht="12.75">
      <c r="B49" s="4" t="s">
        <v>137</v>
      </c>
      <c r="C49" s="4"/>
      <c r="D49" s="4" t="s">
        <v>34</v>
      </c>
      <c r="F49" s="36">
        <f t="shared" si="7"/>
        <v>738897.5032562315</v>
      </c>
      <c r="H49" s="36">
        <f t="shared" si="8"/>
        <v>743512.9208471497</v>
      </c>
      <c r="J49" s="36">
        <f t="shared" si="9"/>
        <v>655547.954921955</v>
      </c>
      <c r="L49" s="36">
        <f t="shared" si="10"/>
        <v>4747.328844271205</v>
      </c>
      <c r="M49" s="55"/>
      <c r="N49" s="36">
        <f t="shared" si="11"/>
        <v>2256.1482110917323</v>
      </c>
      <c r="P49" s="36">
        <f t="shared" si="12"/>
        <v>2084.289435372006</v>
      </c>
      <c r="R49" s="36">
        <f t="shared" si="13"/>
        <v>0</v>
      </c>
      <c r="S49" s="55"/>
      <c r="T49" s="36">
        <f t="shared" si="14"/>
        <v>0</v>
      </c>
      <c r="V49" s="36">
        <f t="shared" si="15"/>
        <v>0</v>
      </c>
      <c r="X49" s="36">
        <f t="shared" si="3"/>
        <v>743644.8321005028</v>
      </c>
      <c r="Y49" s="36"/>
      <c r="Z49" s="36">
        <f t="shared" si="4"/>
        <v>745769.0690582414</v>
      </c>
      <c r="AA49" s="7"/>
      <c r="AB49" s="36">
        <f t="shared" si="5"/>
        <v>657632.244357327</v>
      </c>
      <c r="AD49" s="111">
        <f t="shared" si="6"/>
        <v>715682.0485053571</v>
      </c>
      <c r="AE49" s="36"/>
      <c r="AF49" s="55"/>
      <c r="AG49" s="36"/>
      <c r="AI49" s="36"/>
    </row>
    <row r="50" spans="2:35" ht="12.75">
      <c r="B50" s="4" t="s">
        <v>115</v>
      </c>
      <c r="C50" s="4"/>
      <c r="D50" s="4" t="s">
        <v>34</v>
      </c>
      <c r="F50" s="36">
        <f t="shared" si="7"/>
        <v>7.967794220512682</v>
      </c>
      <c r="H50" s="36">
        <f t="shared" si="8"/>
        <v>8.242937015939887</v>
      </c>
      <c r="J50" s="36">
        <f t="shared" si="9"/>
        <v>7.3858853738701296</v>
      </c>
      <c r="K50" s="35" t="s">
        <v>106</v>
      </c>
      <c r="L50" s="36">
        <f t="shared" si="10"/>
        <v>0.6403564680289332</v>
      </c>
      <c r="M50" s="55" t="s">
        <v>106</v>
      </c>
      <c r="N50" s="36">
        <f t="shared" si="11"/>
        <v>0.6058985949477526</v>
      </c>
      <c r="O50" s="35" t="s">
        <v>106</v>
      </c>
      <c r="P50" s="36">
        <f t="shared" si="12"/>
        <v>0.5587392015310729</v>
      </c>
      <c r="R50" s="36">
        <f t="shared" si="13"/>
        <v>0</v>
      </c>
      <c r="S50" s="55"/>
      <c r="T50" s="36">
        <f t="shared" si="14"/>
        <v>0</v>
      </c>
      <c r="V50" s="36">
        <f t="shared" si="15"/>
        <v>0</v>
      </c>
      <c r="X50" s="43">
        <f t="shared" si="3"/>
        <v>8.608150688541615</v>
      </c>
      <c r="Y50" s="43"/>
      <c r="Z50" s="43">
        <f t="shared" si="4"/>
        <v>8.84883561088764</v>
      </c>
      <c r="AA50" s="5"/>
      <c r="AB50" s="43">
        <f t="shared" si="5"/>
        <v>7.944624575401202</v>
      </c>
      <c r="AD50" s="111">
        <f t="shared" si="6"/>
        <v>8.467203624943485</v>
      </c>
      <c r="AE50" s="36"/>
      <c r="AF50" s="55"/>
      <c r="AG50" s="36"/>
      <c r="AI50" s="36"/>
    </row>
    <row r="51" spans="2:35" ht="12.75">
      <c r="B51" s="4" t="s">
        <v>116</v>
      </c>
      <c r="C51" s="4"/>
      <c r="D51" s="4" t="s">
        <v>34</v>
      </c>
      <c r="F51" s="36">
        <f t="shared" si="7"/>
        <v>28335.24485545227</v>
      </c>
      <c r="H51" s="36">
        <f t="shared" si="8"/>
        <v>28809.373761449668</v>
      </c>
      <c r="J51" s="36">
        <f t="shared" si="9"/>
        <v>28136.795163308972</v>
      </c>
      <c r="L51" s="36">
        <f t="shared" si="10"/>
        <v>164.48331718502385</v>
      </c>
      <c r="M51" s="55"/>
      <c r="N51" s="36">
        <f t="shared" si="11"/>
        <v>97.32896541030294</v>
      </c>
      <c r="P51" s="36">
        <f t="shared" si="12"/>
        <v>127.34852740133125</v>
      </c>
      <c r="R51" s="36">
        <f t="shared" si="13"/>
        <v>0</v>
      </c>
      <c r="S51" s="55"/>
      <c r="T51" s="36">
        <f t="shared" si="14"/>
        <v>0</v>
      </c>
      <c r="V51" s="36">
        <f t="shared" si="15"/>
        <v>0</v>
      </c>
      <c r="X51" s="36">
        <f t="shared" si="3"/>
        <v>28499.728172637293</v>
      </c>
      <c r="Y51" s="36"/>
      <c r="Z51" s="36">
        <f t="shared" si="4"/>
        <v>28906.70272685997</v>
      </c>
      <c r="AA51" s="7"/>
      <c r="AB51" s="36">
        <f t="shared" si="5"/>
        <v>28264.143690710305</v>
      </c>
      <c r="AD51" s="111">
        <f t="shared" si="6"/>
        <v>28556.85819673586</v>
      </c>
      <c r="AE51" s="36"/>
      <c r="AF51" s="55"/>
      <c r="AG51" s="36"/>
      <c r="AI51" s="36"/>
    </row>
    <row r="52" spans="2:35" ht="12.75">
      <c r="B52" s="4" t="s">
        <v>118</v>
      </c>
      <c r="C52" s="4"/>
      <c r="D52" s="4" t="s">
        <v>34</v>
      </c>
      <c r="F52" s="36">
        <f t="shared" si="7"/>
        <v>169.52495142824296</v>
      </c>
      <c r="H52" s="36">
        <f t="shared" si="8"/>
        <v>165.14527679296563</v>
      </c>
      <c r="J52" s="36">
        <f t="shared" si="9"/>
        <v>166.27602486025347</v>
      </c>
      <c r="L52" s="36">
        <f t="shared" si="10"/>
        <v>212.37884249560554</v>
      </c>
      <c r="M52" s="55"/>
      <c r="N52" s="36">
        <f t="shared" si="11"/>
        <v>37.675728545923725</v>
      </c>
      <c r="P52" s="36">
        <f t="shared" si="12"/>
        <v>35.034747713029994</v>
      </c>
      <c r="R52" s="36">
        <f t="shared" si="13"/>
        <v>0</v>
      </c>
      <c r="S52" s="55"/>
      <c r="T52" s="36">
        <f t="shared" si="14"/>
        <v>0</v>
      </c>
      <c r="V52" s="36">
        <f t="shared" si="15"/>
        <v>0</v>
      </c>
      <c r="X52" s="36">
        <f t="shared" si="3"/>
        <v>381.9037939238485</v>
      </c>
      <c r="Y52" s="36"/>
      <c r="Z52" s="36">
        <f t="shared" si="4"/>
        <v>202.82100533888936</v>
      </c>
      <c r="AA52" s="7"/>
      <c r="AB52" s="36">
        <f t="shared" si="5"/>
        <v>201.31077257328346</v>
      </c>
      <c r="AD52" s="111">
        <f t="shared" si="6"/>
        <v>262.01185727867374</v>
      </c>
      <c r="AE52" s="36"/>
      <c r="AF52" s="55"/>
      <c r="AG52" s="36"/>
      <c r="AI52" s="36"/>
    </row>
    <row r="53" spans="2:35" ht="12.75">
      <c r="B53" s="4" t="s">
        <v>119</v>
      </c>
      <c r="C53" s="4"/>
      <c r="D53" s="4" t="s">
        <v>34</v>
      </c>
      <c r="F53" s="36">
        <f t="shared" si="7"/>
        <v>455.63769473092816</v>
      </c>
      <c r="H53" s="36">
        <f t="shared" si="8"/>
        <v>426.9915901871355</v>
      </c>
      <c r="J53" s="36">
        <f t="shared" si="9"/>
        <v>375.9284040318774</v>
      </c>
      <c r="L53" s="36">
        <f t="shared" si="10"/>
        <v>16.851486000761398</v>
      </c>
      <c r="M53" s="55"/>
      <c r="N53" s="36">
        <f t="shared" si="11"/>
        <v>15.94469986704612</v>
      </c>
      <c r="P53" s="36">
        <f t="shared" si="12"/>
        <v>14.703663198186133</v>
      </c>
      <c r="R53" s="36">
        <f t="shared" si="13"/>
        <v>0</v>
      </c>
      <c r="S53" s="55"/>
      <c r="T53" s="36">
        <f t="shared" si="14"/>
        <v>0</v>
      </c>
      <c r="V53" s="36">
        <f t="shared" si="15"/>
        <v>0</v>
      </c>
      <c r="X53" s="36">
        <f t="shared" si="3"/>
        <v>472.48918073168954</v>
      </c>
      <c r="Y53" s="36"/>
      <c r="Z53" s="36">
        <f t="shared" si="4"/>
        <v>442.9362900541816</v>
      </c>
      <c r="AA53" s="7"/>
      <c r="AB53" s="36">
        <f t="shared" si="5"/>
        <v>390.6320672300635</v>
      </c>
      <c r="AD53" s="111">
        <f t="shared" si="6"/>
        <v>435.3525126719782</v>
      </c>
      <c r="AE53" s="36"/>
      <c r="AF53" s="55"/>
      <c r="AG53" s="36"/>
      <c r="AI53" s="36"/>
    </row>
    <row r="54" spans="2:35" ht="12.75">
      <c r="B54" s="4"/>
      <c r="C54" s="4"/>
      <c r="D54" s="4"/>
      <c r="F54" s="36"/>
      <c r="H54" s="36"/>
      <c r="J54" s="36"/>
      <c r="L54" s="36"/>
      <c r="M54" s="55"/>
      <c r="N54" s="36"/>
      <c r="P54" s="36"/>
      <c r="R54" s="36"/>
      <c r="S54" s="55"/>
      <c r="T54" s="36"/>
      <c r="V54" s="36"/>
      <c r="X54" s="36"/>
      <c r="Y54" s="72"/>
      <c r="Z54" s="36"/>
      <c r="AA54" s="73"/>
      <c r="AB54" s="36"/>
      <c r="AE54" s="36"/>
      <c r="AF54" s="55"/>
      <c r="AG54" s="36"/>
      <c r="AI54" s="36"/>
    </row>
    <row r="55" spans="2:35" ht="12.75">
      <c r="B55" s="4" t="s">
        <v>35</v>
      </c>
      <c r="C55" s="4"/>
      <c r="D55" s="4" t="s">
        <v>34</v>
      </c>
      <c r="F55" s="36">
        <f>F46+F48</f>
        <v>11539.670578448166</v>
      </c>
      <c r="H55" s="36">
        <f>H46+H48</f>
        <v>9932.748598491156</v>
      </c>
      <c r="J55" s="36">
        <f>J46+J48</f>
        <v>11122.594846793936</v>
      </c>
      <c r="L55" s="36">
        <f>L46+L48</f>
        <v>1980.7320533047123</v>
      </c>
      <c r="M55" s="55"/>
      <c r="N55" s="36">
        <f>N46+N48</f>
        <v>1025.407745258224</v>
      </c>
      <c r="P55" s="36">
        <f>P46+P48</f>
        <v>624.5082806624235</v>
      </c>
      <c r="R55" s="36">
        <f>R46+R48</f>
        <v>369427.0095804419</v>
      </c>
      <c r="S55" s="55"/>
      <c r="T55" s="36">
        <f>T46+T48</f>
        <v>357388.82134258695</v>
      </c>
      <c r="V55" s="36">
        <f>V46+V48</f>
        <v>320295.449092012</v>
      </c>
      <c r="X55" s="36">
        <f>F55+L55+R55</f>
        <v>382947.4122121948</v>
      </c>
      <c r="Y55" s="36"/>
      <c r="Z55" s="36">
        <f>H55+N55+T55</f>
        <v>368346.9776863363</v>
      </c>
      <c r="AA55" s="7"/>
      <c r="AB55" s="36">
        <f>J55+P55+V55</f>
        <v>332042.5522194684</v>
      </c>
      <c r="AD55" s="57">
        <f>AVERAGE(X55,Z55,AB55)</f>
        <v>361112.3140393332</v>
      </c>
      <c r="AE55" s="36"/>
      <c r="AF55" s="55"/>
      <c r="AG55" s="36"/>
      <c r="AI55" s="36"/>
    </row>
    <row r="56" spans="2:35" ht="12.75">
      <c r="B56" s="4" t="s">
        <v>36</v>
      </c>
      <c r="C56" s="4"/>
      <c r="D56" s="4" t="s">
        <v>34</v>
      </c>
      <c r="F56" s="36">
        <f>F43+F45+F47</f>
        <v>65397.558585916835</v>
      </c>
      <c r="H56" s="36">
        <f>H43+H45+H47</f>
        <v>56661.78401783288</v>
      </c>
      <c r="J56" s="36">
        <f>J43+J45+J47</f>
        <v>56104.53376622491</v>
      </c>
      <c r="L56" s="36">
        <f>L43+L45+L47</f>
        <v>1485.816228947705</v>
      </c>
      <c r="M56" s="55"/>
      <c r="N56" s="36">
        <f>N43+N45+N47</f>
        <v>1138.1456144554036</v>
      </c>
      <c r="P56" s="36">
        <f>P43+P45+P47</f>
        <v>926.5213629502288</v>
      </c>
      <c r="R56" s="36">
        <f>R43+R45+R47</f>
        <v>79947.08480756682</v>
      </c>
      <c r="S56" s="55"/>
      <c r="T56" s="36">
        <f>T43+T45+T47</f>
        <v>82239.8361276605</v>
      </c>
      <c r="V56" s="36">
        <f>V43+V45+V47</f>
        <v>86522.48028062674</v>
      </c>
      <c r="X56" s="36">
        <f>F56+L56+R56</f>
        <v>146830.45962243137</v>
      </c>
      <c r="Y56" s="36"/>
      <c r="Z56" s="36">
        <f>H56+N56+T56</f>
        <v>140039.7657599488</v>
      </c>
      <c r="AA56" s="7"/>
      <c r="AB56" s="36">
        <f>J56+P56+V56</f>
        <v>143553.53540980187</v>
      </c>
      <c r="AD56" s="57">
        <f>AVERAGE(X56,Z56,AB56)</f>
        <v>143474.58693072735</v>
      </c>
      <c r="AE56" s="36"/>
      <c r="AF56" s="55"/>
      <c r="AG56" s="36"/>
      <c r="AI56" s="36"/>
    </row>
    <row r="59" spans="1:30" ht="12.75">
      <c r="A59" s="35" t="s">
        <v>58</v>
      </c>
      <c r="B59" s="16" t="s">
        <v>165</v>
      </c>
      <c r="C59" s="4" t="s">
        <v>57</v>
      </c>
      <c r="D59" s="4"/>
      <c r="E59" s="13"/>
      <c r="F59" s="55" t="s">
        <v>171</v>
      </c>
      <c r="H59" s="55" t="s">
        <v>172</v>
      </c>
      <c r="I59" s="15"/>
      <c r="J59" s="55" t="s">
        <v>173</v>
      </c>
      <c r="K59" s="18"/>
      <c r="L59" s="55" t="s">
        <v>171</v>
      </c>
      <c r="M59" s="55"/>
      <c r="N59" s="55" t="s">
        <v>172</v>
      </c>
      <c r="O59" s="15"/>
      <c r="P59" s="55" t="s">
        <v>173</v>
      </c>
      <c r="Q59" s="16"/>
      <c r="R59" s="55" t="s">
        <v>171</v>
      </c>
      <c r="S59" s="55"/>
      <c r="T59" s="55" t="s">
        <v>172</v>
      </c>
      <c r="U59" s="15"/>
      <c r="V59" s="55" t="s">
        <v>173</v>
      </c>
      <c r="W59" s="16"/>
      <c r="X59" s="55" t="s">
        <v>171</v>
      </c>
      <c r="Y59" s="55"/>
      <c r="Z59" s="55" t="s">
        <v>172</v>
      </c>
      <c r="AA59" s="15"/>
      <c r="AB59" s="55" t="s">
        <v>173</v>
      </c>
      <c r="AD59" s="55" t="s">
        <v>170</v>
      </c>
    </row>
    <row r="60" spans="2:30" ht="12.75">
      <c r="B60" s="16"/>
      <c r="C60" s="4"/>
      <c r="D60" s="4"/>
      <c r="E60" s="13"/>
      <c r="F60" s="55"/>
      <c r="H60" s="55"/>
      <c r="I60" s="15"/>
      <c r="J60" s="55"/>
      <c r="K60" s="18"/>
      <c r="L60" s="55"/>
      <c r="M60" s="55"/>
      <c r="N60" s="55"/>
      <c r="O60" s="15"/>
      <c r="P60" s="55"/>
      <c r="Q60" s="16"/>
      <c r="R60" s="55"/>
      <c r="S60" s="55"/>
      <c r="T60" s="55"/>
      <c r="U60" s="15"/>
      <c r="V60" s="55"/>
      <c r="W60" s="16"/>
      <c r="X60" s="55"/>
      <c r="Y60" s="55"/>
      <c r="Z60" s="55"/>
      <c r="AA60" s="15"/>
      <c r="AB60" s="55"/>
      <c r="AD60" s="55"/>
    </row>
    <row r="61" spans="2:30" ht="12.75">
      <c r="B61" s="8" t="s">
        <v>241</v>
      </c>
      <c r="C61" s="4"/>
      <c r="D61" s="4"/>
      <c r="E61" s="13"/>
      <c r="F61" s="55" t="s">
        <v>244</v>
      </c>
      <c r="H61" s="55" t="s">
        <v>244</v>
      </c>
      <c r="I61" s="15"/>
      <c r="J61" s="55" t="s">
        <v>244</v>
      </c>
      <c r="K61" s="18"/>
      <c r="L61" s="55" t="s">
        <v>246</v>
      </c>
      <c r="M61" s="55"/>
      <c r="N61" s="55" t="s">
        <v>246</v>
      </c>
      <c r="O61" s="15"/>
      <c r="P61" s="55" t="s">
        <v>246</v>
      </c>
      <c r="Q61" s="16"/>
      <c r="R61" s="55" t="s">
        <v>247</v>
      </c>
      <c r="S61" s="55"/>
      <c r="T61" s="55" t="s">
        <v>247</v>
      </c>
      <c r="U61" s="15"/>
      <c r="V61" s="55" t="s">
        <v>247</v>
      </c>
      <c r="W61" s="16"/>
      <c r="X61" s="55" t="s">
        <v>248</v>
      </c>
      <c r="Y61" s="55"/>
      <c r="Z61" s="55" t="s">
        <v>248</v>
      </c>
      <c r="AA61" s="15"/>
      <c r="AB61" s="55" t="s">
        <v>248</v>
      </c>
      <c r="AD61" s="55" t="s">
        <v>248</v>
      </c>
    </row>
    <row r="62" spans="1:30" ht="12.75">
      <c r="A62" s="56"/>
      <c r="B62" s="8" t="s">
        <v>242</v>
      </c>
      <c r="C62" s="4"/>
      <c r="D62" s="4"/>
      <c r="E62" s="13"/>
      <c r="F62" s="35" t="s">
        <v>243</v>
      </c>
      <c r="G62" s="35"/>
      <c r="H62" s="35" t="s">
        <v>243</v>
      </c>
      <c r="J62" s="35" t="s">
        <v>243</v>
      </c>
      <c r="L62" s="35" t="s">
        <v>245</v>
      </c>
      <c r="N62" s="35" t="s">
        <v>245</v>
      </c>
      <c r="P62" s="35" t="s">
        <v>245</v>
      </c>
      <c r="R62" s="106" t="s">
        <v>33</v>
      </c>
      <c r="S62" s="106"/>
      <c r="T62" s="106" t="s">
        <v>33</v>
      </c>
      <c r="U62" s="106"/>
      <c r="V62" s="106" t="s">
        <v>33</v>
      </c>
      <c r="X62" s="106" t="s">
        <v>62</v>
      </c>
      <c r="Y62" s="106"/>
      <c r="Z62" s="106" t="s">
        <v>62</v>
      </c>
      <c r="AA62" s="106"/>
      <c r="AB62" s="106" t="s">
        <v>62</v>
      </c>
      <c r="AD62" s="55" t="s">
        <v>62</v>
      </c>
    </row>
    <row r="63" spans="1:30" ht="12.75">
      <c r="A63" s="56"/>
      <c r="B63" s="8" t="s">
        <v>249</v>
      </c>
      <c r="C63" s="4"/>
      <c r="D63" s="4"/>
      <c r="E63" s="13"/>
      <c r="F63" s="35" t="s">
        <v>140</v>
      </c>
      <c r="G63" s="35"/>
      <c r="H63" s="35" t="s">
        <v>140</v>
      </c>
      <c r="J63" s="35" t="s">
        <v>140</v>
      </c>
      <c r="L63" s="35" t="s">
        <v>40</v>
      </c>
      <c r="N63" s="35" t="s">
        <v>40</v>
      </c>
      <c r="P63" s="35" t="s">
        <v>40</v>
      </c>
      <c r="R63" s="106" t="s">
        <v>33</v>
      </c>
      <c r="S63" s="106"/>
      <c r="T63" s="106" t="s">
        <v>33</v>
      </c>
      <c r="U63" s="106"/>
      <c r="V63" s="106" t="s">
        <v>33</v>
      </c>
      <c r="X63" s="106" t="s">
        <v>62</v>
      </c>
      <c r="Y63" s="106"/>
      <c r="Z63" s="106" t="s">
        <v>62</v>
      </c>
      <c r="AA63" s="106"/>
      <c r="AB63" s="106" t="s">
        <v>62</v>
      </c>
      <c r="AD63" s="55" t="s">
        <v>62</v>
      </c>
    </row>
    <row r="64" spans="2:30" ht="12.75">
      <c r="B64" s="4" t="s">
        <v>20</v>
      </c>
      <c r="C64" s="16"/>
      <c r="D64" s="15"/>
      <c r="E64" s="13"/>
      <c r="F64" s="35" t="s">
        <v>243</v>
      </c>
      <c r="G64" s="35"/>
      <c r="H64" s="35" t="s">
        <v>243</v>
      </c>
      <c r="J64" s="35" t="s">
        <v>243</v>
      </c>
      <c r="K64" s="13"/>
      <c r="L64" s="105" t="s">
        <v>138</v>
      </c>
      <c r="M64" s="55"/>
      <c r="N64" s="105" t="s">
        <v>138</v>
      </c>
      <c r="O64" s="13"/>
      <c r="P64" s="105" t="s">
        <v>138</v>
      </c>
      <c r="Q64" s="106"/>
      <c r="R64" s="106" t="s">
        <v>33</v>
      </c>
      <c r="S64" s="106"/>
      <c r="T64" s="106" t="s">
        <v>33</v>
      </c>
      <c r="U64" s="106"/>
      <c r="V64" s="106" t="s">
        <v>33</v>
      </c>
      <c r="W64" s="106"/>
      <c r="X64" s="106" t="s">
        <v>62</v>
      </c>
      <c r="Y64" s="106"/>
      <c r="Z64" s="106" t="s">
        <v>62</v>
      </c>
      <c r="AA64" s="106"/>
      <c r="AB64" s="106" t="s">
        <v>62</v>
      </c>
      <c r="AD64" s="55" t="s">
        <v>62</v>
      </c>
    </row>
    <row r="65" spans="2:30" ht="12.75">
      <c r="B65" s="4" t="s">
        <v>61</v>
      </c>
      <c r="C65" s="4"/>
      <c r="D65" s="4" t="s">
        <v>254</v>
      </c>
      <c r="E65" s="13"/>
      <c r="H65" s="54"/>
      <c r="I65" s="13"/>
      <c r="J65" s="54"/>
      <c r="K65" s="13"/>
      <c r="L65" s="54">
        <v>40.52</v>
      </c>
      <c r="M65" s="55"/>
      <c r="N65" s="54">
        <v>40.54</v>
      </c>
      <c r="O65" s="13"/>
      <c r="P65" s="54">
        <v>38.18</v>
      </c>
      <c r="Q65" s="4"/>
      <c r="R65" s="54"/>
      <c r="S65" s="55"/>
      <c r="U65" s="13"/>
      <c r="X65" s="36"/>
      <c r="Y65" s="55"/>
      <c r="Z65" s="36"/>
      <c r="AA65" s="18"/>
      <c r="AB65" s="36"/>
      <c r="AD65" s="107"/>
    </row>
    <row r="66" spans="2:30" ht="12.75">
      <c r="B66" s="4" t="s">
        <v>123</v>
      </c>
      <c r="C66" s="4"/>
      <c r="D66" s="4" t="s">
        <v>124</v>
      </c>
      <c r="E66" s="13"/>
      <c r="H66" s="54"/>
      <c r="I66" s="13"/>
      <c r="J66" s="54"/>
      <c r="K66" s="13"/>
      <c r="L66" s="54">
        <v>0.89</v>
      </c>
      <c r="M66" s="55"/>
      <c r="N66" s="54">
        <v>0.913</v>
      </c>
      <c r="O66" s="13"/>
      <c r="P66" s="54">
        <v>0.908</v>
      </c>
      <c r="Q66" s="4"/>
      <c r="R66" s="54"/>
      <c r="S66" s="55"/>
      <c r="U66" s="13"/>
      <c r="X66" s="43"/>
      <c r="Y66" s="55"/>
      <c r="Z66" s="43"/>
      <c r="AA66" s="18"/>
      <c r="AB66" s="43"/>
      <c r="AD66" s="107"/>
    </row>
    <row r="67" spans="12:13" ht="12.75">
      <c r="L67" s="54"/>
      <c r="M67" s="55"/>
    </row>
    <row r="68" spans="2:16" ht="12.75">
      <c r="B68" s="4" t="s">
        <v>21</v>
      </c>
      <c r="C68" s="4"/>
      <c r="D68" s="4" t="s">
        <v>22</v>
      </c>
      <c r="L68" s="54">
        <v>12635</v>
      </c>
      <c r="M68" s="55"/>
      <c r="N68" s="35">
        <v>11549</v>
      </c>
      <c r="P68" s="35">
        <v>11586</v>
      </c>
    </row>
    <row r="69" spans="2:13" ht="12.75">
      <c r="B69" s="4"/>
      <c r="C69" s="4"/>
      <c r="D69" s="4"/>
      <c r="L69" s="54"/>
      <c r="M69" s="55"/>
    </row>
    <row r="70" spans="2:16" ht="12.75">
      <c r="B70" s="4" t="s">
        <v>23</v>
      </c>
      <c r="C70" s="4"/>
      <c r="D70" s="4" t="s">
        <v>18</v>
      </c>
      <c r="L70" s="54">
        <v>1.74</v>
      </c>
      <c r="M70" s="55"/>
      <c r="N70" s="35">
        <v>2.77</v>
      </c>
      <c r="P70" s="35">
        <v>2.88</v>
      </c>
    </row>
    <row r="71" spans="2:16" ht="12.75">
      <c r="B71" s="4" t="s">
        <v>24</v>
      </c>
      <c r="C71" s="4"/>
      <c r="D71" s="4" t="s">
        <v>18</v>
      </c>
      <c r="F71" s="54">
        <f>0.04/2</f>
        <v>0.02</v>
      </c>
      <c r="H71" s="54">
        <f>0.04/2</f>
        <v>0.02</v>
      </c>
      <c r="J71" s="54">
        <f>0.036/2</f>
        <v>0.018</v>
      </c>
      <c r="L71" s="54">
        <v>0.35</v>
      </c>
      <c r="M71" s="55"/>
      <c r="N71" s="35">
        <v>0.39</v>
      </c>
      <c r="P71" s="35">
        <v>0.7</v>
      </c>
    </row>
    <row r="73" spans="2:30" ht="12.75">
      <c r="B73" s="59" t="s">
        <v>24</v>
      </c>
      <c r="D73" s="59" t="s">
        <v>139</v>
      </c>
      <c r="AD73" s="35">
        <v>35161</v>
      </c>
    </row>
    <row r="75" spans="2:30" ht="12.75">
      <c r="B75" s="4" t="s">
        <v>37</v>
      </c>
      <c r="C75" s="4"/>
      <c r="D75" s="4" t="s">
        <v>17</v>
      </c>
      <c r="E75" s="15"/>
      <c r="F75" s="36">
        <f>'emiss 1'!G84</f>
        <v>25358</v>
      </c>
      <c r="H75" s="36">
        <f>'emiss 1'!I84</f>
        <v>25673</v>
      </c>
      <c r="J75" s="36">
        <f>'emiss 1'!K84</f>
        <v>26765</v>
      </c>
      <c r="K75" s="15"/>
      <c r="L75" s="54">
        <f>$F75</f>
        <v>25358</v>
      </c>
      <c r="M75" s="55"/>
      <c r="N75" s="54">
        <f>$H75</f>
        <v>25673</v>
      </c>
      <c r="O75" s="18"/>
      <c r="P75" s="54">
        <f>$J75</f>
        <v>26765</v>
      </c>
      <c r="R75" s="54">
        <f>$F75</f>
        <v>25358</v>
      </c>
      <c r="S75" s="55"/>
      <c r="T75" s="54">
        <f>$H75</f>
        <v>25673</v>
      </c>
      <c r="U75" s="18"/>
      <c r="V75" s="54">
        <f>$J75</f>
        <v>26765</v>
      </c>
      <c r="X75" s="54">
        <f>$F75</f>
        <v>25358</v>
      </c>
      <c r="Y75" s="55"/>
      <c r="Z75" s="54">
        <f>$H75</f>
        <v>25673</v>
      </c>
      <c r="AA75" s="18"/>
      <c r="AB75" s="54">
        <f>$J75</f>
        <v>26765</v>
      </c>
      <c r="AD75" s="57">
        <f>AVERAGE(X75,Z75,AB75)</f>
        <v>25932</v>
      </c>
    </row>
    <row r="76" spans="2:30" ht="12.75">
      <c r="B76" s="4" t="s">
        <v>38</v>
      </c>
      <c r="C76" s="4"/>
      <c r="D76" s="4" t="s">
        <v>18</v>
      </c>
      <c r="E76" s="15"/>
      <c r="F76" s="43">
        <f>'emiss 1'!G85</f>
        <v>16</v>
      </c>
      <c r="H76" s="43">
        <f>'emiss 1'!I85</f>
        <v>16</v>
      </c>
      <c r="J76" s="43">
        <f>'emiss 1'!K85</f>
        <v>15.8</v>
      </c>
      <c r="K76" s="15"/>
      <c r="L76" s="54">
        <f>$F76</f>
        <v>16</v>
      </c>
      <c r="M76" s="55"/>
      <c r="N76" s="54">
        <f>$H76</f>
        <v>16</v>
      </c>
      <c r="O76" s="18"/>
      <c r="P76" s="54">
        <f>$J76</f>
        <v>15.8</v>
      </c>
      <c r="Q76" s="15"/>
      <c r="R76" s="54">
        <f>$F76</f>
        <v>16</v>
      </c>
      <c r="S76" s="55"/>
      <c r="T76" s="54">
        <f>$H76</f>
        <v>16</v>
      </c>
      <c r="U76" s="18"/>
      <c r="V76" s="54">
        <f>$J76</f>
        <v>15.8</v>
      </c>
      <c r="W76" s="15"/>
      <c r="X76" s="54">
        <f>$F76</f>
        <v>16</v>
      </c>
      <c r="Y76" s="55"/>
      <c r="Z76" s="54">
        <f>$H76</f>
        <v>16</v>
      </c>
      <c r="AA76" s="18"/>
      <c r="AB76" s="54">
        <f>$J76</f>
        <v>15.8</v>
      </c>
      <c r="AD76" s="107">
        <f>AVERAGE(X76,Z76,AB76)</f>
        <v>15.933333333333332</v>
      </c>
    </row>
    <row r="77" spans="2:5" ht="12.75">
      <c r="B77" s="4"/>
      <c r="C77" s="4"/>
      <c r="D77" s="4"/>
      <c r="E77" s="15"/>
    </row>
    <row r="78" spans="2:30" ht="12.75">
      <c r="B78" s="4" t="s">
        <v>253</v>
      </c>
      <c r="C78" s="4"/>
      <c r="D78" s="4" t="s">
        <v>32</v>
      </c>
      <c r="E78" s="15"/>
      <c r="F78" s="43"/>
      <c r="L78" s="107">
        <f>L65*60*L68/1000000</f>
        <v>30.718212000000005</v>
      </c>
      <c r="M78" s="107"/>
      <c r="N78" s="107">
        <f>N65*60*N68/1000000</f>
        <v>28.0917876</v>
      </c>
      <c r="O78" s="107"/>
      <c r="P78" s="107">
        <f>P65*60*P68/1000000</f>
        <v>26.5412088</v>
      </c>
      <c r="X78" s="107">
        <f>L78</f>
        <v>30.718212000000005</v>
      </c>
      <c r="Z78" s="107">
        <f>N78</f>
        <v>28.0917876</v>
      </c>
      <c r="AB78" s="107">
        <f>P78</f>
        <v>26.5412088</v>
      </c>
      <c r="AD78" s="107">
        <f>AVERAGE(X78,Z78,AB78)</f>
        <v>28.450402800000003</v>
      </c>
    </row>
    <row r="79" spans="2:30" ht="12.75">
      <c r="B79" s="4" t="s">
        <v>250</v>
      </c>
      <c r="C79" s="4"/>
      <c r="D79" s="4" t="s">
        <v>32</v>
      </c>
      <c r="E79" s="15"/>
      <c r="F79" s="17"/>
      <c r="X79" s="63">
        <f>X75/9000*60*(21-X76)/21</f>
        <v>40.250793650793646</v>
      </c>
      <c r="Y79" s="57"/>
      <c r="Z79" s="63">
        <f>Z75/9000*60*(21-Z76)/21</f>
        <v>40.75079365079365</v>
      </c>
      <c r="AA79" s="57"/>
      <c r="AB79" s="63">
        <f>AB75/9000*60*(21-AB76)/21</f>
        <v>44.18349206349206</v>
      </c>
      <c r="AD79" s="107">
        <f>AVERAGE(X79,Z79,AB79)</f>
        <v>41.72835978835979</v>
      </c>
    </row>
    <row r="81" ht="12.75">
      <c r="B81" s="60" t="s">
        <v>46</v>
      </c>
    </row>
    <row r="82" spans="2:30" ht="12.75">
      <c r="B82" s="59" t="s">
        <v>24</v>
      </c>
      <c r="D82" s="59" t="s">
        <v>34</v>
      </c>
      <c r="AD82" s="84">
        <f>AD73*1/60*1000000/(AD75*0.0283)*(21-7)/(21-AD$76)</f>
        <v>2206445.586891522</v>
      </c>
    </row>
    <row r="85" spans="1:30" ht="12.75">
      <c r="A85" s="35" t="s">
        <v>58</v>
      </c>
      <c r="B85" s="16" t="s">
        <v>166</v>
      </c>
      <c r="C85" s="4" t="s">
        <v>57</v>
      </c>
      <c r="D85" s="4"/>
      <c r="E85" s="13"/>
      <c r="F85" s="55" t="s">
        <v>171</v>
      </c>
      <c r="H85" s="55" t="s">
        <v>172</v>
      </c>
      <c r="I85" s="15"/>
      <c r="J85" s="55" t="s">
        <v>173</v>
      </c>
      <c r="K85" s="18"/>
      <c r="L85" s="55" t="s">
        <v>171</v>
      </c>
      <c r="M85" s="55"/>
      <c r="N85" s="55" t="s">
        <v>172</v>
      </c>
      <c r="O85" s="15"/>
      <c r="P85" s="55" t="s">
        <v>173</v>
      </c>
      <c r="Q85" s="16"/>
      <c r="R85" s="55" t="s">
        <v>171</v>
      </c>
      <c r="S85" s="55"/>
      <c r="T85" s="55" t="s">
        <v>172</v>
      </c>
      <c r="U85" s="15"/>
      <c r="V85" s="55" t="s">
        <v>173</v>
      </c>
      <c r="W85" s="16"/>
      <c r="X85" s="55" t="s">
        <v>171</v>
      </c>
      <c r="Y85" s="55"/>
      <c r="Z85" s="55" t="s">
        <v>172</v>
      </c>
      <c r="AA85" s="15"/>
      <c r="AB85" s="55" t="s">
        <v>173</v>
      </c>
      <c r="AD85" s="55" t="s">
        <v>170</v>
      </c>
    </row>
    <row r="86" spans="2:30" ht="12.75">
      <c r="B86" s="16"/>
      <c r="C86" s="4"/>
      <c r="D86" s="4"/>
      <c r="E86" s="13"/>
      <c r="F86" s="55"/>
      <c r="H86" s="55"/>
      <c r="I86" s="15"/>
      <c r="J86" s="55"/>
      <c r="K86" s="18"/>
      <c r="L86" s="55"/>
      <c r="M86" s="55"/>
      <c r="N86" s="55"/>
      <c r="O86" s="15"/>
      <c r="P86" s="55"/>
      <c r="Q86" s="16"/>
      <c r="R86" s="55"/>
      <c r="S86" s="55"/>
      <c r="T86" s="55"/>
      <c r="U86" s="15"/>
      <c r="V86" s="55"/>
      <c r="W86" s="16"/>
      <c r="X86" s="55"/>
      <c r="Y86" s="55"/>
      <c r="Z86" s="55"/>
      <c r="AA86" s="15"/>
      <c r="AB86" s="55"/>
      <c r="AD86" s="55"/>
    </row>
    <row r="87" spans="2:30" ht="12.75">
      <c r="B87" s="8" t="s">
        <v>241</v>
      </c>
      <c r="C87" s="4"/>
      <c r="D87" s="4"/>
      <c r="E87" s="13"/>
      <c r="F87" s="55" t="s">
        <v>244</v>
      </c>
      <c r="H87" s="55" t="s">
        <v>244</v>
      </c>
      <c r="I87" s="15"/>
      <c r="J87" s="55" t="s">
        <v>244</v>
      </c>
      <c r="K87" s="18"/>
      <c r="L87" s="55" t="s">
        <v>246</v>
      </c>
      <c r="M87" s="55"/>
      <c r="N87" s="55" t="s">
        <v>246</v>
      </c>
      <c r="O87" s="15"/>
      <c r="P87" s="55" t="s">
        <v>246</v>
      </c>
      <c r="Q87" s="16"/>
      <c r="R87" s="55" t="s">
        <v>247</v>
      </c>
      <c r="S87" s="55"/>
      <c r="T87" s="55" t="s">
        <v>247</v>
      </c>
      <c r="U87" s="15"/>
      <c r="V87" s="55" t="s">
        <v>247</v>
      </c>
      <c r="W87" s="16"/>
      <c r="X87" s="55" t="s">
        <v>248</v>
      </c>
      <c r="Y87" s="55"/>
      <c r="Z87" s="55" t="s">
        <v>248</v>
      </c>
      <c r="AA87" s="15"/>
      <c r="AB87" s="55" t="s">
        <v>248</v>
      </c>
      <c r="AD87" s="55" t="s">
        <v>248</v>
      </c>
    </row>
    <row r="88" spans="1:30" ht="12.75">
      <c r="A88" s="56"/>
      <c r="B88" s="8" t="s">
        <v>242</v>
      </c>
      <c r="C88" s="4"/>
      <c r="D88" s="4"/>
      <c r="E88" s="13"/>
      <c r="F88" s="35" t="s">
        <v>243</v>
      </c>
      <c r="G88" s="35"/>
      <c r="H88" s="35" t="s">
        <v>243</v>
      </c>
      <c r="J88" s="35" t="s">
        <v>243</v>
      </c>
      <c r="L88" s="35" t="s">
        <v>245</v>
      </c>
      <c r="N88" s="35" t="s">
        <v>245</v>
      </c>
      <c r="P88" s="35" t="s">
        <v>245</v>
      </c>
      <c r="R88" s="106" t="s">
        <v>33</v>
      </c>
      <c r="S88" s="106"/>
      <c r="T88" s="106" t="s">
        <v>33</v>
      </c>
      <c r="U88" s="106"/>
      <c r="V88" s="106" t="s">
        <v>33</v>
      </c>
      <c r="X88" s="106" t="s">
        <v>62</v>
      </c>
      <c r="Y88" s="106"/>
      <c r="Z88" s="106" t="s">
        <v>62</v>
      </c>
      <c r="AA88" s="106"/>
      <c r="AB88" s="106" t="s">
        <v>62</v>
      </c>
      <c r="AD88" s="55" t="s">
        <v>62</v>
      </c>
    </row>
    <row r="89" spans="1:30" ht="12.75">
      <c r="A89" s="56"/>
      <c r="B89" s="8" t="s">
        <v>249</v>
      </c>
      <c r="C89" s="4"/>
      <c r="D89" s="4"/>
      <c r="E89" s="13"/>
      <c r="F89" s="35" t="s">
        <v>140</v>
      </c>
      <c r="G89" s="35"/>
      <c r="H89" s="35" t="s">
        <v>140</v>
      </c>
      <c r="J89" s="35" t="s">
        <v>140</v>
      </c>
      <c r="L89" s="35" t="s">
        <v>40</v>
      </c>
      <c r="N89" s="35" t="s">
        <v>40</v>
      </c>
      <c r="P89" s="35" t="s">
        <v>40</v>
      </c>
      <c r="R89" s="106" t="s">
        <v>33</v>
      </c>
      <c r="S89" s="106"/>
      <c r="T89" s="106" t="s">
        <v>33</v>
      </c>
      <c r="U89" s="106"/>
      <c r="V89" s="106" t="s">
        <v>33</v>
      </c>
      <c r="X89" s="106" t="s">
        <v>62</v>
      </c>
      <c r="Y89" s="106"/>
      <c r="Z89" s="106" t="s">
        <v>62</v>
      </c>
      <c r="AA89" s="106"/>
      <c r="AB89" s="106" t="s">
        <v>62</v>
      </c>
      <c r="AD89" s="55" t="s">
        <v>62</v>
      </c>
    </row>
    <row r="90" spans="2:30" ht="12.75">
      <c r="B90" s="4" t="s">
        <v>20</v>
      </c>
      <c r="C90" s="16"/>
      <c r="D90" s="15"/>
      <c r="E90" s="13"/>
      <c r="F90" s="35" t="s">
        <v>243</v>
      </c>
      <c r="G90" s="35"/>
      <c r="H90" s="35" t="s">
        <v>243</v>
      </c>
      <c r="J90" s="35" t="s">
        <v>243</v>
      </c>
      <c r="K90" s="13"/>
      <c r="L90" s="105" t="s">
        <v>138</v>
      </c>
      <c r="M90" s="55"/>
      <c r="N90" s="105" t="s">
        <v>138</v>
      </c>
      <c r="O90" s="13"/>
      <c r="P90" s="105" t="s">
        <v>138</v>
      </c>
      <c r="Q90" s="106"/>
      <c r="R90" s="106" t="s">
        <v>33</v>
      </c>
      <c r="S90" s="106"/>
      <c r="T90" s="106" t="s">
        <v>33</v>
      </c>
      <c r="U90" s="106"/>
      <c r="V90" s="106" t="s">
        <v>33</v>
      </c>
      <c r="W90" s="106"/>
      <c r="X90" s="106" t="s">
        <v>62</v>
      </c>
      <c r="Y90" s="106"/>
      <c r="Z90" s="106" t="s">
        <v>62</v>
      </c>
      <c r="AA90" s="106"/>
      <c r="AB90" s="106" t="s">
        <v>62</v>
      </c>
      <c r="AD90" s="55" t="s">
        <v>62</v>
      </c>
    </row>
    <row r="91" spans="2:30" ht="12.75">
      <c r="B91" s="4" t="s">
        <v>61</v>
      </c>
      <c r="C91" s="4"/>
      <c r="D91" s="4" t="s">
        <v>254</v>
      </c>
      <c r="E91" s="13"/>
      <c r="F91" s="54">
        <v>8.84</v>
      </c>
      <c r="H91" s="54">
        <v>8.76</v>
      </c>
      <c r="I91" s="13"/>
      <c r="J91" s="54">
        <v>8.69</v>
      </c>
      <c r="K91" s="13"/>
      <c r="L91" s="54">
        <v>35.44</v>
      </c>
      <c r="M91" s="55"/>
      <c r="N91" s="54">
        <v>33</v>
      </c>
      <c r="O91" s="13"/>
      <c r="P91" s="54">
        <v>33.36</v>
      </c>
      <c r="Q91" s="4"/>
      <c r="R91" s="54"/>
      <c r="S91" s="55"/>
      <c r="U91" s="13"/>
      <c r="X91" s="36"/>
      <c r="Y91" s="55"/>
      <c r="Z91" s="36"/>
      <c r="AA91" s="18"/>
      <c r="AB91" s="36"/>
      <c r="AD91" s="107"/>
    </row>
    <row r="92" spans="2:30" ht="12.75">
      <c r="B92" s="4" t="s">
        <v>123</v>
      </c>
      <c r="C92" s="4"/>
      <c r="D92" s="4" t="s">
        <v>124</v>
      </c>
      <c r="E92" s="13"/>
      <c r="H92" s="54"/>
      <c r="I92" s="13"/>
      <c r="J92" s="54"/>
      <c r="K92" s="13"/>
      <c r="L92" s="54">
        <v>0.97</v>
      </c>
      <c r="M92" s="55"/>
      <c r="N92" s="54">
        <v>0.972</v>
      </c>
      <c r="O92" s="13"/>
      <c r="P92" s="54">
        <v>0.968</v>
      </c>
      <c r="Q92" s="4"/>
      <c r="R92" s="54"/>
      <c r="S92" s="55"/>
      <c r="U92" s="13"/>
      <c r="X92" s="43"/>
      <c r="Y92" s="55"/>
      <c r="Z92" s="43"/>
      <c r="AA92" s="18"/>
      <c r="AB92" s="43"/>
      <c r="AD92" s="107"/>
    </row>
    <row r="93" spans="12:13" ht="12.75">
      <c r="L93" s="54"/>
      <c r="M93" s="55"/>
    </row>
    <row r="94" spans="2:16" ht="12.75">
      <c r="B94" s="4" t="s">
        <v>21</v>
      </c>
      <c r="C94" s="4"/>
      <c r="D94" s="4" t="s">
        <v>22</v>
      </c>
      <c r="L94" s="54">
        <v>12353</v>
      </c>
      <c r="M94" s="55"/>
      <c r="N94" s="35">
        <v>11920</v>
      </c>
      <c r="P94" s="35">
        <v>11742</v>
      </c>
    </row>
    <row r="95" spans="2:13" ht="12.75">
      <c r="B95" s="4"/>
      <c r="C95" s="4"/>
      <c r="D95" s="4"/>
      <c r="L95" s="54"/>
      <c r="M95" s="55"/>
    </row>
    <row r="96" spans="2:16" ht="12.75">
      <c r="B96" s="4" t="s">
        <v>23</v>
      </c>
      <c r="C96" s="4"/>
      <c r="D96" s="4" t="s">
        <v>18</v>
      </c>
      <c r="L96" s="54">
        <v>6.21</v>
      </c>
      <c r="M96" s="55"/>
      <c r="N96" s="35">
        <v>6.54</v>
      </c>
      <c r="P96" s="35">
        <v>3.73</v>
      </c>
    </row>
    <row r="97" spans="2:16" ht="12.75">
      <c r="B97" s="4" t="s">
        <v>24</v>
      </c>
      <c r="C97" s="4"/>
      <c r="D97" s="4" t="s">
        <v>18</v>
      </c>
      <c r="F97" s="54">
        <f>0.019/2</f>
        <v>0.0095</v>
      </c>
      <c r="G97" s="35"/>
      <c r="H97" s="54">
        <f>0.019/2</f>
        <v>0.0095</v>
      </c>
      <c r="J97" s="54">
        <f>0.019/2</f>
        <v>0.0095</v>
      </c>
      <c r="L97" s="54">
        <v>2.63</v>
      </c>
      <c r="M97" s="55"/>
      <c r="N97" s="35">
        <v>2.7</v>
      </c>
      <c r="P97" s="35">
        <v>2.85</v>
      </c>
    </row>
    <row r="100" spans="2:30" ht="12.75">
      <c r="B100" s="4" t="s">
        <v>37</v>
      </c>
      <c r="C100" s="4"/>
      <c r="D100" s="4" t="s">
        <v>17</v>
      </c>
      <c r="E100" s="15"/>
      <c r="F100" s="36">
        <f>'emiss 1'!G103</f>
        <v>20012</v>
      </c>
      <c r="H100" s="36">
        <f>'emiss 1'!I103</f>
        <v>20050</v>
      </c>
      <c r="J100" s="36">
        <f>'emiss 1'!K103</f>
        <v>21358</v>
      </c>
      <c r="K100" s="15"/>
      <c r="L100" s="54">
        <f>$F100</f>
        <v>20012</v>
      </c>
      <c r="M100" s="55"/>
      <c r="N100" s="54">
        <f>$H100</f>
        <v>20050</v>
      </c>
      <c r="O100" s="18"/>
      <c r="P100" s="54">
        <f>$J100</f>
        <v>21358</v>
      </c>
      <c r="R100" s="54">
        <f>$F100</f>
        <v>20012</v>
      </c>
      <c r="S100" s="55"/>
      <c r="T100" s="54">
        <f>$H100</f>
        <v>20050</v>
      </c>
      <c r="U100" s="18"/>
      <c r="V100" s="54">
        <f>$J100</f>
        <v>21358</v>
      </c>
      <c r="X100" s="54">
        <f>$F100</f>
        <v>20012</v>
      </c>
      <c r="Y100" s="55"/>
      <c r="Z100" s="54">
        <f>$H100</f>
        <v>20050</v>
      </c>
      <c r="AA100" s="18"/>
      <c r="AB100" s="54">
        <f>$J100</f>
        <v>21358</v>
      </c>
      <c r="AD100" s="57">
        <f>AVERAGE(X100,Z100,AB100)</f>
        <v>20473.333333333332</v>
      </c>
    </row>
    <row r="101" spans="2:30" ht="12.75">
      <c r="B101" s="4" t="s">
        <v>38</v>
      </c>
      <c r="C101" s="4"/>
      <c r="D101" s="4" t="s">
        <v>18</v>
      </c>
      <c r="E101" s="15"/>
      <c r="F101" s="43">
        <f>'emiss 1'!G104</f>
        <v>16</v>
      </c>
      <c r="H101" s="43">
        <f>'emiss 1'!I104</f>
        <v>14.4</v>
      </c>
      <c r="J101" s="43">
        <f>'emiss 1'!K104</f>
        <v>17.6</v>
      </c>
      <c r="K101" s="15"/>
      <c r="L101" s="54">
        <f>$F101</f>
        <v>16</v>
      </c>
      <c r="M101" s="55"/>
      <c r="N101" s="54">
        <f>$H101</f>
        <v>14.4</v>
      </c>
      <c r="O101" s="18"/>
      <c r="P101" s="54">
        <f>$J101</f>
        <v>17.6</v>
      </c>
      <c r="Q101" s="15"/>
      <c r="R101" s="54">
        <f>$F101</f>
        <v>16</v>
      </c>
      <c r="S101" s="55"/>
      <c r="T101" s="54">
        <f>$H101</f>
        <v>14.4</v>
      </c>
      <c r="U101" s="18"/>
      <c r="V101" s="54">
        <f>$J101</f>
        <v>17.6</v>
      </c>
      <c r="W101" s="15"/>
      <c r="X101" s="54">
        <f>$F101</f>
        <v>16</v>
      </c>
      <c r="Y101" s="55"/>
      <c r="Z101" s="54">
        <f>$H101</f>
        <v>14.4</v>
      </c>
      <c r="AA101" s="18"/>
      <c r="AB101" s="54">
        <f>$J101</f>
        <v>17.6</v>
      </c>
      <c r="AD101" s="107">
        <f>AVERAGE(X101,Z101,AB101)</f>
        <v>16</v>
      </c>
    </row>
    <row r="102" spans="2:5" ht="12.75">
      <c r="B102" s="4"/>
      <c r="C102" s="4"/>
      <c r="D102" s="4"/>
      <c r="E102" s="15"/>
    </row>
    <row r="103" spans="2:30" ht="12.75">
      <c r="B103" s="4" t="s">
        <v>253</v>
      </c>
      <c r="C103" s="4"/>
      <c r="D103" s="4" t="s">
        <v>32</v>
      </c>
      <c r="E103" s="15"/>
      <c r="F103" s="43"/>
      <c r="L103" s="107">
        <f>L91*60*L94/1000000</f>
        <v>26.267419199999996</v>
      </c>
      <c r="M103" s="107"/>
      <c r="N103" s="107">
        <f>N91*60*N94/1000000</f>
        <v>23.6016</v>
      </c>
      <c r="O103" s="107"/>
      <c r="P103" s="107">
        <f>P91*60*P94/1000000</f>
        <v>23.5027872</v>
      </c>
      <c r="X103" s="107">
        <f>L103</f>
        <v>26.267419199999996</v>
      </c>
      <c r="Z103" s="107">
        <f>N103</f>
        <v>23.6016</v>
      </c>
      <c r="AB103" s="107">
        <f>P103</f>
        <v>23.5027872</v>
      </c>
      <c r="AD103" s="107">
        <f>AVERAGE(X103,Z103,AB103)</f>
        <v>24.457268799999998</v>
      </c>
    </row>
    <row r="104" spans="2:30" ht="12.75">
      <c r="B104" s="4" t="s">
        <v>250</v>
      </c>
      <c r="C104" s="4"/>
      <c r="D104" s="4" t="s">
        <v>32</v>
      </c>
      <c r="E104" s="15"/>
      <c r="F104" s="17"/>
      <c r="X104" s="63">
        <f>X100/9000*60*(21-X101)/21</f>
        <v>31.765079365079362</v>
      </c>
      <c r="Y104" s="57"/>
      <c r="Z104" s="63">
        <f>Z100/9000*60*(21-Z101)/21</f>
        <v>42.00952380952381</v>
      </c>
      <c r="AA104" s="57"/>
      <c r="AB104" s="63">
        <f>AB100/9000*60*(21-AB101)/21</f>
        <v>23.053079365079356</v>
      </c>
      <c r="AD104" s="107">
        <f>AVERAGE(X104,Z104,AB104)</f>
        <v>32.27589417989417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D43"/>
  <sheetViews>
    <sheetView zoomScale="75" zoomScaleNormal="75" workbookViewId="0" topLeftCell="B1">
      <selection activeCell="C2" sqref="C2"/>
    </sheetView>
  </sheetViews>
  <sheetFormatPr defaultColWidth="9.140625" defaultRowHeight="12.75"/>
  <cols>
    <col min="1" max="1" width="7.7109375" style="94" hidden="1" customWidth="1"/>
    <col min="2" max="2" width="14.57421875" style="94" bestFit="1" customWidth="1"/>
    <col min="3" max="3" width="2.57421875" style="94" customWidth="1"/>
    <col min="4" max="4" width="8.140625" style="94" customWidth="1"/>
    <col min="5" max="5" width="3.57421875" style="94" customWidth="1"/>
    <col min="6" max="6" width="8.28125" style="94" customWidth="1"/>
    <col min="7" max="7" width="3.7109375" style="94" customWidth="1"/>
    <col min="8" max="8" width="7.8515625" style="94" customWidth="1"/>
    <col min="9" max="9" width="3.57421875" style="94" customWidth="1"/>
    <col min="10" max="10" width="7.8515625" style="94" customWidth="1"/>
    <col min="11" max="11" width="4.00390625" style="94" customWidth="1"/>
    <col min="12" max="12" width="9.00390625" style="94" customWidth="1"/>
    <col min="13" max="13" width="3.8515625" style="94" customWidth="1"/>
    <col min="14" max="14" width="8.57421875" style="94" customWidth="1"/>
    <col min="15" max="15" width="4.421875" style="94" customWidth="1"/>
    <col min="16" max="16" width="8.28125" style="94" customWidth="1"/>
    <col min="17" max="17" width="2.57421875" style="94" customWidth="1"/>
    <col min="18" max="18" width="7.28125" style="94" customWidth="1"/>
    <col min="19" max="19" width="3.28125" style="94" bestFit="1" customWidth="1"/>
    <col min="20" max="20" width="7.28125" style="94" customWidth="1"/>
    <col min="21" max="21" width="3.28125" style="94" bestFit="1" customWidth="1"/>
    <col min="22" max="22" width="7.00390625" style="94" customWidth="1"/>
    <col min="23" max="23" width="4.28125" style="94" customWidth="1"/>
    <col min="24" max="24" width="9.57421875" style="94" bestFit="1" customWidth="1"/>
    <col min="25" max="25" width="4.00390625" style="94" customWidth="1"/>
    <col min="26" max="26" width="9.57421875" style="94" bestFit="1" customWidth="1"/>
    <col min="27" max="27" width="4.140625" style="94" customWidth="1"/>
    <col min="28" max="28" width="9.28125" style="94" bestFit="1" customWidth="1"/>
    <col min="29" max="29" width="4.57421875" style="94" customWidth="1"/>
    <col min="30" max="30" width="9.57421875" style="94" bestFit="1" customWidth="1"/>
    <col min="31" max="31" width="2.421875" style="94" customWidth="1"/>
    <col min="32" max="16384" width="9.140625" style="94" customWidth="1"/>
  </cols>
  <sheetData>
    <row r="1" spans="2:3" ht="12.75">
      <c r="B1" s="12" t="s">
        <v>218</v>
      </c>
      <c r="C1" s="12"/>
    </row>
    <row r="4" spans="2:30" ht="12.75">
      <c r="B4" s="12" t="s">
        <v>181</v>
      </c>
      <c r="C4" s="12"/>
      <c r="F4" s="116" t="s">
        <v>171</v>
      </c>
      <c r="G4" s="116"/>
      <c r="H4" s="116" t="s">
        <v>172</v>
      </c>
      <c r="I4" s="116"/>
      <c r="J4" s="116" t="s">
        <v>173</v>
      </c>
      <c r="K4" s="116"/>
      <c r="L4" s="116" t="s">
        <v>171</v>
      </c>
      <c r="M4" s="116"/>
      <c r="N4" s="116" t="s">
        <v>172</v>
      </c>
      <c r="O4" s="116"/>
      <c r="P4" s="116" t="s">
        <v>173</v>
      </c>
      <c r="Q4" s="116"/>
      <c r="R4" s="116" t="s">
        <v>171</v>
      </c>
      <c r="S4" s="116"/>
      <c r="T4" s="116" t="s">
        <v>172</v>
      </c>
      <c r="U4" s="116"/>
      <c r="V4" s="116" t="s">
        <v>173</v>
      </c>
      <c r="W4" s="116"/>
      <c r="X4" s="116" t="s">
        <v>171</v>
      </c>
      <c r="Y4" s="116"/>
      <c r="Z4" s="116" t="s">
        <v>172</v>
      </c>
      <c r="AA4" s="116"/>
      <c r="AB4" s="116" t="s">
        <v>173</v>
      </c>
      <c r="AC4" s="116"/>
      <c r="AD4" s="116" t="s">
        <v>170</v>
      </c>
    </row>
    <row r="5" spans="2:30" ht="12.75">
      <c r="B5" s="12"/>
      <c r="C5" s="12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</row>
    <row r="6" spans="2:30" ht="12.75">
      <c r="B6" s="8" t="s">
        <v>241</v>
      </c>
      <c r="C6" s="8"/>
      <c r="F6" s="116" t="s">
        <v>244</v>
      </c>
      <c r="G6" s="116"/>
      <c r="H6" s="116" t="s">
        <v>244</v>
      </c>
      <c r="I6" s="116"/>
      <c r="J6" s="116" t="s">
        <v>244</v>
      </c>
      <c r="K6" s="116"/>
      <c r="L6" s="116" t="s">
        <v>246</v>
      </c>
      <c r="M6" s="116"/>
      <c r="N6" s="116" t="s">
        <v>246</v>
      </c>
      <c r="O6" s="116"/>
      <c r="P6" s="116" t="s">
        <v>246</v>
      </c>
      <c r="Q6" s="116"/>
      <c r="R6" s="116" t="s">
        <v>247</v>
      </c>
      <c r="S6" s="116"/>
      <c r="T6" s="116" t="s">
        <v>247</v>
      </c>
      <c r="U6" s="116"/>
      <c r="V6" s="116" t="s">
        <v>247</v>
      </c>
      <c r="W6" s="116"/>
      <c r="X6" s="116" t="s">
        <v>248</v>
      </c>
      <c r="Y6" s="116"/>
      <c r="Z6" s="116" t="s">
        <v>248</v>
      </c>
      <c r="AA6" s="116"/>
      <c r="AB6" s="116" t="s">
        <v>248</v>
      </c>
      <c r="AC6" s="116"/>
      <c r="AD6" s="116" t="s">
        <v>248</v>
      </c>
    </row>
    <row r="7" spans="2:30" ht="12.75">
      <c r="B7" s="8" t="s">
        <v>242</v>
      </c>
      <c r="C7" s="8"/>
      <c r="F7" s="94" t="s">
        <v>243</v>
      </c>
      <c r="H7" s="94" t="s">
        <v>243</v>
      </c>
      <c r="J7" s="94" t="s">
        <v>243</v>
      </c>
      <c r="L7" s="94" t="s">
        <v>245</v>
      </c>
      <c r="N7" s="94" t="s">
        <v>245</v>
      </c>
      <c r="P7" s="94" t="s">
        <v>245</v>
      </c>
      <c r="R7" s="94" t="s">
        <v>33</v>
      </c>
      <c r="T7" s="94" t="s">
        <v>33</v>
      </c>
      <c r="V7" s="94" t="s">
        <v>33</v>
      </c>
      <c r="X7" s="94" t="s">
        <v>62</v>
      </c>
      <c r="Z7" s="94" t="s">
        <v>62</v>
      </c>
      <c r="AB7" s="94" t="s">
        <v>62</v>
      </c>
      <c r="AD7" s="94" t="s">
        <v>62</v>
      </c>
    </row>
    <row r="8" spans="2:30" ht="12.75">
      <c r="B8" s="8" t="s">
        <v>249</v>
      </c>
      <c r="C8" s="8"/>
      <c r="F8" s="116" t="s">
        <v>140</v>
      </c>
      <c r="H8" s="116" t="s">
        <v>140</v>
      </c>
      <c r="J8" s="116" t="s">
        <v>140</v>
      </c>
      <c r="L8" s="116" t="s">
        <v>40</v>
      </c>
      <c r="N8" s="116" t="s">
        <v>40</v>
      </c>
      <c r="P8" s="116" t="s">
        <v>40</v>
      </c>
      <c r="R8" s="94" t="s">
        <v>33</v>
      </c>
      <c r="T8" s="94" t="s">
        <v>33</v>
      </c>
      <c r="V8" s="94" t="s">
        <v>33</v>
      </c>
      <c r="X8" s="94" t="s">
        <v>62</v>
      </c>
      <c r="Z8" s="94" t="s">
        <v>62</v>
      </c>
      <c r="AB8" s="94" t="s">
        <v>62</v>
      </c>
      <c r="AD8" s="94" t="s">
        <v>62</v>
      </c>
    </row>
    <row r="9" spans="2:30" ht="12.75">
      <c r="B9" s="8" t="s">
        <v>20</v>
      </c>
      <c r="C9" s="8"/>
      <c r="F9" s="94" t="s">
        <v>192</v>
      </c>
      <c r="H9" s="94" t="s">
        <v>192</v>
      </c>
      <c r="J9" s="94" t="s">
        <v>192</v>
      </c>
      <c r="L9" s="94" t="s">
        <v>193</v>
      </c>
      <c r="N9" s="94" t="s">
        <v>193</v>
      </c>
      <c r="P9" s="94" t="s">
        <v>193</v>
      </c>
      <c r="R9" s="94" t="s">
        <v>33</v>
      </c>
      <c r="T9" s="94" t="s">
        <v>33</v>
      </c>
      <c r="V9" s="94" t="s">
        <v>33</v>
      </c>
      <c r="X9" s="94" t="s">
        <v>62</v>
      </c>
      <c r="Z9" s="94" t="s">
        <v>62</v>
      </c>
      <c r="AB9" s="94" t="s">
        <v>62</v>
      </c>
      <c r="AD9" s="94" t="s">
        <v>62</v>
      </c>
    </row>
    <row r="10" spans="1:22" ht="12.75">
      <c r="A10" s="94" t="s">
        <v>181</v>
      </c>
      <c r="B10" s="8" t="s">
        <v>61</v>
      </c>
      <c r="C10" s="8"/>
      <c r="D10" s="94" t="s">
        <v>28</v>
      </c>
      <c r="E10" s="91"/>
      <c r="F10" s="91">
        <v>23832</v>
      </c>
      <c r="G10" s="91"/>
      <c r="H10" s="91">
        <v>28417</v>
      </c>
      <c r="I10" s="91"/>
      <c r="J10" s="91">
        <v>28417</v>
      </c>
      <c r="K10" s="91"/>
      <c r="L10" s="91">
        <f>1240782/454</f>
        <v>2733</v>
      </c>
      <c r="M10" s="91"/>
      <c r="N10" s="91">
        <f>1204916/454</f>
        <v>2654</v>
      </c>
      <c r="O10" s="91"/>
      <c r="P10" s="91">
        <f>1161332/454</f>
        <v>2558</v>
      </c>
      <c r="Q10" s="91"/>
      <c r="R10" s="91">
        <f>5890.6/454</f>
        <v>12.97488986784141</v>
      </c>
      <c r="S10" s="91"/>
      <c r="T10" s="91">
        <f>6024/454</f>
        <v>13.268722466960352</v>
      </c>
      <c r="U10" s="91"/>
      <c r="V10" s="91">
        <f>5985.7/454</f>
        <v>13.184361233480177</v>
      </c>
    </row>
    <row r="11" spans="1:22" ht="12.75">
      <c r="A11" s="94" t="s">
        <v>181</v>
      </c>
      <c r="B11" s="8" t="s">
        <v>21</v>
      </c>
      <c r="C11" s="8"/>
      <c r="D11" s="94" t="s">
        <v>22</v>
      </c>
      <c r="E11" s="91"/>
      <c r="F11" s="91"/>
      <c r="G11" s="91"/>
      <c r="H11" s="91"/>
      <c r="I11" s="91"/>
      <c r="J11" s="91"/>
      <c r="K11" s="91"/>
      <c r="L11" s="93">
        <f>L12/L10*1000000</f>
        <v>12100.256128796194</v>
      </c>
      <c r="M11" s="91"/>
      <c r="N11" s="93">
        <f>N12/N10*1000000</f>
        <v>10000</v>
      </c>
      <c r="O11" s="91"/>
      <c r="P11" s="93">
        <f>P12/P10*1000000</f>
        <v>10699.765441751368</v>
      </c>
      <c r="Q11" s="91"/>
      <c r="R11" s="91">
        <v>0</v>
      </c>
      <c r="S11" s="91"/>
      <c r="T11" s="91">
        <v>0</v>
      </c>
      <c r="U11" s="91"/>
      <c r="V11" s="91">
        <v>0</v>
      </c>
    </row>
    <row r="12" spans="2:30" ht="12.75">
      <c r="B12" s="8" t="s">
        <v>253</v>
      </c>
      <c r="C12" s="8"/>
      <c r="D12" s="94" t="s">
        <v>32</v>
      </c>
      <c r="E12" s="91"/>
      <c r="F12" s="91"/>
      <c r="G12" s="91"/>
      <c r="H12" s="91"/>
      <c r="I12" s="91"/>
      <c r="J12" s="91"/>
      <c r="K12" s="91"/>
      <c r="L12" s="91">
        <v>33.07</v>
      </c>
      <c r="M12" s="91"/>
      <c r="N12" s="91">
        <v>26.54</v>
      </c>
      <c r="P12" s="94">
        <v>27.37</v>
      </c>
      <c r="Q12" s="91"/>
      <c r="R12" s="91"/>
      <c r="S12" s="91"/>
      <c r="T12" s="91"/>
      <c r="U12" s="91"/>
      <c r="V12" s="91"/>
      <c r="X12" s="94">
        <f>L12</f>
        <v>33.07</v>
      </c>
      <c r="Z12" s="94">
        <f>N12</f>
        <v>26.54</v>
      </c>
      <c r="AB12" s="94">
        <f>P12</f>
        <v>27.37</v>
      </c>
      <c r="AD12" s="122">
        <f>AVERAGE(X12,Z12,AB12)</f>
        <v>28.993333333333336</v>
      </c>
    </row>
    <row r="13" spans="1:22" ht="12.75">
      <c r="A13" s="94" t="s">
        <v>181</v>
      </c>
      <c r="B13" s="94" t="s">
        <v>24</v>
      </c>
      <c r="D13" s="94" t="s">
        <v>28</v>
      </c>
      <c r="E13" s="91" t="s">
        <v>106</v>
      </c>
      <c r="F13" s="91">
        <v>11.1</v>
      </c>
      <c r="G13" s="91" t="s">
        <v>106</v>
      </c>
      <c r="H13" s="91">
        <v>11.2</v>
      </c>
      <c r="I13" s="91" t="s">
        <v>106</v>
      </c>
      <c r="J13" s="91">
        <v>11.3</v>
      </c>
      <c r="K13" s="91"/>
      <c r="L13" s="91">
        <v>44.738344628</v>
      </c>
      <c r="M13" s="91"/>
      <c r="N13" s="91">
        <v>24.969762566</v>
      </c>
      <c r="O13" s="91"/>
      <c r="P13" s="91">
        <v>18.834316674</v>
      </c>
      <c r="Q13" s="91"/>
      <c r="R13" s="91"/>
      <c r="S13" s="91"/>
      <c r="T13" s="91"/>
      <c r="U13" s="91"/>
      <c r="V13" s="91"/>
    </row>
    <row r="14" spans="1:22" ht="12.75">
      <c r="A14" s="94" t="s">
        <v>181</v>
      </c>
      <c r="B14" s="94" t="s">
        <v>108</v>
      </c>
      <c r="D14" s="94" t="s">
        <v>28</v>
      </c>
      <c r="E14" s="91" t="s">
        <v>106</v>
      </c>
      <c r="F14" s="91">
        <v>0.0107</v>
      </c>
      <c r="G14" s="91" t="s">
        <v>106</v>
      </c>
      <c r="H14" s="91">
        <v>0.0109</v>
      </c>
      <c r="I14" s="91" t="s">
        <v>106</v>
      </c>
      <c r="J14" s="91">
        <v>0.0105</v>
      </c>
      <c r="K14" s="91"/>
      <c r="L14" s="90">
        <v>0.00815702</v>
      </c>
      <c r="M14" s="90"/>
      <c r="N14" s="90">
        <v>0.00727518</v>
      </c>
      <c r="O14" s="90"/>
      <c r="P14" s="90">
        <v>0.00639334</v>
      </c>
      <c r="Q14" s="91"/>
      <c r="R14" s="91"/>
      <c r="S14" s="91"/>
      <c r="T14" s="91"/>
      <c r="U14" s="91"/>
      <c r="V14" s="91"/>
    </row>
    <row r="15" spans="1:22" ht="12.75">
      <c r="A15" s="94" t="s">
        <v>181</v>
      </c>
      <c r="B15" s="94" t="s">
        <v>107</v>
      </c>
      <c r="D15" s="94" t="s">
        <v>28</v>
      </c>
      <c r="E15" s="91"/>
      <c r="F15" s="91">
        <v>0.181</v>
      </c>
      <c r="G15" s="91"/>
      <c r="H15" s="91">
        <v>0.129</v>
      </c>
      <c r="I15" s="91"/>
      <c r="J15" s="91">
        <v>0.189</v>
      </c>
      <c r="K15" s="91"/>
      <c r="L15" s="90">
        <v>0.00088184</v>
      </c>
      <c r="M15" s="90"/>
      <c r="N15" s="90">
        <v>0.00044092</v>
      </c>
      <c r="O15" s="90"/>
      <c r="P15" s="90">
        <v>0.00815702</v>
      </c>
      <c r="Q15" s="91"/>
      <c r="R15" s="91">
        <v>0.70062188</v>
      </c>
      <c r="S15" s="91"/>
      <c r="T15" s="91">
        <v>0.75860286</v>
      </c>
      <c r="U15" s="91"/>
      <c r="V15" s="91">
        <v>0.64616826</v>
      </c>
    </row>
    <row r="16" spans="1:22" ht="12.75">
      <c r="A16" s="94" t="s">
        <v>181</v>
      </c>
      <c r="B16" s="94" t="s">
        <v>109</v>
      </c>
      <c r="D16" s="94" t="s">
        <v>28</v>
      </c>
      <c r="E16" s="91"/>
      <c r="F16" s="91">
        <v>2.99</v>
      </c>
      <c r="G16" s="91"/>
      <c r="H16" s="91">
        <v>2.72</v>
      </c>
      <c r="I16" s="91"/>
      <c r="J16" s="91">
        <v>3.03</v>
      </c>
      <c r="K16" s="91"/>
      <c r="L16" s="90">
        <v>0.39660754</v>
      </c>
      <c r="M16" s="90"/>
      <c r="N16" s="90">
        <v>0.30291204</v>
      </c>
      <c r="O16" s="90"/>
      <c r="P16" s="90">
        <v>0.45569082</v>
      </c>
      <c r="Q16" s="91"/>
      <c r="R16" s="91"/>
      <c r="S16" s="91"/>
      <c r="T16" s="91"/>
      <c r="U16" s="91"/>
      <c r="V16" s="91"/>
    </row>
    <row r="17" spans="1:22" ht="12.75">
      <c r="A17" s="94" t="s">
        <v>181</v>
      </c>
      <c r="B17" s="94" t="s">
        <v>110</v>
      </c>
      <c r="D17" s="94" t="s">
        <v>28</v>
      </c>
      <c r="E17" s="91"/>
      <c r="F17" s="91">
        <v>0.0952</v>
      </c>
      <c r="G17" s="91"/>
      <c r="H17" s="91">
        <v>0.0468</v>
      </c>
      <c r="I17" s="91"/>
      <c r="J17" s="91">
        <v>0.033</v>
      </c>
      <c r="K17" s="91" t="s">
        <v>106</v>
      </c>
      <c r="L17" s="90">
        <v>0.00022046</v>
      </c>
      <c r="M17" s="90"/>
      <c r="N17" s="90">
        <v>0.00022046</v>
      </c>
      <c r="O17" s="90" t="s">
        <v>106</v>
      </c>
      <c r="P17" s="90">
        <v>0.00022046</v>
      </c>
      <c r="Q17" s="91"/>
      <c r="R17" s="91">
        <v>0.15564476</v>
      </c>
      <c r="S17" s="91"/>
      <c r="T17" s="91">
        <v>0.1620381</v>
      </c>
      <c r="U17" s="91"/>
      <c r="V17" s="91">
        <v>0.23214438</v>
      </c>
    </row>
    <row r="18" spans="1:22" ht="12.75">
      <c r="A18" s="94" t="s">
        <v>181</v>
      </c>
      <c r="B18" s="94" t="s">
        <v>111</v>
      </c>
      <c r="D18" s="94" t="s">
        <v>28</v>
      </c>
      <c r="E18" s="91" t="s">
        <v>106</v>
      </c>
      <c r="F18" s="91">
        <v>0.0123</v>
      </c>
      <c r="G18" s="91" t="s">
        <v>106</v>
      </c>
      <c r="H18" s="91">
        <v>0.0126</v>
      </c>
      <c r="I18" s="91" t="s">
        <v>106</v>
      </c>
      <c r="J18" s="91">
        <v>0.0121</v>
      </c>
      <c r="K18" s="91"/>
      <c r="L18" s="90">
        <v>0.0099207</v>
      </c>
      <c r="M18" s="90"/>
      <c r="N18" s="90">
        <v>0.00837748</v>
      </c>
      <c r="O18" s="90"/>
      <c r="P18" s="90">
        <v>0.00727518</v>
      </c>
      <c r="Q18" s="91"/>
      <c r="R18" s="91">
        <v>1.15785592</v>
      </c>
      <c r="S18" s="91"/>
      <c r="T18" s="91">
        <v>1.2952025</v>
      </c>
      <c r="U18" s="91"/>
      <c r="V18" s="91">
        <v>1.26279488</v>
      </c>
    </row>
    <row r="19" spans="1:22" ht="12.75">
      <c r="A19" s="94" t="s">
        <v>181</v>
      </c>
      <c r="B19" s="94" t="s">
        <v>112</v>
      </c>
      <c r="D19" s="94" t="s">
        <v>28</v>
      </c>
      <c r="E19" s="91"/>
      <c r="F19" s="91">
        <v>2.07</v>
      </c>
      <c r="G19" s="91"/>
      <c r="H19" s="91">
        <v>3.26</v>
      </c>
      <c r="I19" s="91"/>
      <c r="J19" s="91">
        <v>2.35</v>
      </c>
      <c r="K19" s="91"/>
      <c r="L19" s="90">
        <v>0.06040604</v>
      </c>
      <c r="M19" s="90"/>
      <c r="N19" s="90">
        <v>0.04497384</v>
      </c>
      <c r="O19" s="90"/>
      <c r="P19" s="90">
        <v>0.0672403</v>
      </c>
      <c r="Q19" s="91"/>
      <c r="R19" s="91">
        <v>0.35538152</v>
      </c>
      <c r="S19" s="91"/>
      <c r="T19" s="91">
        <v>0.38205718</v>
      </c>
      <c r="U19" s="91"/>
      <c r="V19" s="91">
        <v>0.38867098</v>
      </c>
    </row>
    <row r="20" spans="1:22" ht="12.75">
      <c r="A20" s="94" t="s">
        <v>181</v>
      </c>
      <c r="B20" s="94" t="s">
        <v>189</v>
      </c>
      <c r="D20" s="94" t="s">
        <v>28</v>
      </c>
      <c r="E20" s="91"/>
      <c r="F20" s="91"/>
      <c r="G20" s="91"/>
      <c r="H20" s="91"/>
      <c r="I20" s="91"/>
      <c r="J20" s="91"/>
      <c r="K20" s="91"/>
      <c r="L20" s="90"/>
      <c r="M20" s="90"/>
      <c r="N20" s="90"/>
      <c r="O20" s="90"/>
      <c r="P20" s="90"/>
      <c r="Q20" s="91"/>
      <c r="R20" s="91">
        <v>0.35538152</v>
      </c>
      <c r="S20" s="91"/>
      <c r="T20" s="91">
        <v>0.38205718</v>
      </c>
      <c r="U20" s="91"/>
      <c r="V20" s="91">
        <v>0.38867098</v>
      </c>
    </row>
    <row r="21" spans="1:22" ht="12.75">
      <c r="A21" s="94" t="s">
        <v>181</v>
      </c>
      <c r="B21" s="94" t="s">
        <v>114</v>
      </c>
      <c r="D21" s="94" t="s">
        <v>28</v>
      </c>
      <c r="E21" s="91"/>
      <c r="F21" s="91">
        <v>0.57</v>
      </c>
      <c r="G21" s="91" t="s">
        <v>106</v>
      </c>
      <c r="H21" s="91">
        <v>0.0589</v>
      </c>
      <c r="I21" s="91" t="s">
        <v>106</v>
      </c>
      <c r="J21" s="91">
        <v>0.0563</v>
      </c>
      <c r="K21" s="91"/>
      <c r="L21" s="90">
        <v>0.3802935</v>
      </c>
      <c r="M21" s="90"/>
      <c r="N21" s="90">
        <v>0.28681846</v>
      </c>
      <c r="O21" s="90"/>
      <c r="P21" s="90">
        <v>0.40718962</v>
      </c>
      <c r="Q21" s="91"/>
      <c r="R21" s="91">
        <v>10.61691268</v>
      </c>
      <c r="S21" s="91"/>
      <c r="T21" s="91">
        <v>10.68260976</v>
      </c>
      <c r="U21" s="91"/>
      <c r="V21" s="91">
        <v>10.66629572</v>
      </c>
    </row>
    <row r="22" spans="1:22" ht="12.75">
      <c r="A22" s="94" t="s">
        <v>181</v>
      </c>
      <c r="B22" s="94" t="s">
        <v>115</v>
      </c>
      <c r="D22" s="94" t="s">
        <v>28</v>
      </c>
      <c r="E22" s="91" t="s">
        <v>106</v>
      </c>
      <c r="F22" s="91">
        <v>0.0011</v>
      </c>
      <c r="G22" s="91" t="s">
        <v>106</v>
      </c>
      <c r="H22" s="91">
        <v>0.00112</v>
      </c>
      <c r="I22" s="91" t="s">
        <v>106</v>
      </c>
      <c r="J22" s="91">
        <v>0.00108</v>
      </c>
      <c r="K22" s="91"/>
      <c r="L22" s="90">
        <v>0.00044092</v>
      </c>
      <c r="M22" s="90"/>
      <c r="N22" s="90">
        <v>0.0011023</v>
      </c>
      <c r="O22" s="90"/>
      <c r="P22" s="90">
        <v>0.00088184</v>
      </c>
      <c r="Q22" s="91"/>
      <c r="R22" s="91"/>
      <c r="S22" s="91"/>
      <c r="T22" s="91"/>
      <c r="U22" s="91"/>
      <c r="V22" s="91"/>
    </row>
    <row r="23" spans="1:22" ht="12.75">
      <c r="A23" s="94" t="s">
        <v>181</v>
      </c>
      <c r="B23" s="94" t="s">
        <v>118</v>
      </c>
      <c r="D23" s="94" t="s">
        <v>28</v>
      </c>
      <c r="E23" s="91" t="s">
        <v>106</v>
      </c>
      <c r="F23" s="91">
        <v>0.0192</v>
      </c>
      <c r="G23" s="91" t="s">
        <v>106</v>
      </c>
      <c r="H23" s="91">
        <v>0.0196</v>
      </c>
      <c r="I23" s="91" t="s">
        <v>106</v>
      </c>
      <c r="J23" s="91">
        <v>0.0188</v>
      </c>
      <c r="K23" s="91" t="s">
        <v>106</v>
      </c>
      <c r="L23" s="90">
        <v>0.00198414</v>
      </c>
      <c r="M23" s="90" t="s">
        <v>106</v>
      </c>
      <c r="N23" s="90">
        <v>0.00176368</v>
      </c>
      <c r="O23" s="90" t="s">
        <v>106</v>
      </c>
      <c r="P23" s="90">
        <v>0.00176368</v>
      </c>
      <c r="Q23" s="91"/>
      <c r="R23" s="91"/>
      <c r="S23" s="91"/>
      <c r="T23" s="91"/>
      <c r="U23" s="91"/>
      <c r="V23" s="91"/>
    </row>
    <row r="24" spans="1:22" ht="12.75">
      <c r="A24" s="94" t="s">
        <v>181</v>
      </c>
      <c r="B24" s="94" t="s">
        <v>119</v>
      </c>
      <c r="D24" s="94" t="s">
        <v>28</v>
      </c>
      <c r="E24" s="91" t="s">
        <v>106</v>
      </c>
      <c r="F24" s="91">
        <v>0.0477</v>
      </c>
      <c r="G24" s="91"/>
      <c r="H24" s="91">
        <v>0.0401</v>
      </c>
      <c r="I24" s="91"/>
      <c r="J24" s="91">
        <v>0.0397</v>
      </c>
      <c r="K24" s="91" t="s">
        <v>106</v>
      </c>
      <c r="L24" s="90">
        <v>0.0011023</v>
      </c>
      <c r="M24" s="90" t="s">
        <v>106</v>
      </c>
      <c r="N24" s="90">
        <v>0.0011023</v>
      </c>
      <c r="O24" s="90" t="s">
        <v>106</v>
      </c>
      <c r="P24" s="90">
        <v>0.0011023</v>
      </c>
      <c r="Q24" s="91"/>
      <c r="R24" s="91"/>
      <c r="S24" s="91"/>
      <c r="T24" s="91"/>
      <c r="U24" s="91"/>
      <c r="V24" s="91"/>
    </row>
    <row r="26" spans="2:22" ht="12.75">
      <c r="B26" s="8" t="s">
        <v>37</v>
      </c>
      <c r="C26" s="8"/>
      <c r="D26" s="8" t="s">
        <v>17</v>
      </c>
      <c r="F26" s="94">
        <f>'emiss 2'!$G$35</f>
        <v>32000</v>
      </c>
      <c r="H26" s="94">
        <f>'emiss 2'!$I$35</f>
        <v>33200</v>
      </c>
      <c r="J26" s="94">
        <f>'emiss 2'!$K$35</f>
        <v>30700</v>
      </c>
      <c r="L26" s="94">
        <f>'emiss 2'!$G$35</f>
        <v>32000</v>
      </c>
      <c r="N26" s="94">
        <f>'emiss 2'!$I$35</f>
        <v>33200</v>
      </c>
      <c r="P26" s="94">
        <f>'emiss 2'!$K$35</f>
        <v>30700</v>
      </c>
      <c r="R26" s="94">
        <f>'emiss 2'!$G$35</f>
        <v>32000</v>
      </c>
      <c r="T26" s="94">
        <f>'emiss 2'!$I$35</f>
        <v>33200</v>
      </c>
      <c r="V26" s="94">
        <f>'emiss 2'!$K$35</f>
        <v>30700</v>
      </c>
    </row>
    <row r="27" spans="2:22" ht="12.75">
      <c r="B27" s="8" t="s">
        <v>38</v>
      </c>
      <c r="C27" s="8"/>
      <c r="D27" s="8" t="s">
        <v>18</v>
      </c>
      <c r="F27" s="94">
        <f>'emiss 2'!$G$36</f>
        <v>17</v>
      </c>
      <c r="H27" s="94">
        <f>'emiss 2'!$I$36</f>
        <v>17.1</v>
      </c>
      <c r="J27" s="94">
        <f>'emiss 2'!$K$36</f>
        <v>17.2</v>
      </c>
      <c r="L27" s="94">
        <f>'emiss 2'!$G$36</f>
        <v>17</v>
      </c>
      <c r="N27" s="94">
        <f>'emiss 2'!$I$36</f>
        <v>17.1</v>
      </c>
      <c r="P27" s="94">
        <f>'emiss 2'!$K$36</f>
        <v>17.2</v>
      </c>
      <c r="R27" s="94">
        <f>'emiss 2'!$G$36</f>
        <v>17</v>
      </c>
      <c r="T27" s="94">
        <f>'emiss 2'!$I$36</f>
        <v>17.1</v>
      </c>
      <c r="V27" s="94">
        <f>'emiss 2'!$K$36</f>
        <v>17.2</v>
      </c>
    </row>
    <row r="29" ht="12.75">
      <c r="B29" s="121" t="s">
        <v>46</v>
      </c>
    </row>
    <row r="30" spans="2:30" s="93" customFormat="1" ht="12.75">
      <c r="B30" s="93" t="s">
        <v>24</v>
      </c>
      <c r="D30" s="93" t="s">
        <v>34</v>
      </c>
      <c r="E30" s="91">
        <v>100</v>
      </c>
      <c r="F30" s="93">
        <f>F13*454/F$26*14/(21-F$27)/60/0.0283*1000000/2</f>
        <v>162303.9973498233</v>
      </c>
      <c r="G30" s="91">
        <v>100</v>
      </c>
      <c r="H30" s="93">
        <f>H13*454/H$26*14/(21-H$27)/60/0.0283*1000000/2</f>
        <v>161894.29276406165</v>
      </c>
      <c r="I30" s="91">
        <v>100</v>
      </c>
      <c r="J30" s="93">
        <f>J13*454/J$26*14/(21-J$27)/60/0.0283*1000000/2</f>
        <v>181289.51134411118</v>
      </c>
      <c r="K30" s="91"/>
      <c r="L30" s="93">
        <f aca="true" t="shared" si="0" ref="L30:L41">L13*454/L$26*14/(21-L$27)/60/0.0283*1000000</f>
        <v>1308326.5167456567</v>
      </c>
      <c r="M30" s="91"/>
      <c r="N30" s="93">
        <f aca="true" t="shared" si="1" ref="N30:N41">N13*454/N$26*14/(21-N$27)/60/0.0283*1000000</f>
        <v>721868.2234123412</v>
      </c>
      <c r="O30" s="91"/>
      <c r="P30" s="93">
        <f aca="true" t="shared" si="2" ref="P30:P41">P13*454/P$26*14/(21-P$27)/60/0.0283*1000000</f>
        <v>604329.9232441953</v>
      </c>
      <c r="R30" s="93">
        <f aca="true" t="shared" si="3" ref="R30:R41">R13*454/R$26*14/(21-R$27)/60/0.0283*1000000</f>
        <v>0</v>
      </c>
      <c r="T30" s="93">
        <f aca="true" t="shared" si="4" ref="T30:T41">T13*454/T$26*14/(21-T$27)/60/0.0283*1000000</f>
        <v>0</v>
      </c>
      <c r="V30" s="93">
        <f aca="true" t="shared" si="5" ref="V30:V41">V13*454/V$26*14/(21-V$27)/60/0.0283*1000000</f>
        <v>0</v>
      </c>
      <c r="W30" s="93">
        <f>SUM((L30*K30/100),(F30*E30/100))/X30*100</f>
        <v>11.036354529176169</v>
      </c>
      <c r="X30" s="93">
        <f>F30+L30+R30</f>
        <v>1470630.51409548</v>
      </c>
      <c r="Y30" s="93">
        <f>SUM((N30*M30/100),(H30*G30/100))/Z30*100</f>
        <v>18.318755299160806</v>
      </c>
      <c r="Z30" s="93">
        <f>H30+N30+T30</f>
        <v>883762.5161764028</v>
      </c>
      <c r="AA30" s="93">
        <f>SUM((P30*O30/100),(J30*I30/100))/AB30*100</f>
        <v>23.075996260086608</v>
      </c>
      <c r="AB30" s="93">
        <f>J30+P30+V30</f>
        <v>785619.4345883065</v>
      </c>
      <c r="AC30" s="93">
        <f>SUM((AB30*AA30/100),(Z30*Y30/100),(X30*W30/100))/AD30*100/3</f>
        <v>16.098273720722418</v>
      </c>
      <c r="AD30" s="93">
        <f>AVERAGE(X30,Z30,AB30)</f>
        <v>1046670.8216200633</v>
      </c>
    </row>
    <row r="31" spans="2:30" s="93" customFormat="1" ht="12.75">
      <c r="B31" s="93" t="s">
        <v>108</v>
      </c>
      <c r="D31" s="93" t="s">
        <v>34</v>
      </c>
      <c r="E31" s="91">
        <v>100</v>
      </c>
      <c r="F31" s="93">
        <f aca="true" t="shared" si="6" ref="F31:H41">F14*454/F$26*14/(21-F$27)/60/0.0283*1000000</f>
        <v>312.9104093050647</v>
      </c>
      <c r="G31" s="91">
        <v>100</v>
      </c>
      <c r="H31" s="93">
        <f t="shared" si="6"/>
        <v>315.1156769871914</v>
      </c>
      <c r="I31" s="91">
        <v>100</v>
      </c>
      <c r="J31" s="93">
        <f aca="true" t="shared" si="7" ref="J31:J41">J14*454/J$26*14/(21-J$27)/60/0.0283*1000000</f>
        <v>336.90971134746314</v>
      </c>
      <c r="K31" s="91"/>
      <c r="L31" s="93">
        <f t="shared" si="0"/>
        <v>238.54359503828033</v>
      </c>
      <c r="M31" s="91"/>
      <c r="N31" s="93">
        <f t="shared" si="1"/>
        <v>210.32323586272253</v>
      </c>
      <c r="O31" s="91"/>
      <c r="P31" s="93">
        <f t="shared" si="2"/>
        <v>205.14079370916096</v>
      </c>
      <c r="R31" s="93">
        <f t="shared" si="3"/>
        <v>0</v>
      </c>
      <c r="T31" s="93">
        <f t="shared" si="4"/>
        <v>0</v>
      </c>
      <c r="V31" s="93">
        <f t="shared" si="5"/>
        <v>0</v>
      </c>
      <c r="W31" s="93">
        <f>SUM((L31*K31/100),(F31*E31/100))/X31*100</f>
        <v>56.742793930324076</v>
      </c>
      <c r="X31" s="93">
        <f aca="true" t="shared" si="8" ref="X31:AB43">F31+L31+R31</f>
        <v>551.4540043433451</v>
      </c>
      <c r="Y31" s="93">
        <f>SUM((N31*M31/100),(H31*G31/100))/Z31*100</f>
        <v>59.971895739134354</v>
      </c>
      <c r="Z31" s="93">
        <f t="shared" si="8"/>
        <v>525.438912849914</v>
      </c>
      <c r="AA31" s="93">
        <f>SUM((P31*O31/100),(J31*I31/100))/AB31*100</f>
        <v>62.154671604312696</v>
      </c>
      <c r="AB31" s="93">
        <f t="shared" si="8"/>
        <v>542.0505050566242</v>
      </c>
      <c r="AC31" s="93">
        <f>SUM((AB31*AA31/100),(Z31*Y31/100),(X31*W31/100))/AD31*100/3</f>
        <v>59.602811585517024</v>
      </c>
      <c r="AD31" s="93">
        <f aca="true" t="shared" si="9" ref="AD31:AD43">AVERAGE(X31,Z31,AB31)</f>
        <v>539.6478074166278</v>
      </c>
    </row>
    <row r="32" spans="2:30" s="93" customFormat="1" ht="12.75">
      <c r="B32" s="93" t="s">
        <v>107</v>
      </c>
      <c r="D32" s="93" t="s">
        <v>34</v>
      </c>
      <c r="E32" s="91"/>
      <c r="F32" s="93">
        <f t="shared" si="6"/>
        <v>5293.157391048292</v>
      </c>
      <c r="G32" s="91"/>
      <c r="H32" s="93">
        <f t="shared" si="6"/>
        <v>3729.3506726007063</v>
      </c>
      <c r="I32" s="91"/>
      <c r="J32" s="93">
        <f t="shared" si="7"/>
        <v>6064.374804254335</v>
      </c>
      <c r="K32" s="91"/>
      <c r="L32" s="93">
        <f t="shared" si="0"/>
        <v>25.788496760895175</v>
      </c>
      <c r="M32" s="91"/>
      <c r="N32" s="93">
        <f t="shared" si="1"/>
        <v>12.746862779558942</v>
      </c>
      <c r="O32" s="91"/>
      <c r="P32" s="93">
        <f t="shared" si="2"/>
        <v>261.7313574909984</v>
      </c>
      <c r="R32" s="93">
        <f t="shared" si="3"/>
        <v>20488.960676531216</v>
      </c>
      <c r="T32" s="93">
        <f t="shared" si="4"/>
        <v>21930.97741223116</v>
      </c>
      <c r="V32" s="93">
        <f t="shared" si="5"/>
        <v>20733.367805570717</v>
      </c>
      <c r="X32" s="93">
        <f t="shared" si="8"/>
        <v>25807.906564340403</v>
      </c>
      <c r="Z32" s="93">
        <f t="shared" si="8"/>
        <v>25673.074947611425</v>
      </c>
      <c r="AB32" s="93">
        <f t="shared" si="8"/>
        <v>27059.47396731605</v>
      </c>
      <c r="AD32" s="93">
        <f t="shared" si="9"/>
        <v>26180.15182642263</v>
      </c>
    </row>
    <row r="33" spans="2:30" s="93" customFormat="1" ht="12.75">
      <c r="B33" s="93" t="s">
        <v>109</v>
      </c>
      <c r="D33" s="93" t="s">
        <v>34</v>
      </c>
      <c r="E33" s="91"/>
      <c r="F33" s="93">
        <f t="shared" si="6"/>
        <v>87439.45082449944</v>
      </c>
      <c r="G33" s="91"/>
      <c r="H33" s="93">
        <f t="shared" si="6"/>
        <v>78634.37077111566</v>
      </c>
      <c r="I33" s="91"/>
      <c r="J33" s="93">
        <f t="shared" si="7"/>
        <v>97222.51670312506</v>
      </c>
      <c r="K33" s="91"/>
      <c r="L33" s="93">
        <f t="shared" si="0"/>
        <v>11598.376418212601</v>
      </c>
      <c r="M33" s="91"/>
      <c r="N33" s="93">
        <f t="shared" si="1"/>
        <v>8757.094729556995</v>
      </c>
      <c r="O33" s="91"/>
      <c r="P33" s="93">
        <f t="shared" si="2"/>
        <v>14621.586917132265</v>
      </c>
      <c r="R33" s="93">
        <f t="shared" si="3"/>
        <v>0</v>
      </c>
      <c r="T33" s="93">
        <f t="shared" si="4"/>
        <v>0</v>
      </c>
      <c r="V33" s="93">
        <f t="shared" si="5"/>
        <v>0</v>
      </c>
      <c r="X33" s="93">
        <f t="shared" si="8"/>
        <v>99037.82724271204</v>
      </c>
      <c r="Z33" s="93">
        <f t="shared" si="8"/>
        <v>87391.46550067265</v>
      </c>
      <c r="AB33" s="93">
        <f t="shared" si="8"/>
        <v>111844.10362025733</v>
      </c>
      <c r="AD33" s="93">
        <f t="shared" si="9"/>
        <v>99424.46545454733</v>
      </c>
    </row>
    <row r="34" spans="2:30" s="93" customFormat="1" ht="12.75">
      <c r="B34" s="93" t="s">
        <v>110</v>
      </c>
      <c r="D34" s="93" t="s">
        <v>34</v>
      </c>
      <c r="E34" s="91"/>
      <c r="F34" s="93">
        <f t="shared" si="6"/>
        <v>2784.025323910483</v>
      </c>
      <c r="G34" s="91"/>
      <c r="H34" s="93">
        <f t="shared" si="6"/>
        <v>1352.9737323853726</v>
      </c>
      <c r="I34" s="91"/>
      <c r="J34" s="93">
        <f t="shared" si="7"/>
        <v>1058.8590928063127</v>
      </c>
      <c r="K34" s="91">
        <v>100</v>
      </c>
      <c r="L34" s="93">
        <f t="shared" si="0"/>
        <v>6.447124190223794</v>
      </c>
      <c r="M34" s="91"/>
      <c r="N34" s="93">
        <f t="shared" si="1"/>
        <v>6.373431389779471</v>
      </c>
      <c r="O34" s="91">
        <v>100</v>
      </c>
      <c r="P34" s="93">
        <f t="shared" si="2"/>
        <v>7.073820472729687</v>
      </c>
      <c r="R34" s="93">
        <f t="shared" si="3"/>
        <v>4551.669678297997</v>
      </c>
      <c r="T34" s="93">
        <f t="shared" si="4"/>
        <v>4684.47207148791</v>
      </c>
      <c r="V34" s="93">
        <f t="shared" si="5"/>
        <v>7448.732957784361</v>
      </c>
      <c r="X34" s="93">
        <f t="shared" si="8"/>
        <v>7342.142126398704</v>
      </c>
      <c r="Z34" s="93">
        <f t="shared" si="8"/>
        <v>6043.819235263062</v>
      </c>
      <c r="AB34" s="93">
        <f t="shared" si="8"/>
        <v>8514.665871063404</v>
      </c>
      <c r="AD34" s="93">
        <f t="shared" si="9"/>
        <v>7300.209077575058</v>
      </c>
    </row>
    <row r="35" spans="2:30" s="93" customFormat="1" ht="12.75">
      <c r="B35" s="93" t="s">
        <v>111</v>
      </c>
      <c r="D35" s="93" t="s">
        <v>34</v>
      </c>
      <c r="E35" s="91">
        <v>100</v>
      </c>
      <c r="F35" s="93">
        <f>F18*454/F$26*14/(21-F$27)/60/0.0283*1000000/2</f>
        <v>179.85037544169614</v>
      </c>
      <c r="G35" s="91">
        <v>100</v>
      </c>
      <c r="H35" s="93">
        <f>H18*454/H$26*14/(21-H$27)/60/0.0283*1000000/2</f>
        <v>182.13107935956936</v>
      </c>
      <c r="I35" s="91">
        <v>100</v>
      </c>
      <c r="J35" s="93">
        <f>J18*454/J$26*14/(21-J$27)/60/0.0283*1000000/2</f>
        <v>194.12416701449064</v>
      </c>
      <c r="K35" s="91"/>
      <c r="L35" s="93">
        <f t="shared" si="0"/>
        <v>290.12058856007064</v>
      </c>
      <c r="M35" s="91"/>
      <c r="N35" s="93">
        <f t="shared" si="1"/>
        <v>242.1903928116199</v>
      </c>
      <c r="O35" s="91"/>
      <c r="P35" s="93">
        <f t="shared" si="2"/>
        <v>233.4360756000797</v>
      </c>
      <c r="R35" s="93">
        <f t="shared" si="3"/>
        <v>33860.29624705537</v>
      </c>
      <c r="T35" s="93">
        <f t="shared" si="4"/>
        <v>37443.90941495438</v>
      </c>
      <c r="V35" s="93">
        <f t="shared" si="5"/>
        <v>40518.84366779564</v>
      </c>
      <c r="W35" s="93">
        <f>SUM((L35*K35/100),(F35*E35/100))/X35*100</f>
        <v>0.5238828300869436</v>
      </c>
      <c r="X35" s="93">
        <f t="shared" si="8"/>
        <v>34330.26721105714</v>
      </c>
      <c r="Z35" s="93">
        <f t="shared" si="8"/>
        <v>37868.230887125574</v>
      </c>
      <c r="AB35" s="93">
        <f t="shared" si="8"/>
        <v>40946.40391041021</v>
      </c>
      <c r="AD35" s="93">
        <f t="shared" si="9"/>
        <v>37714.96733619764</v>
      </c>
    </row>
    <row r="36" spans="2:30" s="93" customFormat="1" ht="12.75">
      <c r="B36" s="93" t="s">
        <v>112</v>
      </c>
      <c r="D36" s="93" t="s">
        <v>34</v>
      </c>
      <c r="E36" s="91"/>
      <c r="F36" s="93">
        <f t="shared" si="6"/>
        <v>60535.004416961136</v>
      </c>
      <c r="G36" s="91"/>
      <c r="H36" s="93">
        <f t="shared" si="6"/>
        <v>94245.60614479304</v>
      </c>
      <c r="I36" s="91"/>
      <c r="J36" s="93">
        <f t="shared" si="7"/>
        <v>75403.60206347986</v>
      </c>
      <c r="K36" s="91"/>
      <c r="L36" s="93">
        <f t="shared" si="0"/>
        <v>1766.5120281213194</v>
      </c>
      <c r="M36" s="91"/>
      <c r="N36" s="93">
        <f t="shared" si="1"/>
        <v>1300.1800035150118</v>
      </c>
      <c r="O36" s="91"/>
      <c r="P36" s="93">
        <f t="shared" si="2"/>
        <v>2157.515244182555</v>
      </c>
      <c r="R36" s="93">
        <f t="shared" si="3"/>
        <v>10392.764194640753</v>
      </c>
      <c r="T36" s="93">
        <f t="shared" si="4"/>
        <v>11045.15659848782</v>
      </c>
      <c r="V36" s="93">
        <f t="shared" si="5"/>
        <v>12471.14549342244</v>
      </c>
      <c r="X36" s="93">
        <f t="shared" si="8"/>
        <v>72694.2806397232</v>
      </c>
      <c r="Z36" s="93">
        <f t="shared" si="8"/>
        <v>106590.94274679587</v>
      </c>
      <c r="AB36" s="93">
        <f t="shared" si="8"/>
        <v>90032.26280108486</v>
      </c>
      <c r="AD36" s="93">
        <f t="shared" si="9"/>
        <v>89772.49539586797</v>
      </c>
    </row>
    <row r="37" spans="2:30" s="93" customFormat="1" ht="12.75">
      <c r="B37" s="93" t="s">
        <v>189</v>
      </c>
      <c r="D37" s="93" t="s">
        <v>34</v>
      </c>
      <c r="E37" s="91"/>
      <c r="F37" s="93">
        <f t="shared" si="6"/>
        <v>0</v>
      </c>
      <c r="G37" s="91"/>
      <c r="H37" s="93">
        <f t="shared" si="6"/>
        <v>0</v>
      </c>
      <c r="I37" s="91"/>
      <c r="J37" s="93">
        <f t="shared" si="7"/>
        <v>0</v>
      </c>
      <c r="K37" s="91"/>
      <c r="L37" s="93">
        <f t="shared" si="0"/>
        <v>0</v>
      </c>
      <c r="M37" s="91"/>
      <c r="N37" s="93">
        <f t="shared" si="1"/>
        <v>0</v>
      </c>
      <c r="O37" s="91"/>
      <c r="P37" s="93">
        <f t="shared" si="2"/>
        <v>0</v>
      </c>
      <c r="R37" s="93">
        <f t="shared" si="3"/>
        <v>10392.764194640753</v>
      </c>
      <c r="T37" s="93">
        <f t="shared" si="4"/>
        <v>11045.15659848782</v>
      </c>
      <c r="V37" s="93">
        <f t="shared" si="5"/>
        <v>12471.14549342244</v>
      </c>
      <c r="X37" s="93">
        <f t="shared" si="8"/>
        <v>10392.764194640753</v>
      </c>
      <c r="Z37" s="93">
        <f t="shared" si="8"/>
        <v>11045.15659848782</v>
      </c>
      <c r="AB37" s="93">
        <f t="shared" si="8"/>
        <v>12471.14549342244</v>
      </c>
      <c r="AD37" s="93">
        <f t="shared" si="9"/>
        <v>11303.022095517003</v>
      </c>
    </row>
    <row r="38" spans="2:30" s="93" customFormat="1" ht="12.75">
      <c r="B38" s="93" t="s">
        <v>114</v>
      </c>
      <c r="D38" s="93" t="s">
        <v>34</v>
      </c>
      <c r="E38" s="91"/>
      <c r="F38" s="93">
        <f t="shared" si="6"/>
        <v>16669.05918727915</v>
      </c>
      <c r="G38" s="91"/>
      <c r="H38" s="93">
        <f>H21*454/H$26*14/(21-H$27)/60/0.0283*1000000/2</f>
        <v>851.3905217681456</v>
      </c>
      <c r="I38" s="91"/>
      <c r="J38" s="93">
        <f>J21*454/J$26*14/(21-J$27)/60/0.0283*1000000/2</f>
        <v>903.2388928029607</v>
      </c>
      <c r="K38" s="91"/>
      <c r="L38" s="93">
        <f t="shared" si="0"/>
        <v>11121.289228136042</v>
      </c>
      <c r="M38" s="91"/>
      <c r="N38" s="93">
        <f t="shared" si="1"/>
        <v>8291.83423810309</v>
      </c>
      <c r="O38" s="91"/>
      <c r="P38" s="93">
        <f t="shared" si="2"/>
        <v>13065.346413131732</v>
      </c>
      <c r="R38" s="93">
        <f t="shared" si="3"/>
        <v>310480.60675279744</v>
      </c>
      <c r="T38" s="93">
        <f t="shared" si="4"/>
        <v>308830.9914231541</v>
      </c>
      <c r="V38" s="93">
        <f t="shared" si="5"/>
        <v>342245.58211160783</v>
      </c>
      <c r="X38" s="93">
        <f t="shared" si="8"/>
        <v>338270.95516821265</v>
      </c>
      <c r="Z38" s="93">
        <f t="shared" si="8"/>
        <v>317974.21618302533</v>
      </c>
      <c r="AB38" s="93">
        <f t="shared" si="8"/>
        <v>356214.16741754254</v>
      </c>
      <c r="AD38" s="93">
        <f t="shared" si="9"/>
        <v>337486.44625626015</v>
      </c>
    </row>
    <row r="39" spans="2:30" s="93" customFormat="1" ht="12.75">
      <c r="B39" s="93" t="s">
        <v>115</v>
      </c>
      <c r="D39" s="93" t="s">
        <v>34</v>
      </c>
      <c r="E39" s="91">
        <v>100</v>
      </c>
      <c r="F39" s="93">
        <f>F22*454/F$26*14/(21-F$27)/60/0.0283*1000000/2</f>
        <v>16.08417991755006</v>
      </c>
      <c r="G39" s="91">
        <v>100</v>
      </c>
      <c r="H39" s="93">
        <f>H22*454/H$26*14/(21-H$27)/60/0.0283*1000000/2</f>
        <v>16.189429276406162</v>
      </c>
      <c r="I39" s="91">
        <v>100</v>
      </c>
      <c r="J39" s="93">
        <f>J22*454/J$26*14/(21-J$27)/60/0.0283*1000000/2</f>
        <v>17.32678515501239</v>
      </c>
      <c r="K39" s="91"/>
      <c r="L39" s="93">
        <f t="shared" si="0"/>
        <v>12.894248380447587</v>
      </c>
      <c r="M39" s="91"/>
      <c r="N39" s="93">
        <f t="shared" si="1"/>
        <v>31.867156948897353</v>
      </c>
      <c r="O39" s="91"/>
      <c r="P39" s="93">
        <f t="shared" si="2"/>
        <v>28.295281890918748</v>
      </c>
      <c r="R39" s="93">
        <f t="shared" si="3"/>
        <v>0</v>
      </c>
      <c r="T39" s="93">
        <f t="shared" si="4"/>
        <v>0</v>
      </c>
      <c r="V39" s="93">
        <f t="shared" si="5"/>
        <v>0</v>
      </c>
      <c r="W39" s="93">
        <f>SUM((L39*K39/100),(F39*E39/100))/X39*100</f>
        <v>55.50397610301538</v>
      </c>
      <c r="X39" s="93">
        <f t="shared" si="8"/>
        <v>28.978428297997645</v>
      </c>
      <c r="Y39" s="93">
        <f>SUM((N39*M39/100),(H39*G39/100))/Z39*100</f>
        <v>33.68826324971425</v>
      </c>
      <c r="Z39" s="93">
        <f t="shared" si="8"/>
        <v>48.05658622530352</v>
      </c>
      <c r="AA39" s="93">
        <f>SUM((P39*O39/100),(J39*I39/100))/AB39*100</f>
        <v>37.978956844652004</v>
      </c>
      <c r="AB39" s="93">
        <f t="shared" si="8"/>
        <v>45.62206704593114</v>
      </c>
      <c r="AC39" s="93">
        <f>SUM((AB39*AA39/100),(Z39*Y39/100),(X39*W39/100))/AD39*100/3</f>
        <v>40.43826390975418</v>
      </c>
      <c r="AD39" s="93">
        <f t="shared" si="9"/>
        <v>40.88569385641077</v>
      </c>
    </row>
    <row r="40" spans="2:30" s="93" customFormat="1" ht="12.75">
      <c r="B40" s="93" t="s">
        <v>118</v>
      </c>
      <c r="D40" s="93" t="s">
        <v>34</v>
      </c>
      <c r="E40" s="91">
        <v>100</v>
      </c>
      <c r="F40" s="93">
        <f t="shared" si="6"/>
        <v>561.4840989399293</v>
      </c>
      <c r="G40" s="91">
        <v>100</v>
      </c>
      <c r="H40" s="93">
        <f t="shared" si="6"/>
        <v>566.6300246742159</v>
      </c>
      <c r="I40" s="91">
        <v>100</v>
      </c>
      <c r="J40" s="93">
        <f t="shared" si="7"/>
        <v>603.2288165078386</v>
      </c>
      <c r="K40" s="91">
        <v>100</v>
      </c>
      <c r="L40" s="93">
        <f t="shared" si="0"/>
        <v>58.02411771201414</v>
      </c>
      <c r="M40" s="91">
        <v>100</v>
      </c>
      <c r="N40" s="93">
        <f t="shared" si="1"/>
        <v>50.98745111823577</v>
      </c>
      <c r="O40" s="91">
        <v>100</v>
      </c>
      <c r="P40" s="93">
        <f t="shared" si="2"/>
        <v>56.590563781837496</v>
      </c>
      <c r="R40" s="93">
        <f t="shared" si="3"/>
        <v>0</v>
      </c>
      <c r="T40" s="93">
        <f t="shared" si="4"/>
        <v>0</v>
      </c>
      <c r="V40" s="93">
        <f t="shared" si="5"/>
        <v>0</v>
      </c>
      <c r="W40" s="93">
        <f>SUM((L40*K40/100),(F40*E40/100))/X40*100</f>
        <v>100</v>
      </c>
      <c r="X40" s="93">
        <f t="shared" si="8"/>
        <v>619.5082166519434</v>
      </c>
      <c r="Y40" s="93">
        <f>SUM((N40*M40/100),(H40*G40/100))/Z40*100</f>
        <v>100</v>
      </c>
      <c r="Z40" s="93">
        <f t="shared" si="8"/>
        <v>617.6174757924516</v>
      </c>
      <c r="AA40" s="93">
        <f>SUM((P40*O40/100),(J40*I40/100))/AB40*100</f>
        <v>100</v>
      </c>
      <c r="AB40" s="93">
        <f t="shared" si="8"/>
        <v>659.8193802896761</v>
      </c>
      <c r="AC40" s="93">
        <f>SUM((AB40*AA40/100),(Z40*Y40/100),(X40*W40/100))/AD40*100/3</f>
        <v>100</v>
      </c>
      <c r="AD40" s="93">
        <f t="shared" si="9"/>
        <v>632.3150242446904</v>
      </c>
    </row>
    <row r="41" spans="2:30" s="93" customFormat="1" ht="12.75">
      <c r="B41" s="93" t="s">
        <v>119</v>
      </c>
      <c r="D41" s="93" t="s">
        <v>34</v>
      </c>
      <c r="E41" s="91">
        <v>100</v>
      </c>
      <c r="F41" s="93">
        <f t="shared" si="6"/>
        <v>1394.9370583038872</v>
      </c>
      <c r="G41" s="91">
        <v>100</v>
      </c>
      <c r="H41" s="93">
        <f t="shared" si="6"/>
        <v>1159.278774971227</v>
      </c>
      <c r="I41" s="91">
        <v>100</v>
      </c>
      <c r="J41" s="93">
        <f t="shared" si="7"/>
        <v>1273.8395752851704</v>
      </c>
      <c r="K41" s="91">
        <v>100</v>
      </c>
      <c r="L41" s="93">
        <f t="shared" si="0"/>
        <v>32.23562095111897</v>
      </c>
      <c r="M41" s="91">
        <v>100</v>
      </c>
      <c r="N41" s="93">
        <f t="shared" si="1"/>
        <v>31.867156948897353</v>
      </c>
      <c r="O41" s="91">
        <v>100</v>
      </c>
      <c r="P41" s="93">
        <f t="shared" si="2"/>
        <v>35.369102363648445</v>
      </c>
      <c r="R41" s="93">
        <f t="shared" si="3"/>
        <v>0</v>
      </c>
      <c r="T41" s="93">
        <f t="shared" si="4"/>
        <v>0</v>
      </c>
      <c r="V41" s="93">
        <f t="shared" si="5"/>
        <v>0</v>
      </c>
      <c r="W41" s="93">
        <f>SUM((L41*K41/100),(F41*E41/100))/X41*100</f>
        <v>99.99999999999999</v>
      </c>
      <c r="X41" s="93">
        <f t="shared" si="8"/>
        <v>1427.1726792550062</v>
      </c>
      <c r="Y41" s="93">
        <f>SUM((N41*M41/100),(H41*G41/100))/Z41*100</f>
        <v>100</v>
      </c>
      <c r="Z41" s="93">
        <f t="shared" si="8"/>
        <v>1191.1459319201244</v>
      </c>
      <c r="AA41" s="93">
        <f>SUM((P41*O41/100),(J41*I41/100))/AB41*100</f>
        <v>100</v>
      </c>
      <c r="AB41" s="93">
        <f t="shared" si="8"/>
        <v>1309.2086776488188</v>
      </c>
      <c r="AC41" s="93">
        <f>SUM((AB41*AA41/100),(Z41*Y41/100),(X41*W41/100))/AD41*100/3</f>
        <v>100</v>
      </c>
      <c r="AD41" s="93">
        <f t="shared" si="9"/>
        <v>1309.1757629413166</v>
      </c>
    </row>
    <row r="42" spans="2:30" ht="12.75">
      <c r="B42" s="93" t="s">
        <v>35</v>
      </c>
      <c r="C42" s="93"/>
      <c r="D42" s="93" t="s">
        <v>34</v>
      </c>
      <c r="E42" s="94">
        <f>F35/F42*100</f>
        <v>1.0674303566779488</v>
      </c>
      <c r="F42" s="93">
        <f>F38+F35</f>
        <v>16848.909562720844</v>
      </c>
      <c r="G42" s="94">
        <f>H35/H42*100</f>
        <v>17.622377622377623</v>
      </c>
      <c r="H42" s="93">
        <f>H38+H35</f>
        <v>1033.521601127715</v>
      </c>
      <c r="I42" s="94">
        <f>J35/J42*100</f>
        <v>17.690058479532162</v>
      </c>
      <c r="J42" s="93">
        <f>J38+J35</f>
        <v>1097.3630598174514</v>
      </c>
      <c r="L42" s="93">
        <f>L38+L35</f>
        <v>11411.409816696112</v>
      </c>
      <c r="N42" s="93">
        <f>N38+N35</f>
        <v>8534.024630914711</v>
      </c>
      <c r="P42" s="93">
        <f>P38+P35</f>
        <v>13298.782488731813</v>
      </c>
      <c r="R42" s="93">
        <f>R38+R35</f>
        <v>344340.9029998528</v>
      </c>
      <c r="T42" s="93">
        <f>T38+T35</f>
        <v>346274.90083810844</v>
      </c>
      <c r="V42" s="93">
        <f>V38+V35</f>
        <v>382764.4257794035</v>
      </c>
      <c r="W42" s="93"/>
      <c r="X42" s="93">
        <f t="shared" si="8"/>
        <v>372601.2223792697</v>
      </c>
      <c r="Y42" s="93"/>
      <c r="Z42" s="93">
        <f t="shared" si="8"/>
        <v>355842.44707015087</v>
      </c>
      <c r="AA42" s="93"/>
      <c r="AB42" s="93">
        <f>AB38+AB35</f>
        <v>397160.5713279528</v>
      </c>
      <c r="AC42" s="93"/>
      <c r="AD42" s="93">
        <f t="shared" si="9"/>
        <v>375201.4135924578</v>
      </c>
    </row>
    <row r="43" spans="2:30" ht="12.75">
      <c r="B43" s="93" t="s">
        <v>36</v>
      </c>
      <c r="C43" s="93"/>
      <c r="D43" s="93" t="s">
        <v>34</v>
      </c>
      <c r="F43" s="93">
        <f>F32+F34+F36</f>
        <v>68612.18713191991</v>
      </c>
      <c r="H43" s="93">
        <f>H32+H34+H36</f>
        <v>99327.93054977912</v>
      </c>
      <c r="J43" s="93">
        <f>J32+J34+J36</f>
        <v>82526.83596054051</v>
      </c>
      <c r="L43" s="93">
        <f>L32+L34+L36</f>
        <v>1798.7476490724384</v>
      </c>
      <c r="N43" s="93">
        <f>N32+N34+N36</f>
        <v>1319.3002976843502</v>
      </c>
      <c r="P43" s="93">
        <f>P32+P34+P36</f>
        <v>2426.320422146283</v>
      </c>
      <c r="R43" s="93">
        <f>R32+R34+R36</f>
        <v>35433.394549469966</v>
      </c>
      <c r="T43" s="93">
        <f>T32+T34+T36</f>
        <v>37660.60608220689</v>
      </c>
      <c r="V43" s="93">
        <f>V32+V34+V36</f>
        <v>40653.246256777515</v>
      </c>
      <c r="W43" s="93"/>
      <c r="X43" s="93">
        <f t="shared" si="8"/>
        <v>105844.32933046232</v>
      </c>
      <c r="Y43" s="93"/>
      <c r="Z43" s="93">
        <f t="shared" si="8"/>
        <v>138307.83692967036</v>
      </c>
      <c r="AA43" s="93"/>
      <c r="AB43" s="93">
        <f>AB32+AB34+AB36</f>
        <v>125606.40263946432</v>
      </c>
      <c r="AC43" s="93"/>
      <c r="AD43" s="93">
        <f t="shared" si="9"/>
        <v>123252.85629986566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B1">
      <selection activeCell="C2" sqref="C2"/>
    </sheetView>
  </sheetViews>
  <sheetFormatPr defaultColWidth="9.140625" defaultRowHeight="12.75"/>
  <cols>
    <col min="1" max="1" width="3.7109375" style="0" hidden="1" customWidth="1"/>
    <col min="2" max="2" width="38.8515625" style="0" customWidth="1"/>
    <col min="3" max="3" width="6.421875" style="0" customWidth="1"/>
    <col min="4" max="4" width="3.140625" style="0" customWidth="1"/>
    <col min="5" max="5" width="8.421875" style="0" customWidth="1"/>
    <col min="6" max="6" width="7.8515625" style="0" customWidth="1"/>
    <col min="7" max="7" width="8.140625" style="0" customWidth="1"/>
    <col min="8" max="8" width="12.28125" style="0" customWidth="1"/>
    <col min="9" max="9" width="12.421875" style="0" customWidth="1"/>
  </cols>
  <sheetData>
    <row r="1" spans="2:9" ht="12.75">
      <c r="B1" s="2" t="s">
        <v>217</v>
      </c>
      <c r="C1" s="9"/>
      <c r="D1" s="9"/>
      <c r="E1" s="9"/>
      <c r="F1" s="9"/>
      <c r="G1" s="9"/>
      <c r="H1" s="9"/>
      <c r="I1" s="9"/>
    </row>
    <row r="2" spans="2:9" ht="12.75">
      <c r="B2" s="9"/>
      <c r="C2" s="9" t="s">
        <v>12</v>
      </c>
      <c r="D2" s="9"/>
      <c r="E2" s="27" t="s">
        <v>171</v>
      </c>
      <c r="F2" s="27" t="s">
        <v>172</v>
      </c>
      <c r="G2" s="27" t="s">
        <v>173</v>
      </c>
      <c r="H2" s="27" t="s">
        <v>170</v>
      </c>
      <c r="I2" s="9"/>
    </row>
    <row r="3" spans="2:9" ht="12.75">
      <c r="B3" s="9"/>
      <c r="C3" s="9"/>
      <c r="D3" s="9"/>
      <c r="E3" s="9"/>
      <c r="F3" s="9"/>
      <c r="G3" s="9"/>
      <c r="H3" s="9"/>
      <c r="I3" s="9"/>
    </row>
    <row r="4" spans="1:9" ht="12.75">
      <c r="A4" t="s">
        <v>58</v>
      </c>
      <c r="B4" s="2" t="s">
        <v>164</v>
      </c>
      <c r="C4" s="9" t="s">
        <v>179</v>
      </c>
      <c r="D4" s="9"/>
      <c r="E4" s="9"/>
      <c r="F4" s="9"/>
      <c r="G4" s="9"/>
      <c r="H4" s="9"/>
      <c r="I4" s="9"/>
    </row>
    <row r="5" spans="2:9" ht="12.75">
      <c r="B5" s="2"/>
      <c r="C5" s="69"/>
      <c r="D5" s="9"/>
      <c r="E5" s="9"/>
      <c r="F5" s="9"/>
      <c r="G5" s="9"/>
      <c r="H5" s="9"/>
      <c r="I5" s="9"/>
    </row>
    <row r="6" spans="2:9" ht="12.75">
      <c r="B6" s="9" t="s">
        <v>174</v>
      </c>
      <c r="C6" s="9" t="s">
        <v>19</v>
      </c>
      <c r="D6" s="9"/>
      <c r="E6" s="9">
        <v>2870</v>
      </c>
      <c r="F6" s="9">
        <v>2795</v>
      </c>
      <c r="G6" s="9">
        <v>2500</v>
      </c>
      <c r="H6" s="9">
        <v>2863.3</v>
      </c>
      <c r="I6" s="9"/>
    </row>
    <row r="7" spans="2:9" ht="12.75">
      <c r="B7" s="9" t="s">
        <v>142</v>
      </c>
      <c r="C7" s="9" t="s">
        <v>19</v>
      </c>
      <c r="D7" s="9"/>
      <c r="E7" s="9">
        <v>432.9</v>
      </c>
      <c r="F7" s="9">
        <v>430.6</v>
      </c>
      <c r="G7" s="9">
        <v>441.4</v>
      </c>
      <c r="H7" s="9">
        <v>432</v>
      </c>
      <c r="I7" s="9"/>
    </row>
    <row r="8" spans="2:10" ht="12.75">
      <c r="B8" s="9" t="s">
        <v>180</v>
      </c>
      <c r="C8" s="9" t="s">
        <v>125</v>
      </c>
      <c r="D8" s="9"/>
      <c r="E8" s="9">
        <v>3.78</v>
      </c>
      <c r="F8" s="9">
        <v>4.41</v>
      </c>
      <c r="G8" s="9">
        <v>3.69</v>
      </c>
      <c r="H8" s="9">
        <v>4.22</v>
      </c>
      <c r="I8" s="9"/>
      <c r="J8" s="29"/>
    </row>
    <row r="9" spans="2:9" ht="12.75">
      <c r="B9" s="9"/>
      <c r="C9" s="9"/>
      <c r="D9" s="9"/>
      <c r="E9" s="9"/>
      <c r="F9" s="9"/>
      <c r="G9" s="9"/>
      <c r="H9" s="9"/>
      <c r="I9" s="9"/>
    </row>
    <row r="10" spans="1:9" ht="12.75">
      <c r="A10" t="s">
        <v>58</v>
      </c>
      <c r="B10" s="2" t="s">
        <v>165</v>
      </c>
      <c r="C10" s="9" t="s">
        <v>57</v>
      </c>
      <c r="D10" s="9"/>
      <c r="E10" s="9"/>
      <c r="F10" s="9"/>
      <c r="G10" s="9"/>
      <c r="H10" s="9"/>
      <c r="I10" s="9"/>
    </row>
    <row r="11" spans="2:9" ht="12.75">
      <c r="B11" s="2"/>
      <c r="C11" s="69"/>
      <c r="D11" s="9"/>
      <c r="E11" s="9"/>
      <c r="F11" s="9"/>
      <c r="G11" s="9"/>
      <c r="H11" s="9"/>
      <c r="I11" s="9"/>
    </row>
    <row r="12" spans="2:9" ht="12.75">
      <c r="B12" s="9" t="s">
        <v>178</v>
      </c>
      <c r="C12" s="9" t="s">
        <v>19</v>
      </c>
      <c r="D12" s="9"/>
      <c r="E12" s="9">
        <v>1847</v>
      </c>
      <c r="F12" s="9">
        <v>1832</v>
      </c>
      <c r="G12" s="9">
        <v>1832</v>
      </c>
      <c r="H12" s="9">
        <f>AVERAGE(E12:G12)</f>
        <v>1837</v>
      </c>
      <c r="I12" s="9"/>
    </row>
    <row r="13" spans="2:9" ht="12.75">
      <c r="B13" s="9" t="s">
        <v>175</v>
      </c>
      <c r="C13" s="9" t="s">
        <v>19</v>
      </c>
      <c r="D13" s="9"/>
      <c r="E13" s="9">
        <v>961</v>
      </c>
      <c r="F13" s="9">
        <v>1002</v>
      </c>
      <c r="G13" s="9">
        <v>929</v>
      </c>
      <c r="H13" s="9">
        <v>959</v>
      </c>
      <c r="I13" s="9"/>
    </row>
    <row r="14" spans="2:9" ht="12.75">
      <c r="B14" s="9" t="s">
        <v>176</v>
      </c>
      <c r="C14" s="9" t="s">
        <v>19</v>
      </c>
      <c r="D14" s="9"/>
      <c r="E14" s="9">
        <v>470</v>
      </c>
      <c r="F14" s="9">
        <v>482</v>
      </c>
      <c r="G14" s="9">
        <v>480</v>
      </c>
      <c r="H14" s="87">
        <f>AVERAGE(E14:G14)</f>
        <v>477.3333333333333</v>
      </c>
      <c r="I14" s="9"/>
    </row>
    <row r="15" spans="2:9" ht="12.75">
      <c r="B15" s="9" t="s">
        <v>142</v>
      </c>
      <c r="C15" s="9" t="s">
        <v>19</v>
      </c>
      <c r="D15" s="9"/>
      <c r="E15" s="9">
        <v>447</v>
      </c>
      <c r="F15" s="9">
        <v>442</v>
      </c>
      <c r="G15" s="9">
        <v>451</v>
      </c>
      <c r="H15" s="9">
        <v>447</v>
      </c>
      <c r="I15" s="9"/>
    </row>
    <row r="16" spans="2:9" ht="12.75">
      <c r="B16" s="9" t="s">
        <v>152</v>
      </c>
      <c r="C16" s="9" t="s">
        <v>125</v>
      </c>
      <c r="D16" s="9"/>
      <c r="E16" s="9"/>
      <c r="F16" s="9"/>
      <c r="G16" s="9"/>
      <c r="H16" s="9">
        <v>-4.37</v>
      </c>
      <c r="I16" s="9"/>
    </row>
    <row r="17" spans="2:9" ht="12.75">
      <c r="B17" s="9"/>
      <c r="C17" s="9"/>
      <c r="D17" s="9"/>
      <c r="E17" s="9"/>
      <c r="F17" s="9"/>
      <c r="G17" s="9"/>
      <c r="H17" s="9"/>
      <c r="I17" s="9"/>
    </row>
    <row r="18" spans="1:9" ht="12.75">
      <c r="A18" t="s">
        <v>58</v>
      </c>
      <c r="B18" s="2" t="s">
        <v>166</v>
      </c>
      <c r="C18" s="9" t="s">
        <v>57</v>
      </c>
      <c r="D18" s="9"/>
      <c r="E18" s="9"/>
      <c r="F18" s="9"/>
      <c r="G18" s="9"/>
      <c r="H18" s="9"/>
      <c r="I18" s="9"/>
    </row>
    <row r="19" spans="2:9" ht="12.75">
      <c r="B19" s="2"/>
      <c r="C19" s="69"/>
      <c r="D19" s="9"/>
      <c r="E19" s="9"/>
      <c r="F19" s="9"/>
      <c r="G19" s="9"/>
      <c r="H19" s="9"/>
      <c r="I19" s="9"/>
    </row>
    <row r="20" spans="2:9" ht="12.75">
      <c r="B20" s="9" t="s">
        <v>178</v>
      </c>
      <c r="C20" s="9" t="s">
        <v>19</v>
      </c>
      <c r="D20" s="9"/>
      <c r="E20" s="9">
        <v>1840</v>
      </c>
      <c r="F20" s="9">
        <v>2032</v>
      </c>
      <c r="G20" s="9">
        <v>1997</v>
      </c>
      <c r="H20" s="9">
        <v>1956</v>
      </c>
      <c r="I20" s="9"/>
    </row>
    <row r="21" spans="2:9" ht="12.75">
      <c r="B21" t="s">
        <v>163</v>
      </c>
      <c r="C21" s="9" t="s">
        <v>19</v>
      </c>
      <c r="E21">
        <v>1108</v>
      </c>
      <c r="F21">
        <v>1052</v>
      </c>
      <c r="G21">
        <v>1081</v>
      </c>
      <c r="H21">
        <v>1080</v>
      </c>
      <c r="I21" s="9"/>
    </row>
    <row r="22" spans="2:9" ht="12.75">
      <c r="B22" t="s">
        <v>177</v>
      </c>
      <c r="C22" s="9" t="s">
        <v>19</v>
      </c>
      <c r="E22">
        <v>392</v>
      </c>
      <c r="F22">
        <v>376</v>
      </c>
      <c r="G22">
        <v>372</v>
      </c>
      <c r="H22">
        <f>AVERAGE(E22:G22)</f>
        <v>380</v>
      </c>
      <c r="I22" s="9"/>
    </row>
    <row r="23" spans="2:9" ht="12.75">
      <c r="B23" s="9" t="s">
        <v>161</v>
      </c>
      <c r="C23" s="9" t="s">
        <v>19</v>
      </c>
      <c r="D23" s="9"/>
      <c r="E23" s="9">
        <v>358</v>
      </c>
      <c r="F23" s="9">
        <v>359</v>
      </c>
      <c r="G23" s="9">
        <v>364</v>
      </c>
      <c r="H23" s="9">
        <v>352</v>
      </c>
      <c r="I23" s="9"/>
    </row>
    <row r="24" spans="2:9" ht="12.75">
      <c r="B24" s="9" t="s">
        <v>152</v>
      </c>
      <c r="C24" s="9" t="s">
        <v>125</v>
      </c>
      <c r="D24" s="9"/>
      <c r="E24" s="9"/>
      <c r="F24" s="9"/>
      <c r="G24" s="9"/>
      <c r="H24" s="9">
        <v>-7.29</v>
      </c>
      <c r="I24" s="9"/>
    </row>
    <row r="25" spans="2:9" ht="12.75">
      <c r="B25" s="2"/>
      <c r="C25" s="69"/>
      <c r="D25" s="9"/>
      <c r="E25" s="9"/>
      <c r="F25" s="9"/>
      <c r="G25" s="9"/>
      <c r="H25" s="9"/>
      <c r="I25" s="9"/>
    </row>
    <row r="26" spans="2:8" ht="12.75">
      <c r="B26" s="9"/>
      <c r="C26" s="9"/>
      <c r="D26" s="9"/>
      <c r="E26" s="9"/>
      <c r="F26" s="9"/>
      <c r="G26" s="9"/>
      <c r="H26" s="9"/>
    </row>
    <row r="27" spans="2:8" ht="12.75">
      <c r="B27" s="9"/>
      <c r="C27" s="9"/>
      <c r="D27" s="9"/>
      <c r="E27" s="9"/>
      <c r="F27" s="9"/>
      <c r="G27" s="9"/>
      <c r="H27" s="9"/>
    </row>
    <row r="28" spans="2:8" ht="12.75">
      <c r="B28" s="9"/>
      <c r="C28" s="9"/>
      <c r="D28" s="9"/>
      <c r="E28" s="9"/>
      <c r="F28" s="9"/>
      <c r="G28" s="9"/>
      <c r="H28" s="9"/>
    </row>
    <row r="29" spans="2:8" ht="12.75">
      <c r="B29" s="9"/>
      <c r="C29" s="9"/>
      <c r="D29" s="9"/>
      <c r="E29" s="9"/>
      <c r="F29" s="9"/>
      <c r="G29" s="9"/>
      <c r="H29" s="9"/>
    </row>
    <row r="30" spans="2:8" ht="14.25">
      <c r="B30" s="9"/>
      <c r="C30" s="9"/>
      <c r="D30" s="3"/>
      <c r="E30" s="3"/>
      <c r="F30" s="3"/>
      <c r="G30" s="3"/>
      <c r="H30" s="9"/>
    </row>
    <row r="31" spans="2:8" ht="14.25">
      <c r="B31" s="9"/>
      <c r="C31" s="9"/>
      <c r="D31" s="3"/>
      <c r="E31" s="3"/>
      <c r="F31" s="3"/>
      <c r="G31" s="3"/>
      <c r="H31" s="9"/>
    </row>
    <row r="33" spans="2:8" ht="12.75">
      <c r="B33" s="2"/>
      <c r="C33" s="9"/>
      <c r="D33" s="9"/>
      <c r="E33" s="9"/>
      <c r="F33" s="9"/>
      <c r="G33" s="9"/>
      <c r="H33" s="9"/>
    </row>
    <row r="34" spans="2:8" ht="12.75">
      <c r="B34" s="2"/>
      <c r="C34" s="69"/>
      <c r="D34" s="9"/>
      <c r="E34" s="9"/>
      <c r="F34" s="9"/>
      <c r="G34" s="9"/>
      <c r="H34" s="9"/>
    </row>
    <row r="35" spans="2:8" ht="12.75">
      <c r="B35" s="9"/>
      <c r="C35" s="9"/>
      <c r="D35" s="9"/>
      <c r="E35" s="9"/>
      <c r="F35" s="9"/>
      <c r="G35" s="9"/>
      <c r="H35" s="9"/>
    </row>
    <row r="36" spans="2:8" ht="12.75">
      <c r="B36" s="9"/>
      <c r="C36" s="9"/>
      <c r="D36" s="9"/>
      <c r="E36" s="9"/>
      <c r="F36" s="9"/>
      <c r="G36" s="9"/>
      <c r="H36" s="9"/>
    </row>
    <row r="37" spans="2:8" ht="12.75">
      <c r="B37" s="9"/>
      <c r="C37" s="9"/>
      <c r="D37" s="9"/>
      <c r="E37" s="9"/>
      <c r="F37" s="9"/>
      <c r="G37" s="9"/>
      <c r="H37" s="9"/>
    </row>
    <row r="38" spans="2:8" ht="12.75">
      <c r="B38" s="9"/>
      <c r="C38" s="9"/>
      <c r="D38" s="9"/>
      <c r="E38" s="9"/>
      <c r="F38" s="9"/>
      <c r="G38" s="9"/>
      <c r="H38" s="9"/>
    </row>
    <row r="39" spans="2:8" ht="14.25">
      <c r="B39" s="9"/>
      <c r="C39" s="9"/>
      <c r="D39" s="3"/>
      <c r="E39" s="3"/>
      <c r="F39" s="3"/>
      <c r="G39" s="3"/>
      <c r="H39" s="9"/>
    </row>
    <row r="42" spans="2:8" ht="12.75">
      <c r="B42" s="2"/>
      <c r="C42" s="9"/>
      <c r="D42" s="9"/>
      <c r="E42" s="9"/>
      <c r="F42" s="9"/>
      <c r="G42" s="9"/>
      <c r="H42" s="9"/>
    </row>
    <row r="43" spans="2:8" ht="12.75">
      <c r="B43" s="2"/>
      <c r="C43" s="69"/>
      <c r="D43" s="9"/>
      <c r="E43" s="9"/>
      <c r="F43" s="9"/>
      <c r="G43" s="9"/>
      <c r="H43" s="9"/>
    </row>
    <row r="44" spans="2:8" ht="12.75">
      <c r="B44" s="9"/>
      <c r="C44" s="9"/>
      <c r="D44" s="9"/>
      <c r="E44" s="9"/>
      <c r="F44" s="9"/>
      <c r="G44" s="9"/>
      <c r="H44" s="9"/>
    </row>
    <row r="45" spans="2:8" ht="12.75">
      <c r="B45" s="9"/>
      <c r="C45" s="9"/>
      <c r="D45" s="9"/>
      <c r="E45" s="9"/>
      <c r="F45" s="9"/>
      <c r="G45" s="9"/>
      <c r="H45" s="9"/>
    </row>
    <row r="46" spans="2:8" ht="12.75">
      <c r="B46" s="9"/>
      <c r="C46" s="9"/>
      <c r="D46" s="9"/>
      <c r="E46" s="9"/>
      <c r="F46" s="9"/>
      <c r="G46" s="9"/>
      <c r="H46" s="9"/>
    </row>
    <row r="47" spans="2:8" ht="12.75">
      <c r="B47" s="9"/>
      <c r="C47" s="9"/>
      <c r="D47" s="9"/>
      <c r="E47" s="9"/>
      <c r="F47" s="9"/>
      <c r="G47" s="9"/>
      <c r="H47" s="9"/>
    </row>
    <row r="48" spans="2:8" ht="14.25">
      <c r="B48" s="9"/>
      <c r="C48" s="9"/>
      <c r="D48" s="3"/>
      <c r="E48" s="3"/>
      <c r="F48" s="3"/>
      <c r="G48" s="3"/>
      <c r="H48" s="9"/>
    </row>
    <row r="51" spans="2:8" ht="12.75">
      <c r="B51" s="2"/>
      <c r="C51" s="9"/>
      <c r="D51" s="9"/>
      <c r="E51" s="9"/>
      <c r="F51" s="9"/>
      <c r="G51" s="9"/>
      <c r="H51" s="9"/>
    </row>
    <row r="52" spans="2:8" ht="12.75">
      <c r="B52" s="2"/>
      <c r="C52" s="69"/>
      <c r="D52" s="9"/>
      <c r="E52" s="9"/>
      <c r="F52" s="9"/>
      <c r="G52" s="9"/>
      <c r="H52" s="9"/>
    </row>
    <row r="53" spans="2:8" ht="12.75">
      <c r="B53" s="9"/>
      <c r="C53" s="9"/>
      <c r="D53" s="9"/>
      <c r="E53" s="9"/>
      <c r="F53" s="9"/>
      <c r="G53" s="9"/>
      <c r="H53" s="9"/>
    </row>
    <row r="54" spans="2:8" ht="12.75">
      <c r="B54" s="9"/>
      <c r="C54" s="9"/>
      <c r="D54" s="9"/>
      <c r="E54" s="9"/>
      <c r="F54" s="9"/>
      <c r="G54" s="9"/>
      <c r="H54" s="9"/>
    </row>
    <row r="55" spans="2:8" ht="12.75">
      <c r="B55" s="9"/>
      <c r="C55" s="9"/>
      <c r="D55" s="9"/>
      <c r="E55" s="9"/>
      <c r="F55" s="9"/>
      <c r="G55" s="9"/>
      <c r="H55" s="9"/>
    </row>
    <row r="56" spans="2:8" ht="12.75">
      <c r="B56" s="9"/>
      <c r="C56" s="9"/>
      <c r="D56" s="9"/>
      <c r="E56" s="9"/>
      <c r="F56" s="9"/>
      <c r="G56" s="9"/>
      <c r="H56" s="9"/>
    </row>
    <row r="57" spans="2:8" ht="14.25">
      <c r="B57" s="9"/>
      <c r="C57" s="9"/>
      <c r="D57" s="3"/>
      <c r="E57" s="3"/>
      <c r="F57" s="3"/>
      <c r="G57" s="3"/>
      <c r="H57" s="9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E7"/>
  <sheetViews>
    <sheetView workbookViewId="0" topLeftCell="A1">
      <selection activeCell="C2" sqref="C2"/>
    </sheetView>
  </sheetViews>
  <sheetFormatPr defaultColWidth="9.140625" defaultRowHeight="12.75"/>
  <cols>
    <col min="1" max="1" width="0.13671875" style="0" customWidth="1"/>
    <col min="2" max="2" width="9.140625" style="0" hidden="1" customWidth="1"/>
    <col min="3" max="3" width="24.7109375" style="0" customWidth="1"/>
  </cols>
  <sheetData>
    <row r="1" ht="12.75">
      <c r="C1" s="2" t="s">
        <v>216</v>
      </c>
    </row>
    <row r="3" spans="3:7" ht="12.75">
      <c r="C3" s="2" t="s">
        <v>181</v>
      </c>
      <c r="E3" s="112">
        <v>1</v>
      </c>
      <c r="F3" s="112">
        <v>2</v>
      </c>
      <c r="G3" s="112">
        <v>3</v>
      </c>
    </row>
    <row r="5" spans="1:31" s="94" customFormat="1" ht="12.75">
      <c r="A5" s="94" t="s">
        <v>181</v>
      </c>
      <c r="B5" s="94" t="s">
        <v>201</v>
      </c>
      <c r="C5" s="94" t="s">
        <v>202</v>
      </c>
      <c r="D5" s="94" t="s">
        <v>203</v>
      </c>
      <c r="E5" s="91">
        <v>2473</v>
      </c>
      <c r="F5" s="91">
        <v>2448</v>
      </c>
      <c r="G5" s="91">
        <v>2425</v>
      </c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</row>
    <row r="6" spans="1:22" s="94" customFormat="1" ht="12.75">
      <c r="A6" s="94" t="s">
        <v>181</v>
      </c>
      <c r="B6" s="94" t="s">
        <v>201</v>
      </c>
      <c r="C6" s="94" t="s">
        <v>205</v>
      </c>
      <c r="D6" s="94" t="s">
        <v>203</v>
      </c>
      <c r="E6" s="91">
        <v>423</v>
      </c>
      <c r="F6" s="91">
        <v>401</v>
      </c>
      <c r="G6" s="91">
        <v>412</v>
      </c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</row>
    <row r="7" spans="1:23" s="94" customFormat="1" ht="12.75">
      <c r="A7" s="94" t="s">
        <v>181</v>
      </c>
      <c r="B7" s="94" t="s">
        <v>201</v>
      </c>
      <c r="C7" s="94" t="s">
        <v>206</v>
      </c>
      <c r="D7" s="94" t="s">
        <v>204</v>
      </c>
      <c r="E7" s="91">
        <v>3.2</v>
      </c>
      <c r="F7" s="91">
        <v>5.2</v>
      </c>
      <c r="G7" s="91">
        <v>6.1</v>
      </c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2004-02-24T23:55:42Z</cp:lastPrinted>
  <dcterms:created xsi:type="dcterms:W3CDTF">2000-01-10T00:44:42Z</dcterms:created>
  <dcterms:modified xsi:type="dcterms:W3CDTF">2005-03-14T17:31:10Z</dcterms:modified>
  <cp:category/>
  <cp:version/>
  <cp:contentType/>
  <cp:contentStatus/>
</cp:coreProperties>
</file>