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65" windowWidth="12015" windowHeight="6405" tabRatio="759" activeTab="4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0" sheetId="10" r:id="rId10"/>
    <sheet name="df c1" sheetId="11" r:id="rId11"/>
    <sheet name="df c3" sheetId="12" r:id="rId12"/>
    <sheet name="df c4" sheetId="13" r:id="rId13"/>
    <sheet name="df c5" sheetId="14" r:id="rId14"/>
    <sheet name="df c6" sheetId="15" r:id="rId15"/>
    <sheet name="df c9" sheetId="16" r:id="rId16"/>
    <sheet name="df b1" sheetId="17" r:id="rId17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<sst xmlns="http://schemas.openxmlformats.org/spreadsheetml/2006/main" count="3820" uniqueCount="330">
  <si>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</si>
  <si>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</si>
  <si>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</si>
  <si>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</si>
  <si>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</si>
  <si>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</si>
  <si>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</si>
  <si>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</si>
  <si>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</si>
  <si>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</si>
  <si>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</si>
  <si>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</si>
  <si>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n</t>
  </si>
  <si>
    <t>nd</t>
  </si>
  <si>
    <t>%</t>
  </si>
  <si>
    <t>y</t>
  </si>
  <si>
    <t>dscfm</t>
  </si>
  <si>
    <t xml:space="preserve"> </t>
  </si>
  <si>
    <t>°F</t>
  </si>
  <si>
    <t>PM</t>
  </si>
  <si>
    <t>gr/dscf</t>
  </si>
  <si>
    <t>HCl</t>
  </si>
  <si>
    <t>Chlorine</t>
  </si>
  <si>
    <t>Facility Name and ID:</t>
  </si>
  <si>
    <t>Condition ID:</t>
  </si>
  <si>
    <t>Condition/Test Date: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</si>
  <si>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</si>
  <si>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</si>
  <si>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</si>
  <si>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</si>
  <si>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</si>
  <si>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</si>
  <si>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</si>
  <si>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</si>
  <si>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>Detected in sample volume (ng)</t>
  </si>
  <si>
    <t>2,3,7,8-TCDD</t>
  </si>
  <si>
    <t>TCDD Total</t>
  </si>
  <si>
    <t>1,2,3,7,8-PCDD</t>
  </si>
  <si>
    <t>PCDD Total</t>
  </si>
  <si>
    <t>1,2,3,4,7,8-HxCDD</t>
  </si>
  <si>
    <t>1,2,3,6,7,8-HxCDD</t>
  </si>
  <si>
    <t>1,2,3,7,8,9-HxCDD</t>
  </si>
  <si>
    <t>HxCDD Total</t>
  </si>
  <si>
    <t>1,2,3,4,6,7,8-HpCDD</t>
  </si>
  <si>
    <t>HpCDD Total</t>
  </si>
  <si>
    <t>OCDD</t>
  </si>
  <si>
    <t>2,3,7,8-TCDF</t>
  </si>
  <si>
    <t>TCDF Total</t>
  </si>
  <si>
    <t>1,2,3,7,8-PCDF</t>
  </si>
  <si>
    <t>2,3,4,7,8-PCDF</t>
  </si>
  <si>
    <t>PCDF Total</t>
  </si>
  <si>
    <t>1,2,3,4,7,8-HxCDF</t>
  </si>
  <si>
    <t>1,2,3,6,7,8-HxCDF</t>
  </si>
  <si>
    <t>2,3,4,6,7,8-HxCDF</t>
  </si>
  <si>
    <t>1,2,3,7,8,9-HxCDF</t>
  </si>
  <si>
    <t>HxCDF Total</t>
  </si>
  <si>
    <t>1,2,3,4,6,7,8-HpCDF</t>
  </si>
  <si>
    <t>1,2,3,4,7,8,9-HpCDF</t>
  </si>
  <si>
    <t>HpCDF Total</t>
  </si>
  <si>
    <t>OCDF</t>
  </si>
  <si>
    <t>Gas sample volume (dscf)</t>
  </si>
  <si>
    <t>O2 (%)</t>
  </si>
  <si>
    <t>PCDD/PCDF (ng in sample)</t>
  </si>
  <si>
    <t>PCDD/PCDF (ng/dscm @ 7% O2)</t>
  </si>
  <si>
    <t>Heating Value</t>
  </si>
  <si>
    <t>Combustor Characteristics</t>
  </si>
  <si>
    <t>ppmv</t>
  </si>
  <si>
    <t>Spike</t>
  </si>
  <si>
    <t>Process Information</t>
  </si>
  <si>
    <t>Cl2</t>
  </si>
  <si>
    <t>ug/dscm</t>
  </si>
  <si>
    <t>Cond Avg</t>
  </si>
  <si>
    <t>Stack Gas Flowrate</t>
  </si>
  <si>
    <t>Oxygen</t>
  </si>
  <si>
    <t>1/2 ND</t>
  </si>
  <si>
    <t>TEQ Cond Avg</t>
  </si>
  <si>
    <t>Total Cond Avg</t>
  </si>
  <si>
    <t>SVM</t>
  </si>
  <si>
    <t>LVM</t>
  </si>
  <si>
    <t>HW</t>
  </si>
  <si>
    <t>ng/dscm</t>
  </si>
  <si>
    <t>RA</t>
  </si>
  <si>
    <t>Other</t>
  </si>
  <si>
    <t>Capacity (MMBtu/hr)</t>
  </si>
  <si>
    <t>PCDD/PCDF</t>
  </si>
  <si>
    <t>Supplemental Fuel</t>
  </si>
  <si>
    <t>Haz Waste Description</t>
  </si>
  <si>
    <t xml:space="preserve">    Gas Velocity (ft/sec)</t>
  </si>
  <si>
    <t xml:space="preserve">    Gas Temperature (°F)</t>
  </si>
  <si>
    <t>Feedrate MTEC Calculations</t>
  </si>
  <si>
    <t>Source Description</t>
  </si>
  <si>
    <t>Hazardous Wastes</t>
  </si>
  <si>
    <t xml:space="preserve">   Temperature</t>
  </si>
  <si>
    <t xml:space="preserve">   Stack Gas Flowrate</t>
  </si>
  <si>
    <t>PM, HCl/Cl2</t>
  </si>
  <si>
    <t xml:space="preserve">   O2</t>
  </si>
  <si>
    <t xml:space="preserve">   Moisture</t>
  </si>
  <si>
    <t>CO (RA)</t>
  </si>
  <si>
    <t>Sampling Train</t>
  </si>
  <si>
    <t>Arsenic</t>
  </si>
  <si>
    <t>Barium</t>
  </si>
  <si>
    <t>Beryllium</t>
  </si>
  <si>
    <t>Thallium</t>
  </si>
  <si>
    <t>Antimony</t>
  </si>
  <si>
    <t>Lead</t>
  </si>
  <si>
    <t>Nickel</t>
  </si>
  <si>
    <t>Cadmium</t>
  </si>
  <si>
    <t>Silver</t>
  </si>
  <si>
    <t>Chromium</t>
  </si>
  <si>
    <t>Feedstream Description</t>
  </si>
  <si>
    <t>*</t>
  </si>
  <si>
    <t>Thermal Feedrate</t>
  </si>
  <si>
    <t>Mercury</t>
  </si>
  <si>
    <t>Feed Rate</t>
  </si>
  <si>
    <t>HWC Burn Status (Date if Terminated)</t>
  </si>
  <si>
    <t>Phase I ID No.</t>
  </si>
  <si>
    <t>Ash Grove Cement Company</t>
  </si>
  <si>
    <t>ARD981512270</t>
  </si>
  <si>
    <t>Foreman</t>
  </si>
  <si>
    <t>AR</t>
  </si>
  <si>
    <t>Wet, long</t>
  </si>
  <si>
    <t>ESP</t>
  </si>
  <si>
    <t>Coal, natural gas</t>
  </si>
  <si>
    <t>Solid haz waste and tires fired in mid-kiln hatch</t>
  </si>
  <si>
    <t>Y</t>
  </si>
  <si>
    <t>Ash Grove Cement</t>
  </si>
  <si>
    <t>AirSource Technologies</t>
  </si>
  <si>
    <t>CO, HC, HCl/Cl2, metals, PM, D/F</t>
  </si>
  <si>
    <t>Max comb temp, max metals, chlorine</t>
  </si>
  <si>
    <t>Metals</t>
  </si>
  <si>
    <t>Tier I for Hg, Ag, Tl, Sb, and Ba; Tier III for Pb, As, Be, Cd, and Cr</t>
  </si>
  <si>
    <t>CO (MHRA)</t>
  </si>
  <si>
    <t>HC (RA)</t>
  </si>
  <si>
    <t>HC (MHRA)</t>
  </si>
  <si>
    <t>g/hr</t>
  </si>
  <si>
    <t>Raw Matl</t>
  </si>
  <si>
    <t>Coal</t>
  </si>
  <si>
    <t>Tires</t>
  </si>
  <si>
    <t>LWDF</t>
  </si>
  <si>
    <t>Zinc</t>
  </si>
  <si>
    <t>R1</t>
  </si>
  <si>
    <t>R2</t>
  </si>
  <si>
    <t>R3</t>
  </si>
  <si>
    <t>R4</t>
  </si>
  <si>
    <t>Btu/hr</t>
  </si>
  <si>
    <t>ESP Inlet Temp</t>
  </si>
  <si>
    <t>Chain Temp</t>
  </si>
  <si>
    <t>F</t>
  </si>
  <si>
    <t>ESP Power</t>
  </si>
  <si>
    <t>kVA</t>
  </si>
  <si>
    <t>min HRA</t>
  </si>
  <si>
    <t>max HRA</t>
  </si>
  <si>
    <t>Run 4</t>
  </si>
  <si>
    <t>R6</t>
  </si>
  <si>
    <t>R5</t>
  </si>
  <si>
    <t>max op cond</t>
  </si>
  <si>
    <t>Kiln No. 3</t>
  </si>
  <si>
    <t>RCRA Cement Kiln Test Burn Report Kiln 3, April 1998</t>
  </si>
  <si>
    <t>Risk burn normal oper cond</t>
  </si>
  <si>
    <t>PM, PSD</t>
  </si>
  <si>
    <t>Risk burn norm ops</t>
  </si>
  <si>
    <t>Risk burn</t>
  </si>
  <si>
    <t>404C10</t>
  </si>
  <si>
    <t>404C11</t>
  </si>
  <si>
    <t>CoC burn, 1/15-16/98</t>
  </si>
  <si>
    <t>Ash Grove, Foreman, AR, Kiln No. 3</t>
  </si>
  <si>
    <t>Trial burn: Max comb temp, max metals, chlorine, raw material feedrate, max APCD temp, min ESP power</t>
  </si>
  <si>
    <t>MMBtu/hr</t>
  </si>
  <si>
    <t>Report Name/Date</t>
  </si>
  <si>
    <t>Report Prepare</t>
  </si>
  <si>
    <t>Testing Firm</t>
  </si>
  <si>
    <t>Testing Dates</t>
  </si>
  <si>
    <t>Condition Descr</t>
  </si>
  <si>
    <t>Content</t>
  </si>
  <si>
    <t>404C1</t>
  </si>
  <si>
    <t>Cond Descr</t>
  </si>
  <si>
    <t>404C2</t>
  </si>
  <si>
    <t>404C3</t>
  </si>
  <si>
    <t>January 17-18, 1995</t>
  </si>
  <si>
    <t>404C4</t>
  </si>
  <si>
    <t>Jan 19-21, 1995</t>
  </si>
  <si>
    <t>404C5</t>
  </si>
  <si>
    <t>Jan 21-23, 1995</t>
  </si>
  <si>
    <t>404C6</t>
  </si>
  <si>
    <t>404C7</t>
  </si>
  <si>
    <t>LOW KILN EXIT TEMP, LOW PARTICULATE MATTER LOADING</t>
  </si>
  <si>
    <t>404C8</t>
  </si>
  <si>
    <t>EER/EPA sponsored research testing with copper and water quench</t>
  </si>
  <si>
    <t>Jan 19-23, 1995</t>
  </si>
  <si>
    <t>404C9</t>
  </si>
  <si>
    <t>NORMAL OPERATION, HIGH KILN EXIT TEMP</t>
  </si>
  <si>
    <t>404B1</t>
  </si>
  <si>
    <t>NORMAL OPERATION, LOW KILN EXIT TEMP</t>
  </si>
  <si>
    <t/>
  </si>
  <si>
    <t>Chromium (Hex)</t>
  </si>
  <si>
    <t>Cr Hex</t>
  </si>
  <si>
    <t>Dioxin &amp; Furan</t>
  </si>
  <si>
    <t>Particulate</t>
  </si>
  <si>
    <t>SVOC</t>
  </si>
  <si>
    <t>Liquid waste</t>
  </si>
  <si>
    <t>Solid waste</t>
  </si>
  <si>
    <t>Raw material</t>
  </si>
  <si>
    <t>Organic liquid spike</t>
  </si>
  <si>
    <t>Liquid metal spike</t>
  </si>
  <si>
    <t>Feedrate</t>
  </si>
  <si>
    <t>lb/hr</t>
  </si>
  <si>
    <t>Heating value</t>
  </si>
  <si>
    <t>Btu/lb</t>
  </si>
  <si>
    <t>Gas flowrate</t>
  </si>
  <si>
    <t>Copper</t>
  </si>
  <si>
    <t>Full ND</t>
  </si>
  <si>
    <t>4D 2378</t>
  </si>
  <si>
    <t>4D Other</t>
  </si>
  <si>
    <t>4D Total</t>
  </si>
  <si>
    <t>5D 12378</t>
  </si>
  <si>
    <t>5D Other</t>
  </si>
  <si>
    <t>5D Total</t>
  </si>
  <si>
    <t>6D 123478</t>
  </si>
  <si>
    <t>6D 123678</t>
  </si>
  <si>
    <t>6D 123789</t>
  </si>
  <si>
    <t>6D Other</t>
  </si>
  <si>
    <t>6D Total</t>
  </si>
  <si>
    <t>7D 1234678</t>
  </si>
  <si>
    <t>7D Other</t>
  </si>
  <si>
    <t>7D Total</t>
  </si>
  <si>
    <t>8D</t>
  </si>
  <si>
    <t>4F 2378</t>
  </si>
  <si>
    <t>4F Other</t>
  </si>
  <si>
    <t>4F Total</t>
  </si>
  <si>
    <t>5F 12378</t>
  </si>
  <si>
    <t>5F 23478</t>
  </si>
  <si>
    <t>5F Other</t>
  </si>
  <si>
    <t>5F Total</t>
  </si>
  <si>
    <t>6F 123478</t>
  </si>
  <si>
    <t>6F 123678</t>
  </si>
  <si>
    <t>6F 123789</t>
  </si>
  <si>
    <t>6F 234678</t>
  </si>
  <si>
    <t>6F Other</t>
  </si>
  <si>
    <t>6F Total</t>
  </si>
  <si>
    <t>7F 1234678</t>
  </si>
  <si>
    <t>7F 1234789</t>
  </si>
  <si>
    <t>7F Other</t>
  </si>
  <si>
    <t>7F Total</t>
  </si>
  <si>
    <t>8F</t>
  </si>
  <si>
    <t>Total PCDD/PCDF</t>
  </si>
  <si>
    <t>1,1,1-Trichloroethane</t>
  </si>
  <si>
    <t>1,2,4-Trichlorobenzene</t>
  </si>
  <si>
    <t>Tetrachloroethene</t>
  </si>
  <si>
    <t>1,2-dichlorobenzene</t>
  </si>
  <si>
    <t>trichloroethene</t>
  </si>
  <si>
    <t>Ash Grove Cement, Foreman Arkansas, RCRA Trial Burn Report and Certification of Compliance for Kiln No. 3 - July 1992, dated November 1992</t>
  </si>
  <si>
    <t>Ash Grove</t>
  </si>
  <si>
    <t>Air Source Technologies</t>
  </si>
  <si>
    <t>CoC, HIGH COMB TEMP, MIN ESP POWER</t>
  </si>
  <si>
    <t>CoC, LOW COMB TEMP, HIGH HW FEED</t>
  </si>
  <si>
    <t>July 25-26, 1992</t>
  </si>
  <si>
    <t>July 27, August 6, 1992</t>
  </si>
  <si>
    <t>Ash Grove Cement, Foreman Arkansas, Report of RCRA Trial Burn for Kiln No. 3, January 1995, dated June 1995</t>
  </si>
  <si>
    <t>CoC, MAX FEED &amp; CHLORINE, MIN. COMB. TEMP.</t>
  </si>
  <si>
    <t>CoC, MAX FEED, PRODUCTION, CHLORINE, &amp; COMB. TEMP. MIN ESP POWER</t>
  </si>
  <si>
    <t>CoC, PM MEASUREMENT</t>
  </si>
  <si>
    <t>Emissions Testing of Ash Grove Cement Company, Foreman, Arkansas, Waste Derived Fuel Facility Cement Kiln No. 3, prepared for U.S. EPA OSW by EER under EPA Contract No. 68-D2-0164, Work Ass 2-07, May 19, 1995</t>
  </si>
  <si>
    <t>EER</t>
  </si>
  <si>
    <t>STUDY THE FORMATION OF DIOXINS &amp; FURANS</t>
  </si>
  <si>
    <t>Data contained in letter from Steven Bales (Ash Grove) to Warren Owens (REI), dated November 18, 1993</t>
  </si>
  <si>
    <t>Combustor Type</t>
  </si>
  <si>
    <t>Combustor Class</t>
  </si>
  <si>
    <t>Condition Description</t>
  </si>
  <si>
    <t>Stack Gas Emissions 1</t>
  </si>
  <si>
    <t>Stack Gas Emissions 2</t>
  </si>
  <si>
    <t>Feedstreams 1</t>
  </si>
  <si>
    <t>Feedstreams 2</t>
  </si>
  <si>
    <t>40410</t>
  </si>
  <si>
    <t>Combustion Temperature</t>
  </si>
  <si>
    <t>ESP Temperature</t>
  </si>
  <si>
    <t>Process Information 2</t>
  </si>
  <si>
    <t>SCA = 580, 4 fields, 20 years old, recently rebuilt to meet 0.04 gr/dscf</t>
  </si>
  <si>
    <t>E1</t>
  </si>
  <si>
    <t>Total Chlorine</t>
  </si>
  <si>
    <t>E2</t>
  </si>
  <si>
    <t>E3</t>
  </si>
  <si>
    <t>E4</t>
  </si>
  <si>
    <t>Selenium</t>
  </si>
  <si>
    <t>January 15-16, 1998</t>
  </si>
  <si>
    <t>Cond Dates</t>
  </si>
  <si>
    <t>January 18-19, 1995</t>
  </si>
  <si>
    <t>January 25-26, 1995</t>
  </si>
  <si>
    <t>Number of Sister Facilities</t>
  </si>
  <si>
    <t>APCS Detailed Acronym</t>
  </si>
  <si>
    <t>APCS General Class</t>
  </si>
  <si>
    <t>Liq, solid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</si>
  <si>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</si>
  <si>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</si>
  <si>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</si>
  <si>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</si>
  <si>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</si>
  <si>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</si>
  <si>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</si>
  <si>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</si>
  <si>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df c10</t>
  </si>
  <si>
    <t>df c3</t>
  </si>
  <si>
    <t>df c4</t>
  </si>
  <si>
    <t>df c1</t>
  </si>
  <si>
    <t>df c5</t>
  </si>
  <si>
    <t>df c6</t>
  </si>
  <si>
    <t>df c9</t>
  </si>
  <si>
    <t>df b1</t>
  </si>
  <si>
    <t>Cement Kiln (CK)</t>
  </si>
  <si>
    <t>Feed Class</t>
  </si>
  <si>
    <t>Feedstream Number</t>
  </si>
  <si>
    <t>F1</t>
  </si>
  <si>
    <t>Raw Material</t>
  </si>
  <si>
    <t>F2</t>
  </si>
  <si>
    <t>F3</t>
  </si>
  <si>
    <t>Solid non-HW</t>
  </si>
  <si>
    <t>F4</t>
  </si>
  <si>
    <t>Solid HW</t>
  </si>
  <si>
    <t>F5</t>
  </si>
  <si>
    <t>F6</t>
  </si>
  <si>
    <t>Liq HW</t>
  </si>
  <si>
    <t>F7</t>
  </si>
  <si>
    <t>F8</t>
  </si>
  <si>
    <t>Feed Class 2</t>
  </si>
  <si>
    <t>RM</t>
  </si>
  <si>
    <t>Feedrate MTECs</t>
  </si>
  <si>
    <t>MF</t>
  </si>
  <si>
    <t>Estimated Firing Rate</t>
  </si>
  <si>
    <t>coke</t>
  </si>
  <si>
    <t>N</t>
  </si>
  <si>
    <t>high NDs?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</si>
</sst>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0.00000"/>
    <numFmt numFmtId="169" formatCode="0.0E+00"/>
    <numFmt numFmtId="170" formatCode="0.000000"/>
    <numFmt numFmtId="171" formatCode="0.000E+00"/>
    <numFmt numFmtId="172" formatCode="0.0000000"/>
    <numFmt numFmtId="173" formatCode="mm/dd/yy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7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1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17" fontId="0" fillId="0" borderId="0" xfId="0" applyNumberFormat="1" applyAlignment="1">
      <alignment horizontal="left"/>
    </xf>
    <xf numFmtId="168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7" fontId="0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B1" sqref="B1"/>
    </sheetView>
  </sheetViews>
  <sheetFormatPr defaultColWidth="9.140625" defaultRowHeight="12.75"/>
  <sheetData>
    <row r="1" ht="12.75">
      <c r="A1" t="s">
        <v>291</v>
      </c>
    </row>
    <row r="2" ht="12.75">
      <c r="A2" t="s">
        <v>292</v>
      </c>
    </row>
    <row r="3" ht="12.75">
      <c r="A3" t="s">
        <v>293</v>
      </c>
    </row>
    <row r="4" ht="12.75">
      <c r="A4" t="s">
        <v>294</v>
      </c>
    </row>
    <row r="5" ht="12.75">
      <c r="A5" t="s">
        <v>295</v>
      </c>
    </row>
    <row r="6" ht="12.75">
      <c r="A6" t="s">
        <v>296</v>
      </c>
    </row>
    <row r="7" ht="12.75">
      <c r="A7" t="s">
        <v>297</v>
      </c>
    </row>
    <row r="8" ht="12.75">
      <c r="A8" t="s">
        <v>298</v>
      </c>
    </row>
    <row r="9" ht="12.75">
      <c r="A9" t="s">
        <v>299</v>
      </c>
    </row>
    <row r="10" ht="12.75">
      <c r="A10" t="s">
        <v>302</v>
      </c>
    </row>
    <row r="11" ht="12.75">
      <c r="A11" t="s">
        <v>300</v>
      </c>
    </row>
    <row r="12" ht="12.75">
      <c r="A12" t="s">
        <v>301</v>
      </c>
    </row>
    <row r="13" ht="12.75">
      <c r="A13" t="s">
        <v>303</v>
      </c>
    </row>
    <row r="14" ht="12.75">
      <c r="A14" t="s">
        <v>304</v>
      </c>
    </row>
    <row r="15" ht="12.75">
      <c r="A15" t="s">
        <v>305</v>
      </c>
    </row>
    <row r="16" ht="12.75">
      <c r="A16" t="s">
        <v>306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38"/>
  <sheetViews>
    <sheetView workbookViewId="0" topLeftCell="A1">
      <selection activeCell="C25" sqref="C25"/>
    </sheetView>
  </sheetViews>
  <sheetFormatPr defaultColWidth="9.140625" defaultRowHeight="12.75"/>
  <cols>
    <col min="1" max="1" width="2.00390625" style="4" customWidth="1"/>
    <col min="2" max="2" width="25.8515625" style="4" customWidth="1"/>
    <col min="3" max="3" width="7.8515625" style="4" customWidth="1"/>
    <col min="4" max="4" width="3.28125" style="5" customWidth="1"/>
    <col min="5" max="5" width="8.00390625" style="6" customWidth="1"/>
    <col min="6" max="6" width="7.7109375" style="7" customWidth="1"/>
    <col min="7" max="7" width="8.57421875" style="6" customWidth="1"/>
    <col min="8" max="8" width="7.7109375" style="7" customWidth="1"/>
    <col min="9" max="9" width="2.57421875" style="8" customWidth="1"/>
    <col min="10" max="10" width="7.00390625" style="6" customWidth="1"/>
    <col min="11" max="11" width="8.28125" style="6" customWidth="1"/>
    <col min="12" max="12" width="9.140625" style="6" customWidth="1"/>
    <col min="13" max="13" width="8.28125" style="6" customWidth="1"/>
    <col min="14" max="14" width="2.8515625" style="8" customWidth="1"/>
    <col min="15" max="15" width="7.8515625" style="6" customWidth="1"/>
    <col min="16" max="18" width="8.7109375" style="6" customWidth="1"/>
    <col min="19" max="19" width="3.7109375" style="0" customWidth="1"/>
    <col min="20" max="20" width="6.7109375" style="0" customWidth="1"/>
    <col min="21" max="21" width="7.00390625" style="0" customWidth="1"/>
    <col min="22" max="22" width="7.7109375" style="0" customWidth="1"/>
    <col min="23" max="23" width="7.00390625" style="0" customWidth="1"/>
    <col min="24" max="24" width="7.421875" style="0" customWidth="1"/>
    <col min="25" max="36" width="10.8515625" style="0" customWidth="1"/>
    <col min="37" max="16384" width="10.8515625" style="4" customWidth="1"/>
  </cols>
  <sheetData>
    <row r="1" ht="12.75">
      <c r="A1" s="47" t="s">
        <v>84</v>
      </c>
    </row>
    <row r="2" ht="12.75">
      <c r="A2" s="4" t="s">
        <v>328</v>
      </c>
    </row>
    <row r="3" spans="1:3" ht="12.75">
      <c r="A3" s="4" t="s">
        <v>23</v>
      </c>
      <c r="C3" s="9" t="s">
        <v>165</v>
      </c>
    </row>
    <row r="4" spans="1:18" ht="12.75">
      <c r="A4" s="4" t="s">
        <v>24</v>
      </c>
      <c r="C4" s="9" t="s">
        <v>162</v>
      </c>
      <c r="E4" s="10"/>
      <c r="F4" s="11"/>
      <c r="G4" s="10"/>
      <c r="H4" s="11"/>
      <c r="J4" s="10"/>
      <c r="K4" s="10"/>
      <c r="L4" s="10"/>
      <c r="M4" s="10"/>
      <c r="O4" s="10"/>
      <c r="P4" s="10"/>
      <c r="Q4" s="10"/>
      <c r="R4" s="10"/>
    </row>
    <row r="5" spans="1:3" ht="12.75">
      <c r="A5" s="4" t="s">
        <v>25</v>
      </c>
      <c r="C5" s="9" t="s">
        <v>164</v>
      </c>
    </row>
    <row r="6" spans="3:17" ht="12.75">
      <c r="C6" s="5"/>
      <c r="E6" s="8"/>
      <c r="G6" s="8"/>
      <c r="J6" s="8"/>
      <c r="L6" s="8"/>
      <c r="O6" s="8"/>
      <c r="Q6" s="8"/>
    </row>
    <row r="7" spans="3:23" ht="12.75">
      <c r="C7" s="5" t="s">
        <v>26</v>
      </c>
      <c r="E7" s="12" t="s">
        <v>27</v>
      </c>
      <c r="F7" s="12"/>
      <c r="G7" s="12"/>
      <c r="H7" s="12"/>
      <c r="I7" s="13"/>
      <c r="J7" s="12" t="s">
        <v>28</v>
      </c>
      <c r="K7" s="12"/>
      <c r="L7" s="12"/>
      <c r="M7" s="12"/>
      <c r="N7" s="13"/>
      <c r="O7" s="12" t="s">
        <v>29</v>
      </c>
      <c r="P7" s="12"/>
      <c r="Q7" s="12"/>
      <c r="R7" s="12"/>
      <c r="S7" s="80"/>
      <c r="T7" s="12" t="s">
        <v>152</v>
      </c>
      <c r="U7" s="12"/>
      <c r="V7" s="12"/>
      <c r="W7" s="12"/>
    </row>
    <row r="8" spans="3:23" ht="12.75">
      <c r="C8" s="5" t="s">
        <v>30</v>
      </c>
      <c r="E8" s="8" t="s">
        <v>31</v>
      </c>
      <c r="F8" s="11" t="s">
        <v>32</v>
      </c>
      <c r="G8" s="8" t="s">
        <v>31</v>
      </c>
      <c r="H8" s="11" t="s">
        <v>32</v>
      </c>
      <c r="J8" s="8" t="s">
        <v>31</v>
      </c>
      <c r="K8" s="8" t="s">
        <v>33</v>
      </c>
      <c r="L8" s="8" t="s">
        <v>31</v>
      </c>
      <c r="M8" s="8" t="s">
        <v>33</v>
      </c>
      <c r="O8" s="8" t="s">
        <v>31</v>
      </c>
      <c r="P8" s="8" t="s">
        <v>33</v>
      </c>
      <c r="Q8" s="8" t="s">
        <v>31</v>
      </c>
      <c r="R8" s="8" t="s">
        <v>33</v>
      </c>
      <c r="S8" s="80"/>
      <c r="T8" s="8" t="s">
        <v>31</v>
      </c>
      <c r="U8" s="8" t="s">
        <v>33</v>
      </c>
      <c r="V8" s="8" t="s">
        <v>31</v>
      </c>
      <c r="W8" s="8" t="s">
        <v>33</v>
      </c>
    </row>
    <row r="9" spans="3:23" ht="12.75">
      <c r="C9" s="5"/>
      <c r="E9" s="8" t="s">
        <v>210</v>
      </c>
      <c r="F9" s="8" t="s">
        <v>210</v>
      </c>
      <c r="G9" s="8" t="s">
        <v>74</v>
      </c>
      <c r="H9" s="11" t="s">
        <v>74</v>
      </c>
      <c r="J9" s="8" t="s">
        <v>210</v>
      </c>
      <c r="K9" s="8" t="s">
        <v>210</v>
      </c>
      <c r="L9" s="8" t="s">
        <v>74</v>
      </c>
      <c r="M9" s="11" t="s">
        <v>74</v>
      </c>
      <c r="O9" s="8" t="s">
        <v>210</v>
      </c>
      <c r="P9" s="8" t="s">
        <v>210</v>
      </c>
      <c r="Q9" s="8" t="s">
        <v>74</v>
      </c>
      <c r="R9" s="11" t="s">
        <v>74</v>
      </c>
      <c r="S9" s="80"/>
      <c r="T9" s="8" t="s">
        <v>210</v>
      </c>
      <c r="U9" s="8" t="s">
        <v>210</v>
      </c>
      <c r="V9" s="8" t="s">
        <v>74</v>
      </c>
      <c r="W9" s="11" t="s">
        <v>74</v>
      </c>
    </row>
    <row r="10" spans="1:23" ht="13.5" customHeight="1">
      <c r="A10" s="4" t="s">
        <v>34</v>
      </c>
      <c r="O10" s="14"/>
      <c r="T10" s="14"/>
      <c r="U10" s="6"/>
      <c r="V10" s="6"/>
      <c r="W10" s="6"/>
    </row>
    <row r="11" spans="2:23" ht="12.75">
      <c r="B11" s="4" t="s">
        <v>35</v>
      </c>
      <c r="C11" s="5">
        <v>1</v>
      </c>
      <c r="D11"/>
      <c r="E11">
        <v>0.05</v>
      </c>
      <c r="F11" s="7">
        <f aca="true" t="shared" si="0" ref="F11:H35">IF(E11="","",E11*$C11)</f>
        <v>0.05</v>
      </c>
      <c r="G11" s="15">
        <f aca="true" t="shared" si="1" ref="G11:G20">IF(E11=0,"",IF(D11="nd",E11/2,E11))</f>
        <v>0.05</v>
      </c>
      <c r="H11" s="7">
        <f t="shared" si="0"/>
        <v>0.05</v>
      </c>
      <c r="I11"/>
      <c r="J11">
        <v>0.05</v>
      </c>
      <c r="K11" s="7">
        <f aca="true" t="shared" si="2" ref="K11:M35">IF(J11="","",J11*$C11)</f>
        <v>0.05</v>
      </c>
      <c r="L11" s="15">
        <f>IF(J11=0,"",IF(I11="nd",J11/2,J11))</f>
        <v>0.05</v>
      </c>
      <c r="M11" s="7">
        <f t="shared" si="2"/>
        <v>0.05</v>
      </c>
      <c r="N11"/>
      <c r="O11">
        <v>0.06</v>
      </c>
      <c r="P11" s="7">
        <f aca="true" t="shared" si="3" ref="P11:R35">IF(O11="","",O11*$C11)</f>
        <v>0.06</v>
      </c>
      <c r="Q11" s="15">
        <f>IF(O11=0,"",IF(N11="nd",O11/2,O11))</f>
        <v>0.06</v>
      </c>
      <c r="R11" s="7">
        <f t="shared" si="3"/>
        <v>0.06</v>
      </c>
      <c r="T11">
        <v>0.07</v>
      </c>
      <c r="U11" s="7">
        <f aca="true" t="shared" si="4" ref="U11:W35">IF(T11="","",T11*$C11)</f>
        <v>0.07</v>
      </c>
      <c r="V11" s="15">
        <f>IF(T11=0,"",IF(S11="nd",T11/2,T11))</f>
        <v>0.07</v>
      </c>
      <c r="W11" s="7">
        <f t="shared" si="4"/>
        <v>0.07</v>
      </c>
    </row>
    <row r="12" spans="2:23" ht="12.75">
      <c r="B12" s="4" t="s">
        <v>36</v>
      </c>
      <c r="C12" s="5">
        <v>0</v>
      </c>
      <c r="D12"/>
      <c r="E12">
        <v>7.5</v>
      </c>
      <c r="F12" s="7">
        <f t="shared" si="0"/>
        <v>0</v>
      </c>
      <c r="G12" s="15">
        <f t="shared" si="1"/>
        <v>7.5</v>
      </c>
      <c r="H12" s="7">
        <f t="shared" si="0"/>
        <v>0</v>
      </c>
      <c r="I12"/>
      <c r="J12">
        <v>5.5</v>
      </c>
      <c r="K12" s="7">
        <f t="shared" si="2"/>
        <v>0</v>
      </c>
      <c r="L12" s="15">
        <f aca="true" t="shared" si="5" ref="L12:L35">IF(J12=0,"",IF(I12="nd",J12/2,J12))</f>
        <v>5.5</v>
      </c>
      <c r="M12" s="7">
        <f t="shared" si="2"/>
        <v>0</v>
      </c>
      <c r="N12"/>
      <c r="O12">
        <v>5.4</v>
      </c>
      <c r="P12" s="7">
        <f t="shared" si="3"/>
        <v>0</v>
      </c>
      <c r="Q12" s="15">
        <f aca="true" t="shared" si="6" ref="Q12:Q35">IF(O12=0,"",IF(N12="nd",O12/2,O12))</f>
        <v>5.4</v>
      </c>
      <c r="R12" s="7">
        <f t="shared" si="3"/>
        <v>0</v>
      </c>
      <c r="T12">
        <v>11.6</v>
      </c>
      <c r="U12" s="7">
        <f t="shared" si="4"/>
        <v>0</v>
      </c>
      <c r="V12" s="15">
        <f aca="true" t="shared" si="7" ref="V12:V35">IF(T12=0,"",IF(S12="nd",T12/2,T12))</f>
        <v>11.6</v>
      </c>
      <c r="W12" s="7">
        <f t="shared" si="4"/>
        <v>0</v>
      </c>
    </row>
    <row r="13" spans="2:23" ht="12.75">
      <c r="B13" s="4" t="s">
        <v>37</v>
      </c>
      <c r="C13" s="5">
        <v>0.5</v>
      </c>
      <c r="D13"/>
      <c r="E13">
        <v>0.03</v>
      </c>
      <c r="F13" s="7">
        <f t="shared" si="0"/>
        <v>0.015</v>
      </c>
      <c r="G13" s="15">
        <f t="shared" si="1"/>
        <v>0.03</v>
      </c>
      <c r="H13" s="7">
        <f t="shared" si="0"/>
        <v>0.015</v>
      </c>
      <c r="I13"/>
      <c r="J13">
        <v>0.04</v>
      </c>
      <c r="K13" s="7">
        <f t="shared" si="2"/>
        <v>0.02</v>
      </c>
      <c r="L13" s="15">
        <f t="shared" si="5"/>
        <v>0.04</v>
      </c>
      <c r="M13" s="7">
        <f t="shared" si="2"/>
        <v>0.02</v>
      </c>
      <c r="N13"/>
      <c r="O13">
        <v>0.05</v>
      </c>
      <c r="P13" s="7">
        <f t="shared" si="3"/>
        <v>0.025</v>
      </c>
      <c r="Q13" s="15">
        <f t="shared" si="6"/>
        <v>0.05</v>
      </c>
      <c r="R13" s="7">
        <f t="shared" si="3"/>
        <v>0.025</v>
      </c>
      <c r="T13">
        <v>0.12</v>
      </c>
      <c r="U13" s="7">
        <f t="shared" si="4"/>
        <v>0.06</v>
      </c>
      <c r="V13" s="15">
        <f t="shared" si="7"/>
        <v>0.12</v>
      </c>
      <c r="W13" s="7">
        <f t="shared" si="4"/>
        <v>0.06</v>
      </c>
    </row>
    <row r="14" spans="2:23" ht="12.75">
      <c r="B14" s="4" t="s">
        <v>38</v>
      </c>
      <c r="C14" s="5">
        <v>0</v>
      </c>
      <c r="D14"/>
      <c r="E14">
        <v>3.8</v>
      </c>
      <c r="F14" s="7">
        <f t="shared" si="0"/>
        <v>0</v>
      </c>
      <c r="G14" s="15">
        <f t="shared" si="1"/>
        <v>3.8</v>
      </c>
      <c r="H14" s="7">
        <f t="shared" si="0"/>
        <v>0</v>
      </c>
      <c r="I14"/>
      <c r="J14">
        <v>3.8</v>
      </c>
      <c r="K14" s="7">
        <f t="shared" si="2"/>
        <v>0</v>
      </c>
      <c r="L14" s="15">
        <f t="shared" si="5"/>
        <v>3.8</v>
      </c>
      <c r="M14" s="7">
        <f t="shared" si="2"/>
        <v>0</v>
      </c>
      <c r="N14"/>
      <c r="O14">
        <v>5.3</v>
      </c>
      <c r="P14" s="7">
        <f t="shared" si="3"/>
        <v>0</v>
      </c>
      <c r="Q14" s="15">
        <f t="shared" si="6"/>
        <v>5.3</v>
      </c>
      <c r="R14" s="7">
        <f t="shared" si="3"/>
        <v>0</v>
      </c>
      <c r="T14">
        <v>13.5</v>
      </c>
      <c r="U14" s="7">
        <f t="shared" si="4"/>
        <v>0</v>
      </c>
      <c r="V14" s="15">
        <f t="shared" si="7"/>
        <v>13.5</v>
      </c>
      <c r="W14" s="7">
        <f t="shared" si="4"/>
        <v>0</v>
      </c>
    </row>
    <row r="15" spans="2:23" ht="12.75">
      <c r="B15" s="4" t="s">
        <v>39</v>
      </c>
      <c r="C15" s="5">
        <v>0.1</v>
      </c>
      <c r="D15"/>
      <c r="E15">
        <v>0.02</v>
      </c>
      <c r="F15" s="7">
        <f t="shared" si="0"/>
        <v>0.002</v>
      </c>
      <c r="G15" s="15">
        <f t="shared" si="1"/>
        <v>0.02</v>
      </c>
      <c r="H15" s="7">
        <f t="shared" si="0"/>
        <v>0.002</v>
      </c>
      <c r="I15"/>
      <c r="J15">
        <v>0.02</v>
      </c>
      <c r="K15" s="7">
        <f t="shared" si="2"/>
        <v>0.002</v>
      </c>
      <c r="L15" s="15">
        <f t="shared" si="5"/>
        <v>0.02</v>
      </c>
      <c r="M15" s="7">
        <f t="shared" si="2"/>
        <v>0.002</v>
      </c>
      <c r="N15"/>
      <c r="O15">
        <v>0.05</v>
      </c>
      <c r="P15" s="7">
        <f t="shared" si="3"/>
        <v>0.005000000000000001</v>
      </c>
      <c r="Q15" s="15">
        <f t="shared" si="6"/>
        <v>0.05</v>
      </c>
      <c r="R15" s="7">
        <f t="shared" si="3"/>
        <v>0.005000000000000001</v>
      </c>
      <c r="T15">
        <v>0.19</v>
      </c>
      <c r="U15" s="7">
        <f t="shared" si="4"/>
        <v>0.019000000000000003</v>
      </c>
      <c r="V15" s="15">
        <f t="shared" si="7"/>
        <v>0.19</v>
      </c>
      <c r="W15" s="7">
        <f t="shared" si="4"/>
        <v>0.019000000000000003</v>
      </c>
    </row>
    <row r="16" spans="2:23" ht="12.75">
      <c r="B16" s="4" t="s">
        <v>40</v>
      </c>
      <c r="C16" s="5">
        <v>0.1</v>
      </c>
      <c r="D16"/>
      <c r="E16">
        <v>0.04</v>
      </c>
      <c r="F16" s="7">
        <f t="shared" si="0"/>
        <v>0.004</v>
      </c>
      <c r="G16" s="15">
        <f t="shared" si="1"/>
        <v>0.04</v>
      </c>
      <c r="H16" s="7">
        <f t="shared" si="0"/>
        <v>0.004</v>
      </c>
      <c r="I16"/>
      <c r="J16">
        <v>0.05</v>
      </c>
      <c r="K16" s="7">
        <f t="shared" si="2"/>
        <v>0.005000000000000001</v>
      </c>
      <c r="L16" s="15">
        <f t="shared" si="5"/>
        <v>0.05</v>
      </c>
      <c r="M16" s="7">
        <f t="shared" si="2"/>
        <v>0.005000000000000001</v>
      </c>
      <c r="N16"/>
      <c r="O16">
        <v>0.12</v>
      </c>
      <c r="P16" s="7">
        <f t="shared" si="3"/>
        <v>0.012</v>
      </c>
      <c r="Q16" s="15">
        <f t="shared" si="6"/>
        <v>0.12</v>
      </c>
      <c r="R16" s="7">
        <f t="shared" si="3"/>
        <v>0.012</v>
      </c>
      <c r="T16">
        <v>0.53</v>
      </c>
      <c r="U16" s="7">
        <f t="shared" si="4"/>
        <v>0.053000000000000005</v>
      </c>
      <c r="V16" s="15">
        <f t="shared" si="7"/>
        <v>0.53</v>
      </c>
      <c r="W16" s="7">
        <f t="shared" si="4"/>
        <v>0.053000000000000005</v>
      </c>
    </row>
    <row r="17" spans="2:23" ht="12.75">
      <c r="B17" s="4" t="s">
        <v>41</v>
      </c>
      <c r="C17" s="5">
        <v>0.1</v>
      </c>
      <c r="D17"/>
      <c r="E17">
        <v>0.05</v>
      </c>
      <c r="F17" s="7">
        <f t="shared" si="0"/>
        <v>0.005000000000000001</v>
      </c>
      <c r="G17" s="15">
        <f t="shared" si="1"/>
        <v>0.05</v>
      </c>
      <c r="H17" s="7">
        <f t="shared" si="0"/>
        <v>0.005000000000000001</v>
      </c>
      <c r="I17"/>
      <c r="J17">
        <v>0.05</v>
      </c>
      <c r="K17" s="7">
        <f t="shared" si="2"/>
        <v>0.005000000000000001</v>
      </c>
      <c r="L17" s="15">
        <f t="shared" si="5"/>
        <v>0.05</v>
      </c>
      <c r="M17" s="7">
        <f t="shared" si="2"/>
        <v>0.005000000000000001</v>
      </c>
      <c r="N17"/>
      <c r="O17">
        <v>0.09</v>
      </c>
      <c r="P17" s="7">
        <f t="shared" si="3"/>
        <v>0.009</v>
      </c>
      <c r="Q17" s="15">
        <f t="shared" si="6"/>
        <v>0.09</v>
      </c>
      <c r="R17" s="7">
        <f t="shared" si="3"/>
        <v>0.009</v>
      </c>
      <c r="T17">
        <v>0.3</v>
      </c>
      <c r="U17" s="7">
        <f t="shared" si="4"/>
        <v>0.03</v>
      </c>
      <c r="V17" s="15">
        <f t="shared" si="7"/>
        <v>0.3</v>
      </c>
      <c r="W17" s="7">
        <f t="shared" si="4"/>
        <v>0.03</v>
      </c>
    </row>
    <row r="18" spans="2:23" ht="12.75">
      <c r="B18" s="4" t="s">
        <v>42</v>
      </c>
      <c r="C18" s="5">
        <v>0</v>
      </c>
      <c r="D18"/>
      <c r="E18">
        <v>2.35</v>
      </c>
      <c r="F18" s="7">
        <f t="shared" si="0"/>
        <v>0</v>
      </c>
      <c r="G18" s="15">
        <f t="shared" si="1"/>
        <v>2.35</v>
      </c>
      <c r="H18" s="7">
        <f t="shared" si="0"/>
        <v>0</v>
      </c>
      <c r="I18"/>
      <c r="J18">
        <v>20</v>
      </c>
      <c r="K18" s="7">
        <f t="shared" si="2"/>
        <v>0</v>
      </c>
      <c r="L18" s="15">
        <f t="shared" si="5"/>
        <v>20</v>
      </c>
      <c r="M18" s="7">
        <f t="shared" si="2"/>
        <v>0</v>
      </c>
      <c r="N18"/>
      <c r="O18">
        <v>28.7</v>
      </c>
      <c r="P18" s="7">
        <f t="shared" si="3"/>
        <v>0</v>
      </c>
      <c r="Q18" s="15">
        <f t="shared" si="6"/>
        <v>28.7</v>
      </c>
      <c r="R18" s="7">
        <f t="shared" si="3"/>
        <v>0</v>
      </c>
      <c r="T18">
        <v>74.1</v>
      </c>
      <c r="U18" s="7">
        <f t="shared" si="4"/>
        <v>0</v>
      </c>
      <c r="V18" s="15">
        <f t="shared" si="7"/>
        <v>74.1</v>
      </c>
      <c r="W18" s="7">
        <f t="shared" si="4"/>
        <v>0</v>
      </c>
    </row>
    <row r="19" spans="2:23" ht="12.75">
      <c r="B19" s="4" t="s">
        <v>43</v>
      </c>
      <c r="C19" s="5">
        <v>0.01</v>
      </c>
      <c r="D19"/>
      <c r="E19">
        <v>0.33</v>
      </c>
      <c r="F19" s="7">
        <f t="shared" si="0"/>
        <v>0.0033000000000000004</v>
      </c>
      <c r="G19" s="15">
        <f t="shared" si="1"/>
        <v>0.33</v>
      </c>
      <c r="H19" s="7">
        <f t="shared" si="0"/>
        <v>0.0033000000000000004</v>
      </c>
      <c r="I19"/>
      <c r="J19">
        <v>0.4</v>
      </c>
      <c r="K19" s="7">
        <f t="shared" si="2"/>
        <v>0.004</v>
      </c>
      <c r="L19" s="15">
        <f t="shared" si="5"/>
        <v>0.4</v>
      </c>
      <c r="M19" s="7">
        <f t="shared" si="2"/>
        <v>0.004</v>
      </c>
      <c r="N19"/>
      <c r="O19">
        <v>1</v>
      </c>
      <c r="P19" s="7">
        <f t="shared" si="3"/>
        <v>0.01</v>
      </c>
      <c r="Q19" s="15">
        <f t="shared" si="6"/>
        <v>1</v>
      </c>
      <c r="R19" s="7">
        <f t="shared" si="3"/>
        <v>0.01</v>
      </c>
      <c r="T19">
        <v>3.8</v>
      </c>
      <c r="U19" s="7">
        <f t="shared" si="4"/>
        <v>0.038</v>
      </c>
      <c r="V19" s="15">
        <f t="shared" si="7"/>
        <v>3.8</v>
      </c>
      <c r="W19" s="7">
        <f t="shared" si="4"/>
        <v>0.038</v>
      </c>
    </row>
    <row r="20" spans="2:23" ht="12.75">
      <c r="B20" s="4" t="s">
        <v>44</v>
      </c>
      <c r="C20" s="5">
        <v>0</v>
      </c>
      <c r="D20"/>
      <c r="E20">
        <v>0.74</v>
      </c>
      <c r="F20" s="7">
        <f t="shared" si="0"/>
        <v>0</v>
      </c>
      <c r="G20" s="15">
        <f t="shared" si="1"/>
        <v>0.74</v>
      </c>
      <c r="H20" s="7">
        <f t="shared" si="0"/>
        <v>0</v>
      </c>
      <c r="I20"/>
      <c r="J20">
        <v>0.93</v>
      </c>
      <c r="K20" s="7">
        <f t="shared" si="2"/>
        <v>0</v>
      </c>
      <c r="L20" s="15">
        <f t="shared" si="5"/>
        <v>0.93</v>
      </c>
      <c r="M20" s="7">
        <f t="shared" si="2"/>
        <v>0</v>
      </c>
      <c r="N20"/>
      <c r="O20">
        <v>2.4</v>
      </c>
      <c r="P20" s="7">
        <f t="shared" si="3"/>
        <v>0</v>
      </c>
      <c r="Q20" s="15">
        <f t="shared" si="6"/>
        <v>2.4</v>
      </c>
      <c r="R20" s="7">
        <f t="shared" si="3"/>
        <v>0</v>
      </c>
      <c r="T20">
        <v>8.7</v>
      </c>
      <c r="U20" s="7">
        <f t="shared" si="4"/>
        <v>0</v>
      </c>
      <c r="V20" s="15">
        <f t="shared" si="7"/>
        <v>8.7</v>
      </c>
      <c r="W20" s="7">
        <f t="shared" si="4"/>
        <v>0</v>
      </c>
    </row>
    <row r="21" spans="2:23" ht="12.75">
      <c r="B21" s="4" t="s">
        <v>45</v>
      </c>
      <c r="C21" s="5">
        <v>0.001</v>
      </c>
      <c r="D21"/>
      <c r="E21">
        <v>0.09</v>
      </c>
      <c r="F21" s="7">
        <f t="shared" si="0"/>
        <v>8.999999999999999E-05</v>
      </c>
      <c r="G21" s="15">
        <f aca="true" t="shared" si="8" ref="G21:G35">IF(E21=0,"",IF(D21="nd",E21/2,E21))</f>
        <v>0.09</v>
      </c>
      <c r="H21" s="7">
        <f t="shared" si="0"/>
        <v>8.999999999999999E-05</v>
      </c>
      <c r="I21"/>
      <c r="J21">
        <v>0.11</v>
      </c>
      <c r="K21" s="7">
        <f t="shared" si="2"/>
        <v>0.00011</v>
      </c>
      <c r="L21" s="15">
        <f t="shared" si="5"/>
        <v>0.11</v>
      </c>
      <c r="M21" s="7">
        <f t="shared" si="2"/>
        <v>0.00011</v>
      </c>
      <c r="N21"/>
      <c r="O21">
        <v>0.29</v>
      </c>
      <c r="P21" s="7">
        <f t="shared" si="3"/>
        <v>0.00029</v>
      </c>
      <c r="Q21" s="15">
        <f t="shared" si="6"/>
        <v>0.29</v>
      </c>
      <c r="R21" s="7">
        <f t="shared" si="3"/>
        <v>0.00029</v>
      </c>
      <c r="T21">
        <v>0.74</v>
      </c>
      <c r="U21" s="7">
        <f t="shared" si="4"/>
        <v>0.00074</v>
      </c>
      <c r="V21" s="15">
        <f t="shared" si="7"/>
        <v>0.74</v>
      </c>
      <c r="W21" s="7">
        <f t="shared" si="4"/>
        <v>0.00074</v>
      </c>
    </row>
    <row r="22" spans="2:23" ht="12.75">
      <c r="B22" s="4" t="s">
        <v>46</v>
      </c>
      <c r="C22" s="5">
        <v>0.1</v>
      </c>
      <c r="D22"/>
      <c r="E22">
        <v>0.04</v>
      </c>
      <c r="F22" s="7">
        <f t="shared" si="0"/>
        <v>0.004</v>
      </c>
      <c r="G22" s="15">
        <f t="shared" si="8"/>
        <v>0.04</v>
      </c>
      <c r="H22" s="7">
        <f t="shared" si="0"/>
        <v>0.004</v>
      </c>
      <c r="I22"/>
      <c r="J22">
        <v>0.04</v>
      </c>
      <c r="K22" s="7">
        <f t="shared" si="2"/>
        <v>0.004</v>
      </c>
      <c r="L22" s="15">
        <f t="shared" si="5"/>
        <v>0.04</v>
      </c>
      <c r="M22" s="7">
        <f t="shared" si="2"/>
        <v>0.004</v>
      </c>
      <c r="N22"/>
      <c r="O22">
        <v>0.04</v>
      </c>
      <c r="P22" s="7">
        <f t="shared" si="3"/>
        <v>0.004</v>
      </c>
      <c r="Q22" s="15">
        <f t="shared" si="6"/>
        <v>0.04</v>
      </c>
      <c r="R22" s="7">
        <f t="shared" si="3"/>
        <v>0.004</v>
      </c>
      <c r="T22">
        <v>0.11</v>
      </c>
      <c r="U22" s="7">
        <f t="shared" si="4"/>
        <v>0.011000000000000001</v>
      </c>
      <c r="V22" s="15">
        <f t="shared" si="7"/>
        <v>0.11</v>
      </c>
      <c r="W22" s="7">
        <f t="shared" si="4"/>
        <v>0.011000000000000001</v>
      </c>
    </row>
    <row r="23" spans="2:23" ht="12.75">
      <c r="B23" s="4" t="s">
        <v>47</v>
      </c>
      <c r="C23" s="5">
        <v>0</v>
      </c>
      <c r="D23"/>
      <c r="E23">
        <v>1.5</v>
      </c>
      <c r="F23" s="7">
        <f t="shared" si="0"/>
        <v>0</v>
      </c>
      <c r="G23" s="15">
        <f t="shared" si="8"/>
        <v>1.5</v>
      </c>
      <c r="H23" s="7">
        <f t="shared" si="0"/>
        <v>0</v>
      </c>
      <c r="I23"/>
      <c r="J23">
        <v>1.1</v>
      </c>
      <c r="K23" s="7">
        <f t="shared" si="2"/>
        <v>0</v>
      </c>
      <c r="L23" s="15">
        <f t="shared" si="5"/>
        <v>1.1</v>
      </c>
      <c r="M23" s="7">
        <f t="shared" si="2"/>
        <v>0</v>
      </c>
      <c r="N23"/>
      <c r="O23">
        <v>2.1</v>
      </c>
      <c r="P23" s="7">
        <f t="shared" si="3"/>
        <v>0</v>
      </c>
      <c r="Q23" s="15">
        <f t="shared" si="6"/>
        <v>2.1</v>
      </c>
      <c r="R23" s="7">
        <f t="shared" si="3"/>
        <v>0</v>
      </c>
      <c r="T23">
        <v>6.6</v>
      </c>
      <c r="U23" s="7">
        <f t="shared" si="4"/>
        <v>0</v>
      </c>
      <c r="V23" s="15">
        <f t="shared" si="7"/>
        <v>6.6</v>
      </c>
      <c r="W23" s="7">
        <f t="shared" si="4"/>
        <v>0</v>
      </c>
    </row>
    <row r="24" spans="2:23" ht="12.75">
      <c r="B24" s="4" t="s">
        <v>48</v>
      </c>
      <c r="C24" s="5">
        <v>0.05</v>
      </c>
      <c r="D24"/>
      <c r="E24">
        <v>0.01</v>
      </c>
      <c r="F24" s="7">
        <f t="shared" si="0"/>
        <v>0.0005</v>
      </c>
      <c r="G24" s="15">
        <f t="shared" si="8"/>
        <v>0.01</v>
      </c>
      <c r="H24" s="7">
        <f t="shared" si="0"/>
        <v>0.0005</v>
      </c>
      <c r="I24"/>
      <c r="J24">
        <v>0.01</v>
      </c>
      <c r="K24" s="7">
        <f t="shared" si="2"/>
        <v>0.0005</v>
      </c>
      <c r="L24" s="15">
        <f t="shared" si="5"/>
        <v>0.01</v>
      </c>
      <c r="M24" s="7">
        <f t="shared" si="2"/>
        <v>0.0005</v>
      </c>
      <c r="N24"/>
      <c r="O24">
        <v>0.03</v>
      </c>
      <c r="P24" s="7">
        <f t="shared" si="3"/>
        <v>0.0015</v>
      </c>
      <c r="Q24" s="15">
        <f t="shared" si="6"/>
        <v>0.03</v>
      </c>
      <c r="R24" s="7">
        <f t="shared" si="3"/>
        <v>0.0015</v>
      </c>
      <c r="T24">
        <v>0.09</v>
      </c>
      <c r="U24" s="7">
        <f t="shared" si="4"/>
        <v>0.0045</v>
      </c>
      <c r="V24" s="15">
        <f t="shared" si="7"/>
        <v>0.09</v>
      </c>
      <c r="W24" s="7">
        <f t="shared" si="4"/>
        <v>0.0045</v>
      </c>
    </row>
    <row r="25" spans="2:23" ht="12.75">
      <c r="B25" s="4" t="s">
        <v>49</v>
      </c>
      <c r="C25" s="5">
        <v>0.5</v>
      </c>
      <c r="D25"/>
      <c r="E25">
        <v>0.05</v>
      </c>
      <c r="F25" s="7">
        <f t="shared" si="0"/>
        <v>0.025</v>
      </c>
      <c r="G25" s="15">
        <f t="shared" si="8"/>
        <v>0.05</v>
      </c>
      <c r="H25" s="7">
        <f t="shared" si="0"/>
        <v>0.025</v>
      </c>
      <c r="I25"/>
      <c r="J25">
        <v>0.03</v>
      </c>
      <c r="K25" s="7">
        <f t="shared" si="2"/>
        <v>0.015</v>
      </c>
      <c r="L25" s="15">
        <f t="shared" si="5"/>
        <v>0.03</v>
      </c>
      <c r="M25" s="7">
        <f t="shared" si="2"/>
        <v>0.015</v>
      </c>
      <c r="N25"/>
      <c r="O25">
        <v>0.06</v>
      </c>
      <c r="P25" s="7">
        <f t="shared" si="3"/>
        <v>0.03</v>
      </c>
      <c r="Q25" s="15">
        <f t="shared" si="6"/>
        <v>0.06</v>
      </c>
      <c r="R25" s="7">
        <f t="shared" si="3"/>
        <v>0.03</v>
      </c>
      <c r="T25">
        <v>0.33</v>
      </c>
      <c r="U25" s="7">
        <f t="shared" si="4"/>
        <v>0.165</v>
      </c>
      <c r="V25" s="15">
        <f t="shared" si="7"/>
        <v>0.33</v>
      </c>
      <c r="W25" s="7">
        <f t="shared" si="4"/>
        <v>0.165</v>
      </c>
    </row>
    <row r="26" spans="2:23" ht="12.75">
      <c r="B26" s="4" t="s">
        <v>50</v>
      </c>
      <c r="C26" s="5">
        <v>0</v>
      </c>
      <c r="D26"/>
      <c r="E26">
        <v>0.28</v>
      </c>
      <c r="F26" s="7">
        <f t="shared" si="0"/>
        <v>0</v>
      </c>
      <c r="G26" s="15">
        <f t="shared" si="8"/>
        <v>0.28</v>
      </c>
      <c r="H26" s="7">
        <f t="shared" si="0"/>
        <v>0</v>
      </c>
      <c r="I26"/>
      <c r="J26">
        <v>0.24</v>
      </c>
      <c r="K26" s="7">
        <f t="shared" si="2"/>
        <v>0</v>
      </c>
      <c r="L26" s="15">
        <f t="shared" si="5"/>
        <v>0.24</v>
      </c>
      <c r="M26" s="7">
        <f t="shared" si="2"/>
        <v>0</v>
      </c>
      <c r="N26"/>
      <c r="O26">
        <v>0.19</v>
      </c>
      <c r="P26" s="7">
        <f t="shared" si="3"/>
        <v>0</v>
      </c>
      <c r="Q26" s="15">
        <f t="shared" si="6"/>
        <v>0.19</v>
      </c>
      <c r="R26" s="7">
        <f t="shared" si="3"/>
        <v>0</v>
      </c>
      <c r="T26">
        <v>1.5</v>
      </c>
      <c r="U26" s="7">
        <f t="shared" si="4"/>
        <v>0</v>
      </c>
      <c r="V26" s="15">
        <f t="shared" si="7"/>
        <v>1.5</v>
      </c>
      <c r="W26" s="7">
        <f t="shared" si="4"/>
        <v>0</v>
      </c>
    </row>
    <row r="27" spans="2:23" ht="12.75">
      <c r="B27" s="4" t="s">
        <v>51</v>
      </c>
      <c r="C27" s="5">
        <v>0.1</v>
      </c>
      <c r="D27"/>
      <c r="E27">
        <v>0.03</v>
      </c>
      <c r="F27" s="7">
        <f t="shared" si="0"/>
        <v>0.003</v>
      </c>
      <c r="G27" s="15">
        <f t="shared" si="8"/>
        <v>0.03</v>
      </c>
      <c r="H27" s="7">
        <f t="shared" si="0"/>
        <v>0.003</v>
      </c>
      <c r="I27"/>
      <c r="J27">
        <v>0.02</v>
      </c>
      <c r="K27" s="7">
        <f t="shared" si="2"/>
        <v>0.002</v>
      </c>
      <c r="L27" s="15">
        <f t="shared" si="5"/>
        <v>0.02</v>
      </c>
      <c r="M27" s="7">
        <f t="shared" si="2"/>
        <v>0.002</v>
      </c>
      <c r="N27"/>
      <c r="O27">
        <v>0.04</v>
      </c>
      <c r="P27" s="7">
        <f t="shared" si="3"/>
        <v>0.004</v>
      </c>
      <c r="Q27" s="15">
        <f t="shared" si="6"/>
        <v>0.04</v>
      </c>
      <c r="R27" s="7">
        <f t="shared" si="3"/>
        <v>0.004</v>
      </c>
      <c r="T27">
        <v>0.16</v>
      </c>
      <c r="U27" s="7">
        <f t="shared" si="4"/>
        <v>0.016</v>
      </c>
      <c r="V27" s="15">
        <f t="shared" si="7"/>
        <v>0.16</v>
      </c>
      <c r="W27" s="7">
        <f t="shared" si="4"/>
        <v>0.016</v>
      </c>
    </row>
    <row r="28" spans="2:23" ht="12.75">
      <c r="B28" s="4" t="s">
        <v>52</v>
      </c>
      <c r="C28" s="5">
        <v>0.1</v>
      </c>
      <c r="D28"/>
      <c r="E28">
        <v>0.01</v>
      </c>
      <c r="F28" s="7">
        <f t="shared" si="0"/>
        <v>0.001</v>
      </c>
      <c r="G28" s="15">
        <f t="shared" si="8"/>
        <v>0.01</v>
      </c>
      <c r="H28" s="7">
        <f t="shared" si="0"/>
        <v>0.001</v>
      </c>
      <c r="I28"/>
      <c r="J28">
        <v>0.01</v>
      </c>
      <c r="K28" s="7">
        <f t="shared" si="2"/>
        <v>0.001</v>
      </c>
      <c r="L28" s="15">
        <f t="shared" si="5"/>
        <v>0.01</v>
      </c>
      <c r="M28" s="7">
        <f t="shared" si="2"/>
        <v>0.001</v>
      </c>
      <c r="N28"/>
      <c r="O28">
        <v>0.01</v>
      </c>
      <c r="P28" s="7">
        <f t="shared" si="3"/>
        <v>0.001</v>
      </c>
      <c r="Q28" s="15">
        <f t="shared" si="6"/>
        <v>0.01</v>
      </c>
      <c r="R28" s="7">
        <f t="shared" si="3"/>
        <v>0.001</v>
      </c>
      <c r="T28">
        <v>0.09</v>
      </c>
      <c r="U28" s="7">
        <f t="shared" si="4"/>
        <v>0.009</v>
      </c>
      <c r="V28" s="15">
        <f t="shared" si="7"/>
        <v>0.09</v>
      </c>
      <c r="W28" s="7">
        <f t="shared" si="4"/>
        <v>0.009</v>
      </c>
    </row>
    <row r="29" spans="2:23" ht="12.75">
      <c r="B29" s="4" t="s">
        <v>53</v>
      </c>
      <c r="C29" s="5">
        <v>0.1</v>
      </c>
      <c r="D29"/>
      <c r="E29">
        <v>0.02</v>
      </c>
      <c r="F29" s="7">
        <f t="shared" si="0"/>
        <v>0.002</v>
      </c>
      <c r="G29" s="15">
        <f t="shared" si="8"/>
        <v>0.02</v>
      </c>
      <c r="H29" s="7">
        <f t="shared" si="0"/>
        <v>0.002</v>
      </c>
      <c r="I29"/>
      <c r="J29">
        <v>0.02</v>
      </c>
      <c r="K29" s="7">
        <f t="shared" si="2"/>
        <v>0.002</v>
      </c>
      <c r="L29" s="15">
        <f t="shared" si="5"/>
        <v>0.02</v>
      </c>
      <c r="M29" s="7">
        <f t="shared" si="2"/>
        <v>0.002</v>
      </c>
      <c r="N29"/>
      <c r="O29">
        <v>0.004</v>
      </c>
      <c r="P29" s="7">
        <f t="shared" si="3"/>
        <v>0.0004</v>
      </c>
      <c r="Q29" s="15">
        <f t="shared" si="6"/>
        <v>0.004</v>
      </c>
      <c r="R29" s="7">
        <f t="shared" si="3"/>
        <v>0.0004</v>
      </c>
      <c r="T29">
        <v>0.22</v>
      </c>
      <c r="U29" s="7">
        <f t="shared" si="4"/>
        <v>0.022000000000000002</v>
      </c>
      <c r="V29" s="15">
        <f t="shared" si="7"/>
        <v>0.22</v>
      </c>
      <c r="W29" s="7">
        <f t="shared" si="4"/>
        <v>0.022000000000000002</v>
      </c>
    </row>
    <row r="30" spans="2:23" ht="12.75">
      <c r="B30" s="4" t="s">
        <v>54</v>
      </c>
      <c r="C30" s="5">
        <v>0.1</v>
      </c>
      <c r="D30"/>
      <c r="E30">
        <v>0.006</v>
      </c>
      <c r="F30" s="7">
        <f t="shared" si="0"/>
        <v>0.0006000000000000001</v>
      </c>
      <c r="G30" s="15">
        <f t="shared" si="8"/>
        <v>0.006</v>
      </c>
      <c r="H30" s="7">
        <f t="shared" si="0"/>
        <v>0.0006000000000000001</v>
      </c>
      <c r="I30"/>
      <c r="J30">
        <v>0.006</v>
      </c>
      <c r="K30" s="7">
        <f t="shared" si="2"/>
        <v>0.0006000000000000001</v>
      </c>
      <c r="L30" s="15">
        <f t="shared" si="5"/>
        <v>0.006</v>
      </c>
      <c r="M30" s="7">
        <f t="shared" si="2"/>
        <v>0.0006000000000000001</v>
      </c>
      <c r="N30"/>
      <c r="O30">
        <v>0.004</v>
      </c>
      <c r="P30" s="7">
        <f t="shared" si="3"/>
        <v>0.0004</v>
      </c>
      <c r="Q30" s="15">
        <f t="shared" si="6"/>
        <v>0.004</v>
      </c>
      <c r="R30" s="7">
        <f t="shared" si="3"/>
        <v>0.0004</v>
      </c>
      <c r="T30">
        <v>0.04</v>
      </c>
      <c r="U30" s="7">
        <f t="shared" si="4"/>
        <v>0.004</v>
      </c>
      <c r="V30" s="15">
        <f t="shared" si="7"/>
        <v>0.04</v>
      </c>
      <c r="W30" s="7">
        <f t="shared" si="4"/>
        <v>0.004</v>
      </c>
    </row>
    <row r="31" spans="2:23" ht="12.75">
      <c r="B31" s="4" t="s">
        <v>55</v>
      </c>
      <c r="C31" s="5">
        <v>0</v>
      </c>
      <c r="D31"/>
      <c r="E31">
        <v>0.08</v>
      </c>
      <c r="F31" s="7">
        <f t="shared" si="0"/>
        <v>0</v>
      </c>
      <c r="G31" s="15">
        <f t="shared" si="8"/>
        <v>0.08</v>
      </c>
      <c r="H31" s="7">
        <f t="shared" si="0"/>
        <v>0</v>
      </c>
      <c r="I31"/>
      <c r="J31">
        <v>0.1</v>
      </c>
      <c r="K31" s="7">
        <f t="shared" si="2"/>
        <v>0</v>
      </c>
      <c r="L31" s="15">
        <f t="shared" si="5"/>
        <v>0.1</v>
      </c>
      <c r="M31" s="7">
        <f t="shared" si="2"/>
        <v>0</v>
      </c>
      <c r="N31"/>
      <c r="O31">
        <v>0.09</v>
      </c>
      <c r="P31" s="7">
        <f t="shared" si="3"/>
        <v>0</v>
      </c>
      <c r="Q31" s="15">
        <f t="shared" si="6"/>
        <v>0.09</v>
      </c>
      <c r="R31" s="7">
        <f t="shared" si="3"/>
        <v>0</v>
      </c>
      <c r="T31">
        <v>1.3</v>
      </c>
      <c r="U31" s="7">
        <f t="shared" si="4"/>
        <v>0</v>
      </c>
      <c r="V31" s="15">
        <f t="shared" si="7"/>
        <v>1.3</v>
      </c>
      <c r="W31" s="7">
        <f t="shared" si="4"/>
        <v>0</v>
      </c>
    </row>
    <row r="32" spans="2:23" ht="12.75">
      <c r="B32" s="4" t="s">
        <v>56</v>
      </c>
      <c r="C32" s="5">
        <v>0.01</v>
      </c>
      <c r="D32"/>
      <c r="E32">
        <v>0.01</v>
      </c>
      <c r="F32" s="7">
        <f t="shared" si="0"/>
        <v>0.0001</v>
      </c>
      <c r="G32" s="15">
        <f t="shared" si="8"/>
        <v>0.01</v>
      </c>
      <c r="H32" s="7">
        <f t="shared" si="0"/>
        <v>0.0001</v>
      </c>
      <c r="I32"/>
      <c r="J32">
        <v>0.02</v>
      </c>
      <c r="K32" s="7">
        <f t="shared" si="2"/>
        <v>0.0002</v>
      </c>
      <c r="L32" s="15">
        <f t="shared" si="5"/>
        <v>0.02</v>
      </c>
      <c r="M32" s="7">
        <f t="shared" si="2"/>
        <v>0.0002</v>
      </c>
      <c r="N32"/>
      <c r="O32">
        <v>0.03</v>
      </c>
      <c r="P32" s="7">
        <f t="shared" si="3"/>
        <v>0.0003</v>
      </c>
      <c r="Q32" s="15">
        <f t="shared" si="6"/>
        <v>0.03</v>
      </c>
      <c r="R32" s="7">
        <f t="shared" si="3"/>
        <v>0.0003</v>
      </c>
      <c r="T32">
        <v>0.11</v>
      </c>
      <c r="U32" s="7">
        <f t="shared" si="4"/>
        <v>0.0011</v>
      </c>
      <c r="V32" s="15">
        <f t="shared" si="7"/>
        <v>0.11</v>
      </c>
      <c r="W32" s="7">
        <f t="shared" si="4"/>
        <v>0.0011</v>
      </c>
    </row>
    <row r="33" spans="2:23" ht="12.75">
      <c r="B33" s="4" t="s">
        <v>57</v>
      </c>
      <c r="C33" s="5">
        <v>0.01</v>
      </c>
      <c r="D33"/>
      <c r="E33">
        <v>0.009</v>
      </c>
      <c r="F33" s="7">
        <f t="shared" si="0"/>
        <v>8.999999999999999E-05</v>
      </c>
      <c r="G33" s="15">
        <f t="shared" si="8"/>
        <v>0.009</v>
      </c>
      <c r="H33" s="7">
        <f t="shared" si="0"/>
        <v>8.999999999999999E-05</v>
      </c>
      <c r="I33"/>
      <c r="J33">
        <v>0.007</v>
      </c>
      <c r="K33" s="7">
        <f t="shared" si="2"/>
        <v>7.000000000000001E-05</v>
      </c>
      <c r="L33" s="15">
        <f t="shared" si="5"/>
        <v>0.007</v>
      </c>
      <c r="M33" s="7">
        <f t="shared" si="2"/>
        <v>7.000000000000001E-05</v>
      </c>
      <c r="N33"/>
      <c r="O33">
        <v>0.006</v>
      </c>
      <c r="P33" s="7">
        <f t="shared" si="3"/>
        <v>6E-05</v>
      </c>
      <c r="Q33" s="15">
        <f t="shared" si="6"/>
        <v>0.006</v>
      </c>
      <c r="R33" s="7">
        <f t="shared" si="3"/>
        <v>6E-05</v>
      </c>
      <c r="T33">
        <v>0.04</v>
      </c>
      <c r="U33" s="7">
        <f t="shared" si="4"/>
        <v>0.0004</v>
      </c>
      <c r="V33" s="15">
        <f t="shared" si="7"/>
        <v>0.04</v>
      </c>
      <c r="W33" s="7">
        <f t="shared" si="4"/>
        <v>0.0004</v>
      </c>
    </row>
    <row r="34" spans="2:23" ht="12.75">
      <c r="B34" s="4" t="s">
        <v>58</v>
      </c>
      <c r="C34" s="5">
        <v>0</v>
      </c>
      <c r="D34"/>
      <c r="E34">
        <v>0.01</v>
      </c>
      <c r="F34" s="7">
        <f t="shared" si="0"/>
        <v>0</v>
      </c>
      <c r="G34" s="15">
        <f t="shared" si="8"/>
        <v>0.01</v>
      </c>
      <c r="H34" s="7">
        <f t="shared" si="0"/>
        <v>0</v>
      </c>
      <c r="I34"/>
      <c r="J34">
        <v>0.02</v>
      </c>
      <c r="K34" s="7">
        <f t="shared" si="2"/>
        <v>0</v>
      </c>
      <c r="L34" s="15">
        <f t="shared" si="5"/>
        <v>0.02</v>
      </c>
      <c r="M34" s="7">
        <f t="shared" si="2"/>
        <v>0</v>
      </c>
      <c r="N34"/>
      <c r="O34">
        <v>0.03</v>
      </c>
      <c r="P34" s="7">
        <f t="shared" si="3"/>
        <v>0</v>
      </c>
      <c r="Q34" s="15">
        <f t="shared" si="6"/>
        <v>0.03</v>
      </c>
      <c r="R34" s="7">
        <f t="shared" si="3"/>
        <v>0</v>
      </c>
      <c r="T34">
        <v>0.22</v>
      </c>
      <c r="U34" s="7">
        <f t="shared" si="4"/>
        <v>0</v>
      </c>
      <c r="V34" s="15">
        <f t="shared" si="7"/>
        <v>0.22</v>
      </c>
      <c r="W34" s="7">
        <f t="shared" si="4"/>
        <v>0</v>
      </c>
    </row>
    <row r="35" spans="2:23" ht="12.75">
      <c r="B35" s="4" t="s">
        <v>59</v>
      </c>
      <c r="C35" s="5">
        <v>0.001</v>
      </c>
      <c r="D35"/>
      <c r="E35">
        <v>0.01</v>
      </c>
      <c r="F35" s="7">
        <f t="shared" si="0"/>
        <v>1E-05</v>
      </c>
      <c r="G35" s="15">
        <f t="shared" si="8"/>
        <v>0.01</v>
      </c>
      <c r="H35" s="7">
        <f t="shared" si="0"/>
        <v>1E-05</v>
      </c>
      <c r="I35"/>
      <c r="J35">
        <v>0.02</v>
      </c>
      <c r="K35" s="7">
        <f t="shared" si="2"/>
        <v>2E-05</v>
      </c>
      <c r="L35" s="15">
        <f t="shared" si="5"/>
        <v>0.02</v>
      </c>
      <c r="M35" s="7">
        <f t="shared" si="2"/>
        <v>2E-05</v>
      </c>
      <c r="N35"/>
      <c r="O35">
        <v>0.03</v>
      </c>
      <c r="P35" s="7">
        <f t="shared" si="3"/>
        <v>3E-05</v>
      </c>
      <c r="Q35" s="15">
        <f t="shared" si="6"/>
        <v>0.03</v>
      </c>
      <c r="R35" s="7">
        <f t="shared" si="3"/>
        <v>3E-05</v>
      </c>
      <c r="T35">
        <v>0.05</v>
      </c>
      <c r="U35" s="7">
        <f t="shared" si="4"/>
        <v>5E-05</v>
      </c>
      <c r="V35" s="15">
        <f t="shared" si="7"/>
        <v>0.05</v>
      </c>
      <c r="W35" s="7">
        <f t="shared" si="4"/>
        <v>5E-05</v>
      </c>
    </row>
    <row r="36" spans="5:23" ht="12.75">
      <c r="E36" s="17"/>
      <c r="G36" s="17"/>
      <c r="I36" s="18"/>
      <c r="J36" s="16"/>
      <c r="K36" s="14"/>
      <c r="L36" s="14"/>
      <c r="M36" s="14"/>
      <c r="N36" s="18"/>
      <c r="O36" s="16"/>
      <c r="Q36" s="17"/>
      <c r="T36" s="16"/>
      <c r="U36" s="6"/>
      <c r="V36" s="17"/>
      <c r="W36" s="6"/>
    </row>
    <row r="37" spans="2:23" ht="12.75">
      <c r="B37" s="4" t="s">
        <v>60</v>
      </c>
      <c r="E37" s="17"/>
      <c r="F37" s="17">
        <f>3.726/0.0283</f>
        <v>131.660777385159</v>
      </c>
      <c r="G37" s="17">
        <f>3.726/0.0283</f>
        <v>131.660777385159</v>
      </c>
      <c r="H37" s="17">
        <f>3.726/0.0283</f>
        <v>131.660777385159</v>
      </c>
      <c r="I37" s="18"/>
      <c r="J37" s="17"/>
      <c r="K37" s="17">
        <f>3.397/0.0283</f>
        <v>120.03533568904594</v>
      </c>
      <c r="L37" s="17">
        <f>3.397/0.0283</f>
        <v>120.03533568904594</v>
      </c>
      <c r="M37" s="17">
        <f>3.397/0.0283</f>
        <v>120.03533568904594</v>
      </c>
      <c r="N37" s="18"/>
      <c r="O37" s="17"/>
      <c r="P37" s="17">
        <f>3.299/0.0283</f>
        <v>116.57243816254417</v>
      </c>
      <c r="Q37" s="17">
        <f>3.299/0.0283</f>
        <v>116.57243816254417</v>
      </c>
      <c r="R37" s="17">
        <f>3.299/0.0283</f>
        <v>116.57243816254417</v>
      </c>
      <c r="T37" s="17"/>
      <c r="U37" s="17">
        <f>3.424/0.0283</f>
        <v>120.98939929328623</v>
      </c>
      <c r="V37" s="17">
        <f>3.424/0.0283</f>
        <v>120.98939929328623</v>
      </c>
      <c r="W37" s="17">
        <f>3.424/0.0283</f>
        <v>120.98939929328623</v>
      </c>
    </row>
    <row r="38" spans="2:23" ht="12.75">
      <c r="B38" s="4" t="s">
        <v>61</v>
      </c>
      <c r="E38" s="17"/>
      <c r="F38" s="17">
        <v>7.81</v>
      </c>
      <c r="G38" s="17">
        <v>7.81</v>
      </c>
      <c r="H38" s="17">
        <v>7.81</v>
      </c>
      <c r="I38" s="18"/>
      <c r="J38" s="17"/>
      <c r="K38" s="14">
        <v>7.69</v>
      </c>
      <c r="L38" s="14">
        <v>7.69</v>
      </c>
      <c r="M38" s="14">
        <v>7.69</v>
      </c>
      <c r="N38" s="18"/>
      <c r="O38" s="17"/>
      <c r="P38" s="14">
        <v>7.71</v>
      </c>
      <c r="Q38" s="14">
        <v>7.71</v>
      </c>
      <c r="R38" s="14">
        <v>7.71</v>
      </c>
      <c r="T38" s="17"/>
      <c r="U38" s="14">
        <v>8.02</v>
      </c>
      <c r="V38" s="14">
        <v>8.02</v>
      </c>
      <c r="W38" s="14">
        <v>8.02</v>
      </c>
    </row>
    <row r="39" spans="5:23" ht="12.75">
      <c r="E39" s="17"/>
      <c r="F39" s="19"/>
      <c r="G39" s="17"/>
      <c r="H39" s="19"/>
      <c r="I39" s="20"/>
      <c r="J39" s="17"/>
      <c r="K39" s="21"/>
      <c r="L39" s="14"/>
      <c r="M39" s="21"/>
      <c r="N39" s="18"/>
      <c r="O39" s="17"/>
      <c r="P39" s="17"/>
      <c r="Q39" s="17"/>
      <c r="R39" s="17"/>
      <c r="T39" s="17"/>
      <c r="U39" s="17"/>
      <c r="V39" s="17"/>
      <c r="W39" s="17"/>
    </row>
    <row r="40" spans="2:23" ht="12" customHeight="1">
      <c r="B40" s="4" t="s">
        <v>62</v>
      </c>
      <c r="C40" s="7"/>
      <c r="D40" s="11"/>
      <c r="E40" s="14"/>
      <c r="F40" s="15">
        <f>SUM(F11:F35)</f>
        <v>0.11569000000000003</v>
      </c>
      <c r="G40" s="15">
        <f>SUM(G35,G34,G31,G26,G23,G21,G20,G18,G14,G12)</f>
        <v>16.36</v>
      </c>
      <c r="H40" s="15">
        <f>SUM(H11:H35)</f>
        <v>0.11569000000000003</v>
      </c>
      <c r="I40" s="11"/>
      <c r="J40" s="14"/>
      <c r="K40" s="15">
        <f>SUM(K11:K35)</f>
        <v>0.11150000000000004</v>
      </c>
      <c r="L40" s="15">
        <f>SUM(L35,L34,L31,L26,L23,L21,L20,L18,L14,L12)</f>
        <v>31.82</v>
      </c>
      <c r="M40" s="15">
        <f>SUM(M11:M35)</f>
        <v>0.11150000000000004</v>
      </c>
      <c r="N40" s="11"/>
      <c r="O40" s="17"/>
      <c r="P40" s="15">
        <f>SUM(P11:P35)</f>
        <v>0.16298</v>
      </c>
      <c r="Q40" s="15">
        <f>SUM(Q35,Q34,Q31,Q26,Q23,Q21,Q20,Q18,Q14,Q12)</f>
        <v>44.529999999999994</v>
      </c>
      <c r="R40" s="15">
        <f>SUM(R11:R35)</f>
        <v>0.16298</v>
      </c>
      <c r="T40" s="17"/>
      <c r="U40" s="15">
        <f>SUM(U11:U35)</f>
        <v>0.5037900000000001</v>
      </c>
      <c r="V40" s="15">
        <f>SUM(V35,V34,V31,V26,V23,V21,V20,V18,V14,V12)</f>
        <v>118.30999999999999</v>
      </c>
      <c r="W40" s="15">
        <f>SUM(W11:W35)</f>
        <v>0.5037900000000001</v>
      </c>
    </row>
    <row r="41" spans="2:23" ht="12.75">
      <c r="B41" s="4" t="s">
        <v>63</v>
      </c>
      <c r="C41" s="7"/>
      <c r="D41" s="14"/>
      <c r="E41" s="17"/>
      <c r="F41" s="15">
        <f>(F40/F37/0.0283*(21-7)/(21-F38))</f>
        <v>0.03295613025206152</v>
      </c>
      <c r="G41" s="15">
        <f>(G40/G37/0.0283*(21-7)/(21-G38))</f>
        <v>4.66040531527121</v>
      </c>
      <c r="H41" s="15">
        <f>(H40/H37/0.0283*(21-7)/(21-H38))</f>
        <v>0.03295613025206152</v>
      </c>
      <c r="I41" s="14"/>
      <c r="J41" s="17"/>
      <c r="K41" s="15">
        <f>(K40/K37/0.0283*(21-7)/(21-K38))</f>
        <v>0.03452465128664596</v>
      </c>
      <c r="L41" s="15">
        <f>(L40/L37/0.0283*(21-7)/(21-L38))</f>
        <v>9.85268523713968</v>
      </c>
      <c r="M41" s="15">
        <f>(M40/M37/0.0283*(21-7)/(21-M38))</f>
        <v>0.03452465128664596</v>
      </c>
      <c r="N41" s="14"/>
      <c r="O41" s="17"/>
      <c r="P41" s="15">
        <f>(P40/P37/0.0283*(21-7)/(21-P38))</f>
        <v>0.05204212873408752</v>
      </c>
      <c r="Q41" s="15">
        <f>(Q40/Q37/0.0283*(21-7)/(21-Q38))</f>
        <v>14.219143407343948</v>
      </c>
      <c r="R41" s="15">
        <f>(R40/R37/0.0283*(21-7)/(21-R38))</f>
        <v>0.05204212873408752</v>
      </c>
      <c r="S41" s="14"/>
      <c r="T41" s="17"/>
      <c r="U41" s="15">
        <f>(U40/U37/0.0283*(21-7)/(21-U38))</f>
        <v>0.15869715090073877</v>
      </c>
      <c r="V41" s="15">
        <f>(V40/V37/0.0283*(21-7)/(21-V38))</f>
        <v>37.26842518324381</v>
      </c>
      <c r="W41" s="15">
        <f>(W40/W37/0.0283*(21-7)/(21-W38))</f>
        <v>0.15869715090073877</v>
      </c>
    </row>
    <row r="42" spans="5:17" ht="12.75">
      <c r="E42" s="15"/>
      <c r="G42" s="15"/>
      <c r="I42" s="22"/>
      <c r="J42" s="15"/>
      <c r="K42" s="15"/>
      <c r="L42" s="15"/>
      <c r="M42" s="15"/>
      <c r="N42" s="22"/>
      <c r="O42" s="15"/>
      <c r="Q42" s="15"/>
    </row>
    <row r="43" spans="2:36" s="17" customFormat="1" ht="12.75">
      <c r="B43" s="17" t="s">
        <v>75</v>
      </c>
      <c r="C43" s="15">
        <f>AVERAGE(H41,M41,R41,W41)</f>
        <v>0.06955501529338344</v>
      </c>
      <c r="D43" s="18"/>
      <c r="F43" s="7"/>
      <c r="H43" s="7"/>
      <c r="I43" s="18"/>
      <c r="N43" s="18"/>
      <c r="P43" s="6"/>
      <c r="R43" s="6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2:3" ht="12.75">
      <c r="B44" s="4" t="s">
        <v>76</v>
      </c>
      <c r="C44" s="15">
        <f>AVERAGE(G41,L41,Q41,V41)</f>
        <v>16.50016478574966</v>
      </c>
    </row>
    <row r="45" spans="5:18" ht="12.75">
      <c r="E45" s="4"/>
      <c r="G45" s="4"/>
      <c r="I45" s="5"/>
      <c r="J45" s="4"/>
      <c r="K45" s="4"/>
      <c r="L45" s="4"/>
      <c r="M45" s="4"/>
      <c r="N45" s="5"/>
      <c r="O45" s="4"/>
      <c r="P45" s="4"/>
      <c r="Q45" s="4"/>
      <c r="R45" s="4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spans="3:18" ht="12.75">
      <c r="C108" s="5"/>
      <c r="E108" s="14"/>
      <c r="F108" s="17"/>
      <c r="G108" s="14"/>
      <c r="H108" s="17"/>
      <c r="I108" s="11"/>
      <c r="J108" s="16"/>
      <c r="K108" s="14"/>
      <c r="L108" s="14"/>
      <c r="M108" s="14"/>
      <c r="N108" s="11"/>
      <c r="O108" s="14"/>
      <c r="P108" s="7"/>
      <c r="Q108" s="14"/>
      <c r="R108" s="7"/>
    </row>
    <row r="109" spans="3:18" ht="12.75">
      <c r="C109" s="5"/>
      <c r="E109" s="14"/>
      <c r="F109" s="17"/>
      <c r="G109" s="14"/>
      <c r="H109" s="17"/>
      <c r="I109" s="11"/>
      <c r="J109" s="16"/>
      <c r="K109" s="14"/>
      <c r="L109" s="14"/>
      <c r="M109" s="14"/>
      <c r="N109" s="11"/>
      <c r="O109" s="21"/>
      <c r="P109" s="7"/>
      <c r="Q109" s="14"/>
      <c r="R109" s="7"/>
    </row>
    <row r="110" spans="3:18" ht="12.75">
      <c r="C110" s="5"/>
      <c r="E110" s="14"/>
      <c r="F110" s="17"/>
      <c r="G110" s="14"/>
      <c r="H110" s="17"/>
      <c r="I110" s="11"/>
      <c r="J110" s="16"/>
      <c r="K110" s="14"/>
      <c r="L110" s="14"/>
      <c r="M110" s="14"/>
      <c r="N110" s="11"/>
      <c r="O110" s="21"/>
      <c r="P110" s="7"/>
      <c r="Q110" s="14"/>
      <c r="R110" s="7"/>
    </row>
    <row r="111" spans="3:18" ht="12.75">
      <c r="C111" s="5"/>
      <c r="E111" s="14"/>
      <c r="F111" s="17"/>
      <c r="G111" s="14"/>
      <c r="H111" s="17"/>
      <c r="I111" s="11"/>
      <c r="J111" s="16"/>
      <c r="K111" s="14"/>
      <c r="L111" s="14"/>
      <c r="M111" s="14"/>
      <c r="N111" s="11"/>
      <c r="O111" s="21"/>
      <c r="P111" s="7"/>
      <c r="Q111" s="14"/>
      <c r="R111" s="7"/>
    </row>
    <row r="112" spans="3:18" ht="12.75">
      <c r="C112" s="5"/>
      <c r="E112" s="14"/>
      <c r="F112" s="17"/>
      <c r="G112" s="14"/>
      <c r="H112" s="17"/>
      <c r="I112" s="11"/>
      <c r="J112" s="16"/>
      <c r="K112" s="14"/>
      <c r="L112" s="14"/>
      <c r="M112" s="14"/>
      <c r="N112" s="11"/>
      <c r="O112" s="21"/>
      <c r="P112" s="7"/>
      <c r="Q112" s="14"/>
      <c r="R112" s="7"/>
    </row>
    <row r="113" spans="3:18" ht="12.75">
      <c r="C113" s="5"/>
      <c r="E113" s="14"/>
      <c r="F113" s="17"/>
      <c r="G113" s="14"/>
      <c r="H113" s="17"/>
      <c r="I113" s="11"/>
      <c r="J113" s="16"/>
      <c r="K113" s="14"/>
      <c r="L113" s="14"/>
      <c r="M113" s="14"/>
      <c r="N113" s="11"/>
      <c r="O113" s="21"/>
      <c r="P113" s="7"/>
      <c r="Q113" s="14"/>
      <c r="R113" s="7"/>
    </row>
    <row r="114" spans="3:18" ht="12.75">
      <c r="C114" s="5"/>
      <c r="E114" s="14"/>
      <c r="F114" s="17"/>
      <c r="G114" s="14"/>
      <c r="H114" s="17"/>
      <c r="I114" s="11"/>
      <c r="J114" s="16"/>
      <c r="K114" s="14"/>
      <c r="L114" s="14"/>
      <c r="M114" s="14"/>
      <c r="N114" s="11"/>
      <c r="O114" s="21"/>
      <c r="P114" s="7"/>
      <c r="Q114" s="14"/>
      <c r="R114" s="7"/>
    </row>
    <row r="115" spans="3:18" ht="12.75">
      <c r="C115" s="5"/>
      <c r="E115" s="14"/>
      <c r="F115" s="17"/>
      <c r="G115" s="14"/>
      <c r="H115" s="17"/>
      <c r="I115" s="11"/>
      <c r="J115" s="16"/>
      <c r="K115" s="14"/>
      <c r="L115" s="14"/>
      <c r="M115" s="14"/>
      <c r="N115" s="11"/>
      <c r="O115" s="21"/>
      <c r="P115" s="7"/>
      <c r="Q115" s="14"/>
      <c r="R115" s="7"/>
    </row>
    <row r="116" spans="3:18" ht="12.75">
      <c r="C116" s="5"/>
      <c r="E116" s="14"/>
      <c r="F116" s="17"/>
      <c r="G116" s="14"/>
      <c r="H116" s="17"/>
      <c r="I116" s="11"/>
      <c r="J116" s="16"/>
      <c r="K116" s="14"/>
      <c r="L116" s="14"/>
      <c r="M116" s="14"/>
      <c r="N116" s="11"/>
      <c r="O116" s="21"/>
      <c r="P116" s="7"/>
      <c r="Q116" s="14"/>
      <c r="R116" s="7"/>
    </row>
    <row r="117" spans="3:18" ht="12.75">
      <c r="C117" s="5"/>
      <c r="E117" s="14"/>
      <c r="F117" s="17"/>
      <c r="G117" s="14"/>
      <c r="H117" s="17"/>
      <c r="I117" s="11"/>
      <c r="J117" s="16"/>
      <c r="K117" s="14"/>
      <c r="L117" s="14"/>
      <c r="M117" s="14"/>
      <c r="N117" s="11"/>
      <c r="O117" s="21"/>
      <c r="P117" s="7"/>
      <c r="Q117" s="14"/>
      <c r="R117" s="7"/>
    </row>
    <row r="118" spans="3:18" ht="12.75">
      <c r="C118" s="5"/>
      <c r="E118" s="14"/>
      <c r="F118" s="17"/>
      <c r="G118" s="14"/>
      <c r="H118" s="17"/>
      <c r="I118" s="11"/>
      <c r="J118" s="16"/>
      <c r="K118" s="14"/>
      <c r="L118" s="14"/>
      <c r="M118" s="14"/>
      <c r="N118" s="11"/>
      <c r="O118" s="21"/>
      <c r="P118" s="7"/>
      <c r="Q118" s="14"/>
      <c r="R118" s="7"/>
    </row>
    <row r="119" spans="3:18" ht="12.75">
      <c r="C119" s="5"/>
      <c r="E119" s="14"/>
      <c r="F119" s="17"/>
      <c r="G119" s="14"/>
      <c r="H119" s="17"/>
      <c r="I119" s="11"/>
      <c r="J119" s="16"/>
      <c r="K119" s="14"/>
      <c r="L119" s="14"/>
      <c r="M119" s="14"/>
      <c r="N119" s="11"/>
      <c r="O119" s="21"/>
      <c r="P119" s="7"/>
      <c r="Q119" s="14"/>
      <c r="R119" s="7"/>
    </row>
    <row r="120" spans="3:18" ht="12.75">
      <c r="C120" s="5"/>
      <c r="E120" s="14"/>
      <c r="F120" s="17"/>
      <c r="G120" s="14"/>
      <c r="H120" s="17"/>
      <c r="I120" s="11"/>
      <c r="J120" s="16"/>
      <c r="K120" s="14"/>
      <c r="L120" s="14"/>
      <c r="M120" s="14"/>
      <c r="N120" s="11"/>
      <c r="O120" s="21"/>
      <c r="P120" s="7"/>
      <c r="Q120" s="14"/>
      <c r="R120" s="7"/>
    </row>
    <row r="121" spans="3:18" ht="12.75">
      <c r="C121" s="5"/>
      <c r="E121" s="14"/>
      <c r="F121" s="17"/>
      <c r="G121" s="14"/>
      <c r="H121" s="17"/>
      <c r="I121" s="11"/>
      <c r="J121" s="16"/>
      <c r="K121" s="14"/>
      <c r="L121" s="14"/>
      <c r="M121" s="14"/>
      <c r="N121" s="11"/>
      <c r="O121" s="21"/>
      <c r="P121" s="7"/>
      <c r="Q121" s="14"/>
      <c r="R121" s="7"/>
    </row>
    <row r="122" spans="3:18" ht="12.75">
      <c r="C122" s="5"/>
      <c r="E122" s="14"/>
      <c r="F122" s="17"/>
      <c r="G122" s="14"/>
      <c r="H122" s="17"/>
      <c r="I122" s="11"/>
      <c r="J122" s="16"/>
      <c r="K122" s="14"/>
      <c r="L122" s="14"/>
      <c r="M122" s="14"/>
      <c r="N122" s="11"/>
      <c r="O122" s="21"/>
      <c r="P122" s="7"/>
      <c r="Q122" s="14"/>
      <c r="R122" s="7"/>
    </row>
    <row r="123" spans="3:18" ht="12.75">
      <c r="C123" s="5"/>
      <c r="E123" s="14"/>
      <c r="F123" s="17"/>
      <c r="G123" s="14"/>
      <c r="H123" s="17"/>
      <c r="I123" s="11"/>
      <c r="J123" s="16"/>
      <c r="K123" s="14"/>
      <c r="L123" s="14"/>
      <c r="M123" s="14"/>
      <c r="N123" s="11"/>
      <c r="O123" s="21"/>
      <c r="P123" s="7"/>
      <c r="Q123" s="14"/>
      <c r="R123" s="7"/>
    </row>
    <row r="124" spans="3:18" ht="12.75">
      <c r="C124" s="5"/>
      <c r="E124" s="14"/>
      <c r="F124" s="17"/>
      <c r="G124" s="14"/>
      <c r="H124" s="17"/>
      <c r="I124" s="11"/>
      <c r="J124" s="16"/>
      <c r="K124" s="14"/>
      <c r="L124" s="14"/>
      <c r="M124" s="14"/>
      <c r="N124" s="11"/>
      <c r="O124" s="21"/>
      <c r="P124" s="7"/>
      <c r="Q124" s="14"/>
      <c r="R124" s="7"/>
    </row>
    <row r="125" spans="3:18" ht="12.75">
      <c r="C125" s="5"/>
      <c r="E125" s="14"/>
      <c r="F125" s="17"/>
      <c r="G125" s="14"/>
      <c r="H125" s="17"/>
      <c r="I125" s="11"/>
      <c r="J125" s="16"/>
      <c r="K125" s="14"/>
      <c r="L125" s="14"/>
      <c r="M125" s="14"/>
      <c r="N125" s="11"/>
      <c r="O125" s="21"/>
      <c r="P125" s="7"/>
      <c r="Q125" s="14"/>
      <c r="R125" s="7"/>
    </row>
    <row r="126" spans="3:18" ht="12.75">
      <c r="C126" s="5"/>
      <c r="E126" s="14"/>
      <c r="F126" s="17"/>
      <c r="G126" s="14"/>
      <c r="H126" s="17"/>
      <c r="I126" s="11"/>
      <c r="J126" s="16"/>
      <c r="K126" s="14"/>
      <c r="L126" s="14"/>
      <c r="M126" s="14"/>
      <c r="N126" s="11"/>
      <c r="O126" s="21"/>
      <c r="P126" s="7"/>
      <c r="Q126" s="14"/>
      <c r="R126" s="7"/>
    </row>
    <row r="127" spans="3:18" ht="12.75">
      <c r="C127" s="5"/>
      <c r="E127" s="14"/>
      <c r="F127" s="17"/>
      <c r="G127" s="14"/>
      <c r="H127" s="17"/>
      <c r="I127" s="11"/>
      <c r="J127" s="16"/>
      <c r="K127" s="14"/>
      <c r="L127" s="14"/>
      <c r="M127" s="14"/>
      <c r="N127" s="11"/>
      <c r="O127" s="21"/>
      <c r="P127" s="7"/>
      <c r="Q127" s="14"/>
      <c r="R127" s="7"/>
    </row>
    <row r="128" spans="3:18" ht="12.75">
      <c r="C128" s="5"/>
      <c r="E128" s="14"/>
      <c r="F128" s="17"/>
      <c r="G128" s="14"/>
      <c r="H128" s="17"/>
      <c r="I128" s="11"/>
      <c r="J128" s="16"/>
      <c r="K128" s="14"/>
      <c r="L128" s="14"/>
      <c r="M128" s="14"/>
      <c r="N128" s="11"/>
      <c r="O128" s="21"/>
      <c r="P128" s="7"/>
      <c r="Q128" s="14"/>
      <c r="R128" s="7"/>
    </row>
    <row r="129" spans="3:18" ht="12.75">
      <c r="C129" s="5"/>
      <c r="E129" s="14"/>
      <c r="F129" s="17"/>
      <c r="G129" s="14"/>
      <c r="H129" s="17"/>
      <c r="I129" s="11"/>
      <c r="J129" s="16"/>
      <c r="K129" s="14"/>
      <c r="L129" s="14"/>
      <c r="M129" s="14"/>
      <c r="N129" s="11"/>
      <c r="O129" s="21"/>
      <c r="P129" s="7"/>
      <c r="Q129" s="14"/>
      <c r="R129" s="7"/>
    </row>
    <row r="130" spans="3:18" ht="12.75">
      <c r="C130" s="5"/>
      <c r="E130" s="14"/>
      <c r="F130" s="17"/>
      <c r="G130" s="14"/>
      <c r="H130" s="17"/>
      <c r="I130" s="11"/>
      <c r="J130" s="16"/>
      <c r="K130" s="14"/>
      <c r="L130" s="14"/>
      <c r="M130" s="14"/>
      <c r="N130" s="11"/>
      <c r="O130" s="21"/>
      <c r="P130" s="7"/>
      <c r="Q130" s="14"/>
      <c r="R130" s="7"/>
    </row>
    <row r="131" spans="3:18" ht="12.75">
      <c r="C131" s="5"/>
      <c r="E131" s="14"/>
      <c r="F131" s="17"/>
      <c r="G131" s="14"/>
      <c r="H131" s="17"/>
      <c r="I131" s="11"/>
      <c r="J131" s="16"/>
      <c r="K131" s="14"/>
      <c r="L131" s="14"/>
      <c r="M131" s="14"/>
      <c r="N131" s="11"/>
      <c r="O131" s="21"/>
      <c r="P131" s="7"/>
      <c r="Q131" s="14"/>
      <c r="R131" s="7"/>
    </row>
    <row r="132" spans="3:18" ht="12.75">
      <c r="C132" s="5"/>
      <c r="E132" s="14"/>
      <c r="F132" s="17"/>
      <c r="G132" s="14"/>
      <c r="H132" s="17"/>
      <c r="I132" s="11"/>
      <c r="J132" s="16"/>
      <c r="K132" s="14"/>
      <c r="L132" s="14"/>
      <c r="M132" s="14"/>
      <c r="N132" s="11"/>
      <c r="O132" s="21"/>
      <c r="P132" s="7"/>
      <c r="Q132" s="14"/>
      <c r="R132" s="7"/>
    </row>
    <row r="133" spans="5:17" ht="12.75">
      <c r="E133" s="17"/>
      <c r="G133" s="17"/>
      <c r="I133" s="18"/>
      <c r="J133" s="17"/>
      <c r="K133" s="14"/>
      <c r="L133" s="14"/>
      <c r="M133" s="14"/>
      <c r="N133" s="18"/>
      <c r="O133" s="16"/>
      <c r="Q133" s="17"/>
    </row>
    <row r="134" spans="5:18" ht="12.75">
      <c r="E134" s="17"/>
      <c r="F134" s="17"/>
      <c r="G134" s="17"/>
      <c r="H134" s="17"/>
      <c r="I134" s="18"/>
      <c r="J134" s="17"/>
      <c r="K134" s="14"/>
      <c r="L134" s="14"/>
      <c r="M134" s="14"/>
      <c r="N134" s="18"/>
      <c r="O134" s="17"/>
      <c r="P134" s="17"/>
      <c r="Q134" s="17"/>
      <c r="R134" s="17"/>
    </row>
    <row r="135" spans="5:18" ht="12.75">
      <c r="E135" s="17"/>
      <c r="F135" s="17"/>
      <c r="G135" s="17"/>
      <c r="H135" s="17"/>
      <c r="I135" s="18"/>
      <c r="J135" s="17"/>
      <c r="K135" s="14"/>
      <c r="L135" s="14"/>
      <c r="M135" s="14"/>
      <c r="N135" s="18"/>
      <c r="O135" s="17"/>
      <c r="P135" s="17"/>
      <c r="Q135" s="17"/>
      <c r="R135" s="17"/>
    </row>
    <row r="136" spans="5:18" ht="12.75">
      <c r="E136" s="17"/>
      <c r="F136" s="16"/>
      <c r="G136" s="17"/>
      <c r="H136" s="16"/>
      <c r="I136" s="20"/>
      <c r="J136" s="17"/>
      <c r="K136" s="21"/>
      <c r="L136" s="14"/>
      <c r="M136" s="21"/>
      <c r="N136" s="18"/>
      <c r="O136" s="17"/>
      <c r="P136" s="17"/>
      <c r="Q136" s="17"/>
      <c r="R136" s="17"/>
    </row>
    <row r="137" spans="3:18" ht="12.75">
      <c r="C137" s="7"/>
      <c r="D137" s="11"/>
      <c r="E137" s="14"/>
      <c r="F137" s="17"/>
      <c r="G137" s="14"/>
      <c r="H137" s="17"/>
      <c r="I137" s="11"/>
      <c r="J137" s="14"/>
      <c r="K137" s="14"/>
      <c r="L137" s="14"/>
      <c r="M137" s="14"/>
      <c r="N137" s="11"/>
      <c r="O137" s="17"/>
      <c r="P137" s="7"/>
      <c r="Q137" s="7"/>
      <c r="R137" s="7"/>
    </row>
    <row r="138" spans="3:18" ht="12.75">
      <c r="C138" s="7"/>
      <c r="D138" s="11"/>
      <c r="E138" s="17"/>
      <c r="G138" s="15"/>
      <c r="I138" s="11"/>
      <c r="J138" s="17"/>
      <c r="K138" s="7"/>
      <c r="L138" s="14"/>
      <c r="M138" s="7"/>
      <c r="N138" s="11"/>
      <c r="O138" s="17"/>
      <c r="P138" s="15"/>
      <c r="Q138" s="15"/>
      <c r="R138" s="15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5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9"/>
  <sheetViews>
    <sheetView workbookViewId="0" topLeftCell="C1">
      <selection activeCell="C25" sqref="C25"/>
    </sheetView>
  </sheetViews>
  <sheetFormatPr defaultColWidth="9.140625" defaultRowHeight="12.75"/>
  <cols>
    <col min="1" max="1" width="9.140625" style="0" hidden="1" customWidth="1"/>
    <col min="2" max="2" width="3.00390625" style="0" hidden="1" customWidth="1"/>
    <col min="3" max="3" width="15.8515625" style="0" customWidth="1"/>
    <col min="5" max="5" width="3.8515625" style="0" customWidth="1"/>
    <col min="6" max="8" width="9.140625" style="82" customWidth="1"/>
    <col min="9" max="9" width="3.28125" style="0" customWidth="1"/>
    <col min="10" max="12" width="9.140625" style="82" customWidth="1"/>
    <col min="13" max="13" width="4.140625" style="0" customWidth="1"/>
    <col min="14" max="16" width="9.140625" style="82" customWidth="1"/>
  </cols>
  <sheetData>
    <row r="1" spans="3:16" ht="12.75">
      <c r="C1" s="2" t="s">
        <v>174</v>
      </c>
      <c r="D1" s="5" t="s">
        <v>26</v>
      </c>
      <c r="F1" s="83" t="s">
        <v>140</v>
      </c>
      <c r="G1" s="83"/>
      <c r="H1" s="83"/>
      <c r="J1" s="83" t="s">
        <v>141</v>
      </c>
      <c r="K1" s="83"/>
      <c r="L1" s="83"/>
      <c r="N1" s="83" t="s">
        <v>142</v>
      </c>
      <c r="O1" s="83"/>
      <c r="P1" s="83"/>
    </row>
    <row r="2" spans="4:16" ht="12.75">
      <c r="D2" s="5" t="s">
        <v>30</v>
      </c>
      <c r="F2" s="81" t="s">
        <v>31</v>
      </c>
      <c r="G2" s="11" t="s">
        <v>31</v>
      </c>
      <c r="H2" s="11" t="s">
        <v>32</v>
      </c>
      <c r="I2" s="3"/>
      <c r="J2" s="81" t="s">
        <v>31</v>
      </c>
      <c r="K2" s="11" t="s">
        <v>31</v>
      </c>
      <c r="L2" s="11" t="s">
        <v>32</v>
      </c>
      <c r="M2" s="3"/>
      <c r="N2" s="81" t="s">
        <v>31</v>
      </c>
      <c r="O2" s="11" t="s">
        <v>31</v>
      </c>
      <c r="P2" s="11" t="s">
        <v>32</v>
      </c>
    </row>
    <row r="3" spans="3:16" ht="12.75">
      <c r="C3" t="s">
        <v>80</v>
      </c>
      <c r="D3" s="5"/>
      <c r="F3" s="81" t="s">
        <v>210</v>
      </c>
      <c r="G3" s="11" t="s">
        <v>74</v>
      </c>
      <c r="H3" s="11" t="s">
        <v>74</v>
      </c>
      <c r="I3" s="3"/>
      <c r="J3" s="81" t="s">
        <v>210</v>
      </c>
      <c r="K3" s="11" t="s">
        <v>74</v>
      </c>
      <c r="L3" s="11" t="s">
        <v>74</v>
      </c>
      <c r="M3" s="3"/>
      <c r="N3" s="81" t="s">
        <v>210</v>
      </c>
      <c r="O3" s="11" t="s">
        <v>74</v>
      </c>
      <c r="P3" s="11" t="s">
        <v>74</v>
      </c>
    </row>
    <row r="4" spans="4:16" ht="12.75">
      <c r="D4" s="4"/>
      <c r="G4" s="7"/>
      <c r="H4" s="7"/>
      <c r="K4" s="7"/>
      <c r="L4" s="7"/>
      <c r="O4" s="7"/>
      <c r="P4" s="7"/>
    </row>
    <row r="5" spans="1:38" s="62" customFormat="1" ht="12.75">
      <c r="A5" s="62" t="s">
        <v>174</v>
      </c>
      <c r="B5" s="62">
        <v>1</v>
      </c>
      <c r="C5" s="62" t="s">
        <v>211</v>
      </c>
      <c r="D5" s="5">
        <v>1</v>
      </c>
      <c r="E5" s="59"/>
      <c r="F5" s="64">
        <v>0.046077485027312806</v>
      </c>
      <c r="G5" s="7">
        <f>IF(F5=0,"",IF(E5=1,F5/2,F5))</f>
        <v>0.046077485027312806</v>
      </c>
      <c r="H5" s="7">
        <f>IF(G5="","",G5*$D5)</f>
        <v>0.046077485027312806</v>
      </c>
      <c r="I5" s="59"/>
      <c r="J5" s="64">
        <v>0.03698409728718428</v>
      </c>
      <c r="K5" s="7">
        <f>IF(J5=0,"",IF(I5=1,J5/2,J5))</f>
        <v>0.03698409728718428</v>
      </c>
      <c r="L5" s="7">
        <f>IF(K5="","",K5*$D5)</f>
        <v>0.03698409728718428</v>
      </c>
      <c r="M5" s="59"/>
      <c r="N5" s="64">
        <v>0.027143406382160704</v>
      </c>
      <c r="O5" s="7">
        <f>IF(N5=0,"",IF(M5=1,N5/2,N5))</f>
        <v>0.027143406382160704</v>
      </c>
      <c r="P5" s="7">
        <f>IF(O5="","",O5*$D5)</f>
        <v>0.027143406382160704</v>
      </c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</row>
    <row r="6" spans="1:38" s="62" customFormat="1" ht="12.75">
      <c r="A6" s="62" t="s">
        <v>174</v>
      </c>
      <c r="B6" s="62">
        <v>2</v>
      </c>
      <c r="C6" s="62" t="s">
        <v>212</v>
      </c>
      <c r="D6" s="5">
        <v>0</v>
      </c>
      <c r="E6" s="59"/>
      <c r="F6" s="64">
        <v>25.567583309567162</v>
      </c>
      <c r="G6" s="7">
        <f aca="true" t="shared" si="0" ref="G6:G37">IF(F6=0,"",IF(E6=1,F6/2,F6))</f>
        <v>25.567583309567162</v>
      </c>
      <c r="H6" s="7">
        <f aca="true" t="shared" si="1" ref="H6:H37">IF(G6="","",G6*$D6)</f>
        <v>0</v>
      </c>
      <c r="I6" s="59"/>
      <c r="J6" s="64">
        <v>11.982847521047706</v>
      </c>
      <c r="K6" s="7">
        <f aca="true" t="shared" si="2" ref="K6:K37">IF(J6=0,"",IF(I6=1,J6/2,J6))</f>
        <v>11.982847521047706</v>
      </c>
      <c r="L6" s="7">
        <f aca="true" t="shared" si="3" ref="L6:L37">IF(K6="","",K6*$D6)</f>
        <v>0</v>
      </c>
      <c r="M6" s="59"/>
      <c r="N6" s="64">
        <v>9.050818061429364</v>
      </c>
      <c r="O6" s="7">
        <f aca="true" t="shared" si="4" ref="O6:O37">IF(N6=0,"",IF(M6=1,N6/2,N6))</f>
        <v>9.050818061429364</v>
      </c>
      <c r="P6" s="7">
        <f aca="true" t="shared" si="5" ref="P6:P37">IF(O6="","",O6*$D6)</f>
        <v>0</v>
      </c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</row>
    <row r="7" spans="1:38" s="62" customFormat="1" ht="12.75">
      <c r="A7" s="62" t="s">
        <v>174</v>
      </c>
      <c r="B7" s="62">
        <v>3</v>
      </c>
      <c r="C7" s="62" t="s">
        <v>213</v>
      </c>
      <c r="D7" s="5">
        <v>0</v>
      </c>
      <c r="E7" s="59"/>
      <c r="F7" s="64">
        <v>25.613660794594473</v>
      </c>
      <c r="G7" s="7">
        <f t="shared" si="0"/>
        <v>25.613660794594473</v>
      </c>
      <c r="H7" s="7">
        <f t="shared" si="1"/>
        <v>0</v>
      </c>
      <c r="I7" s="59"/>
      <c r="J7" s="64">
        <v>12.01983161833489</v>
      </c>
      <c r="K7" s="7">
        <f t="shared" si="2"/>
        <v>12.01983161833489</v>
      </c>
      <c r="L7" s="7">
        <f t="shared" si="3"/>
        <v>0</v>
      </c>
      <c r="M7" s="59"/>
      <c r="N7" s="64">
        <v>9.077961467811525</v>
      </c>
      <c r="O7" s="7">
        <f t="shared" si="4"/>
        <v>9.077961467811525</v>
      </c>
      <c r="P7" s="7">
        <f t="shared" si="5"/>
        <v>0</v>
      </c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</row>
    <row r="8" spans="1:38" s="62" customFormat="1" ht="12.75">
      <c r="A8" s="62" t="s">
        <v>174</v>
      </c>
      <c r="B8" s="62">
        <v>4</v>
      </c>
      <c r="C8" s="62" t="s">
        <v>214</v>
      </c>
      <c r="D8" s="5">
        <v>0.5</v>
      </c>
      <c r="E8" s="59"/>
      <c r="F8" s="64">
        <v>0.32525283548691386</v>
      </c>
      <c r="G8" s="7">
        <f t="shared" si="0"/>
        <v>0.32525283548691386</v>
      </c>
      <c r="H8" s="7">
        <f t="shared" si="1"/>
        <v>0.16262641774345693</v>
      </c>
      <c r="I8" s="59"/>
      <c r="J8" s="64">
        <v>0.20649454318677893</v>
      </c>
      <c r="K8" s="7">
        <f t="shared" si="2"/>
        <v>0.20649454318677893</v>
      </c>
      <c r="L8" s="7">
        <f t="shared" si="3"/>
        <v>0.10324727159338946</v>
      </c>
      <c r="M8" s="59"/>
      <c r="N8" s="64">
        <v>0.13571703191080356</v>
      </c>
      <c r="O8" s="7">
        <f t="shared" si="4"/>
        <v>0.13571703191080356</v>
      </c>
      <c r="P8" s="7">
        <f t="shared" si="5"/>
        <v>0.06785851595540178</v>
      </c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38" s="62" customFormat="1" ht="12.75">
      <c r="A9" s="62" t="s">
        <v>174</v>
      </c>
      <c r="B9" s="62">
        <v>5</v>
      </c>
      <c r="C9" s="62" t="s">
        <v>215</v>
      </c>
      <c r="D9" s="5">
        <v>0</v>
      </c>
      <c r="E9" s="59"/>
      <c r="F9" s="64">
        <v>34.910471008928766</v>
      </c>
      <c r="G9" s="7">
        <f t="shared" si="0"/>
        <v>34.910471008928766</v>
      </c>
      <c r="H9" s="7">
        <f t="shared" si="1"/>
        <v>0</v>
      </c>
      <c r="I9" s="59"/>
      <c r="J9" s="64">
        <v>17.14521110071718</v>
      </c>
      <c r="K9" s="7">
        <f t="shared" si="2"/>
        <v>17.14521110071718</v>
      </c>
      <c r="L9" s="7">
        <f t="shared" si="3"/>
        <v>0</v>
      </c>
      <c r="M9" s="59"/>
      <c r="N9" s="64">
        <v>13.647101542142</v>
      </c>
      <c r="O9" s="7">
        <f t="shared" si="4"/>
        <v>13.647101542142</v>
      </c>
      <c r="P9" s="7">
        <f t="shared" si="5"/>
        <v>0</v>
      </c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</row>
    <row r="10" spans="1:38" s="62" customFormat="1" ht="12.75">
      <c r="A10" s="62" t="s">
        <v>174</v>
      </c>
      <c r="B10" s="62">
        <v>5</v>
      </c>
      <c r="C10" s="62" t="s">
        <v>216</v>
      </c>
      <c r="D10" s="5">
        <v>0</v>
      </c>
      <c r="E10" s="59"/>
      <c r="F10" s="64">
        <v>35.23572384441568</v>
      </c>
      <c r="G10" s="7">
        <f t="shared" si="0"/>
        <v>35.23572384441568</v>
      </c>
      <c r="H10" s="7">
        <f t="shared" si="1"/>
        <v>0</v>
      </c>
      <c r="I10" s="59"/>
      <c r="J10" s="64">
        <v>17.351705643904</v>
      </c>
      <c r="K10" s="7">
        <f t="shared" si="2"/>
        <v>17.351705643904</v>
      </c>
      <c r="L10" s="7">
        <f t="shared" si="3"/>
        <v>0</v>
      </c>
      <c r="M10" s="59"/>
      <c r="N10" s="64">
        <v>13.782818574052714</v>
      </c>
      <c r="O10" s="7">
        <f t="shared" si="4"/>
        <v>13.782818574052714</v>
      </c>
      <c r="P10" s="7">
        <f t="shared" si="5"/>
        <v>0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</row>
    <row r="11" spans="1:38" s="62" customFormat="1" ht="12.75">
      <c r="A11" s="62" t="s">
        <v>174</v>
      </c>
      <c r="B11" s="62">
        <v>7</v>
      </c>
      <c r="C11" s="62" t="s">
        <v>217</v>
      </c>
      <c r="D11" s="5">
        <v>0.1</v>
      </c>
      <c r="E11" s="59"/>
      <c r="F11" s="64">
        <v>0.46077485027312803</v>
      </c>
      <c r="G11" s="7">
        <f t="shared" si="0"/>
        <v>0.46077485027312803</v>
      </c>
      <c r="H11" s="7">
        <f t="shared" si="1"/>
        <v>0.046077485027312806</v>
      </c>
      <c r="I11" s="59"/>
      <c r="J11" s="64">
        <v>0.27121671343935144</v>
      </c>
      <c r="K11" s="7">
        <f t="shared" si="2"/>
        <v>0.27121671343935144</v>
      </c>
      <c r="L11" s="7">
        <f t="shared" si="3"/>
        <v>0.027121671343935144</v>
      </c>
      <c r="M11" s="59"/>
      <c r="N11" s="64">
        <v>0.16587637233542654</v>
      </c>
      <c r="O11" s="7">
        <f t="shared" si="4"/>
        <v>0.16587637233542654</v>
      </c>
      <c r="P11" s="7">
        <f t="shared" si="5"/>
        <v>0.016587637233542656</v>
      </c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</row>
    <row r="12" spans="1:38" s="62" customFormat="1" ht="12.75">
      <c r="A12" s="62" t="s">
        <v>174</v>
      </c>
      <c r="B12" s="62">
        <v>8</v>
      </c>
      <c r="C12" s="62" t="s">
        <v>218</v>
      </c>
      <c r="D12" s="5">
        <v>0.1</v>
      </c>
      <c r="E12" s="59"/>
      <c r="F12" s="64">
        <v>0.6505056709738277</v>
      </c>
      <c r="G12" s="7">
        <f t="shared" si="0"/>
        <v>0.6505056709738277</v>
      </c>
      <c r="H12" s="7">
        <f t="shared" si="1"/>
        <v>0.06505056709738277</v>
      </c>
      <c r="I12" s="59"/>
      <c r="J12" s="64">
        <v>0.3698409728718428</v>
      </c>
      <c r="K12" s="7">
        <f t="shared" si="2"/>
        <v>0.3698409728718428</v>
      </c>
      <c r="L12" s="7">
        <f t="shared" si="3"/>
        <v>0.036984097287184284</v>
      </c>
      <c r="M12" s="59"/>
      <c r="N12" s="64">
        <v>0.24429065743944636</v>
      </c>
      <c r="O12" s="7">
        <f t="shared" si="4"/>
        <v>0.24429065743944636</v>
      </c>
      <c r="P12" s="7">
        <f t="shared" si="5"/>
        <v>0.02442906574394464</v>
      </c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</row>
    <row r="13" spans="1:38" s="62" customFormat="1" ht="12.75">
      <c r="A13" s="62" t="s">
        <v>174</v>
      </c>
      <c r="B13" s="62">
        <v>9</v>
      </c>
      <c r="C13" s="62" t="s">
        <v>219</v>
      </c>
      <c r="D13" s="5">
        <v>0.1</v>
      </c>
      <c r="E13" s="59"/>
      <c r="F13" s="64">
        <v>0.7318188798455564</v>
      </c>
      <c r="G13" s="7">
        <f t="shared" si="0"/>
        <v>0.7318188798455564</v>
      </c>
      <c r="H13" s="7">
        <f t="shared" si="1"/>
        <v>0.07318188798455565</v>
      </c>
      <c r="I13" s="59"/>
      <c r="J13" s="64">
        <v>0.43148113501715</v>
      </c>
      <c r="K13" s="7">
        <f t="shared" si="2"/>
        <v>0.43148113501715</v>
      </c>
      <c r="L13" s="7">
        <f t="shared" si="3"/>
        <v>0.043148113501715005</v>
      </c>
      <c r="M13" s="59"/>
      <c r="N13" s="64">
        <v>0.28349779999145625</v>
      </c>
      <c r="O13" s="7">
        <f t="shared" si="4"/>
        <v>0.28349779999145625</v>
      </c>
      <c r="P13" s="7">
        <f t="shared" si="5"/>
        <v>0.028349779999145626</v>
      </c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</row>
    <row r="14" spans="1:38" s="62" customFormat="1" ht="12.75">
      <c r="A14" s="62" t="s">
        <v>174</v>
      </c>
      <c r="B14" s="62">
        <v>10</v>
      </c>
      <c r="C14" s="62" t="s">
        <v>220</v>
      </c>
      <c r="D14" s="5">
        <v>0</v>
      </c>
      <c r="E14" s="59"/>
      <c r="F14" s="64">
        <v>60.76807143013843</v>
      </c>
      <c r="G14" s="7">
        <f t="shared" si="0"/>
        <v>60.76807143013843</v>
      </c>
      <c r="H14" s="7">
        <f t="shared" si="1"/>
        <v>0</v>
      </c>
      <c r="I14" s="59"/>
      <c r="J14" s="64">
        <v>29.43934144059869</v>
      </c>
      <c r="K14" s="7">
        <f t="shared" si="2"/>
        <v>29.43934144059869</v>
      </c>
      <c r="L14" s="7">
        <f t="shared" si="3"/>
        <v>0</v>
      </c>
      <c r="M14" s="59"/>
      <c r="N14" s="64">
        <v>20.628988850442145</v>
      </c>
      <c r="O14" s="7">
        <f t="shared" si="4"/>
        <v>20.628988850442145</v>
      </c>
      <c r="P14" s="7">
        <f t="shared" si="5"/>
        <v>0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</row>
    <row r="15" spans="1:38" s="62" customFormat="1" ht="12.75">
      <c r="A15" s="62" t="s">
        <v>174</v>
      </c>
      <c r="B15" s="62">
        <v>11</v>
      </c>
      <c r="C15" s="62" t="s">
        <v>221</v>
      </c>
      <c r="D15" s="5">
        <v>0</v>
      </c>
      <c r="E15" s="59"/>
      <c r="F15" s="64">
        <v>62.611170831231</v>
      </c>
      <c r="G15" s="7">
        <f t="shared" si="0"/>
        <v>62.611170831231</v>
      </c>
      <c r="H15" s="7">
        <f t="shared" si="1"/>
        <v>0</v>
      </c>
      <c r="I15" s="59"/>
      <c r="J15" s="64">
        <v>30.511880261927</v>
      </c>
      <c r="K15" s="7">
        <f t="shared" si="2"/>
        <v>30.511880261927</v>
      </c>
      <c r="L15" s="7">
        <f t="shared" si="3"/>
        <v>0</v>
      </c>
      <c r="M15" s="59"/>
      <c r="N15" s="64">
        <v>21.32265368020847</v>
      </c>
      <c r="O15" s="7">
        <f t="shared" si="4"/>
        <v>21.32265368020847</v>
      </c>
      <c r="P15" s="7">
        <f t="shared" si="5"/>
        <v>0</v>
      </c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</row>
    <row r="16" spans="1:38" s="62" customFormat="1" ht="12.75">
      <c r="A16" s="62" t="s">
        <v>174</v>
      </c>
      <c r="B16" s="62">
        <v>12</v>
      </c>
      <c r="C16" s="62" t="s">
        <v>222</v>
      </c>
      <c r="D16" s="5">
        <v>0.01</v>
      </c>
      <c r="E16" s="59"/>
      <c r="F16" s="64">
        <v>3.1712151459974107</v>
      </c>
      <c r="G16" s="7">
        <f t="shared" si="0"/>
        <v>3.1712151459974107</v>
      </c>
      <c r="H16" s="7">
        <f t="shared" si="1"/>
        <v>0.03171215145997411</v>
      </c>
      <c r="I16" s="59"/>
      <c r="J16" s="64">
        <v>1.7875647022139</v>
      </c>
      <c r="K16" s="7">
        <f t="shared" si="2"/>
        <v>1.7875647022139</v>
      </c>
      <c r="L16" s="7">
        <f t="shared" si="3"/>
        <v>0.017875647022139</v>
      </c>
      <c r="M16" s="59"/>
      <c r="N16" s="64">
        <v>1.0555769148618</v>
      </c>
      <c r="O16" s="7">
        <f t="shared" si="4"/>
        <v>1.0555769148618</v>
      </c>
      <c r="P16" s="7">
        <f t="shared" si="5"/>
        <v>0.010555769148618</v>
      </c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</row>
    <row r="17" spans="1:38" s="62" customFormat="1" ht="12.75">
      <c r="A17" s="62" t="s">
        <v>174</v>
      </c>
      <c r="B17" s="62">
        <v>13</v>
      </c>
      <c r="C17" s="62" t="s">
        <v>223</v>
      </c>
      <c r="D17" s="5">
        <v>0</v>
      </c>
      <c r="E17" s="59"/>
      <c r="F17" s="64">
        <v>4.336704473158853</v>
      </c>
      <c r="G17" s="7">
        <f t="shared" si="0"/>
        <v>4.336704473158853</v>
      </c>
      <c r="H17" s="7">
        <f t="shared" si="1"/>
        <v>0</v>
      </c>
      <c r="I17" s="59"/>
      <c r="J17" s="64">
        <v>2.5580667290302466</v>
      </c>
      <c r="K17" s="7">
        <f t="shared" si="2"/>
        <v>2.5580667290302466</v>
      </c>
      <c r="L17" s="7">
        <f t="shared" si="3"/>
        <v>0</v>
      </c>
      <c r="M17" s="59"/>
      <c r="N17" s="64">
        <v>1.59844504250502</v>
      </c>
      <c r="O17" s="7">
        <f t="shared" si="4"/>
        <v>1.59844504250502</v>
      </c>
      <c r="P17" s="7">
        <f t="shared" si="5"/>
        <v>0</v>
      </c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</row>
    <row r="18" spans="1:38" s="62" customFormat="1" ht="12.75">
      <c r="A18" s="62" t="s">
        <v>174</v>
      </c>
      <c r="B18" s="62">
        <v>14</v>
      </c>
      <c r="C18" s="62" t="s">
        <v>224</v>
      </c>
      <c r="D18" s="5">
        <v>0</v>
      </c>
      <c r="E18" s="59"/>
      <c r="F18" s="64">
        <v>7.507919619156263</v>
      </c>
      <c r="G18" s="7">
        <f t="shared" si="0"/>
        <v>7.507919619156263</v>
      </c>
      <c r="H18" s="7">
        <f t="shared" si="1"/>
        <v>0</v>
      </c>
      <c r="I18" s="59"/>
      <c r="J18" s="64">
        <v>4.345631431244153</v>
      </c>
      <c r="K18" s="7">
        <f t="shared" si="2"/>
        <v>4.345631431244153</v>
      </c>
      <c r="L18" s="7">
        <f t="shared" si="3"/>
        <v>0</v>
      </c>
      <c r="M18" s="59"/>
      <c r="N18" s="64">
        <v>2.6540219573668247</v>
      </c>
      <c r="O18" s="7">
        <f t="shared" si="4"/>
        <v>2.6540219573668247</v>
      </c>
      <c r="P18" s="7">
        <f t="shared" si="5"/>
        <v>0</v>
      </c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</row>
    <row r="19" spans="1:38" s="62" customFormat="1" ht="12.75">
      <c r="A19" s="62" t="s">
        <v>174</v>
      </c>
      <c r="B19" s="62">
        <v>15</v>
      </c>
      <c r="C19" s="62" t="s">
        <v>225</v>
      </c>
      <c r="D19" s="5">
        <v>0.001</v>
      </c>
      <c r="E19" s="59"/>
      <c r="F19" s="64">
        <v>1.7075773863063</v>
      </c>
      <c r="G19" s="7">
        <f t="shared" si="0"/>
        <v>1.7075773863063</v>
      </c>
      <c r="H19" s="7">
        <f t="shared" si="1"/>
        <v>0.0017075773863063</v>
      </c>
      <c r="I19" s="59"/>
      <c r="J19" s="64">
        <v>1.3869036482694104</v>
      </c>
      <c r="K19" s="7">
        <f t="shared" si="2"/>
        <v>1.3869036482694104</v>
      </c>
      <c r="L19" s="7">
        <f t="shared" si="3"/>
        <v>0.0013869036482694105</v>
      </c>
      <c r="M19" s="59"/>
      <c r="N19" s="64">
        <v>1.146054936135674</v>
      </c>
      <c r="O19" s="7">
        <f t="shared" si="4"/>
        <v>1.146054936135674</v>
      </c>
      <c r="P19" s="7">
        <f t="shared" si="5"/>
        <v>0.001146054936135674</v>
      </c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</row>
    <row r="20" spans="1:38" s="62" customFormat="1" ht="12.75">
      <c r="A20" s="62" t="s">
        <v>174</v>
      </c>
      <c r="B20" s="62">
        <v>16</v>
      </c>
      <c r="C20" s="62" t="s">
        <v>226</v>
      </c>
      <c r="D20" s="5">
        <v>0.1</v>
      </c>
      <c r="E20" s="59"/>
      <c r="F20" s="64">
        <v>3.4151547726126</v>
      </c>
      <c r="G20" s="7">
        <f t="shared" si="0"/>
        <v>3.4151547726126</v>
      </c>
      <c r="H20" s="7">
        <f t="shared" si="1"/>
        <v>0.34151547726126</v>
      </c>
      <c r="I20" s="59"/>
      <c r="J20" s="64">
        <v>1.7567446211412532</v>
      </c>
      <c r="K20" s="7">
        <f t="shared" si="2"/>
        <v>1.7567446211412532</v>
      </c>
      <c r="L20" s="7">
        <f t="shared" si="3"/>
        <v>0.17567446211412532</v>
      </c>
      <c r="M20" s="59"/>
      <c r="N20" s="64">
        <v>1.2365329574095432</v>
      </c>
      <c r="O20" s="7">
        <f t="shared" si="4"/>
        <v>1.2365329574095432</v>
      </c>
      <c r="P20" s="7">
        <f t="shared" si="5"/>
        <v>0.12365329574095432</v>
      </c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</row>
    <row r="21" spans="1:38" s="62" customFormat="1" ht="12.75">
      <c r="A21" s="62" t="s">
        <v>174</v>
      </c>
      <c r="B21" s="62">
        <v>17</v>
      </c>
      <c r="C21" s="62" t="s">
        <v>227</v>
      </c>
      <c r="D21" s="5">
        <v>0</v>
      </c>
      <c r="E21" s="59"/>
      <c r="F21" s="64">
        <v>14.392437970296</v>
      </c>
      <c r="G21" s="7">
        <f t="shared" si="0"/>
        <v>14.392437970296</v>
      </c>
      <c r="H21" s="7">
        <f t="shared" si="1"/>
        <v>0</v>
      </c>
      <c r="I21" s="59"/>
      <c r="J21" s="64">
        <v>6.872878079201744</v>
      </c>
      <c r="K21" s="7">
        <f t="shared" si="2"/>
        <v>6.872878079201744</v>
      </c>
      <c r="L21" s="7">
        <f t="shared" si="3"/>
        <v>0</v>
      </c>
      <c r="M21" s="59"/>
      <c r="N21" s="64">
        <v>5.669955999829125</v>
      </c>
      <c r="O21" s="7">
        <f t="shared" si="4"/>
        <v>5.669955999829125</v>
      </c>
      <c r="P21" s="7">
        <f t="shared" si="5"/>
        <v>0</v>
      </c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</row>
    <row r="22" spans="1:38" s="62" customFormat="1" ht="12.75">
      <c r="A22" s="62" t="s">
        <v>174</v>
      </c>
      <c r="B22" s="62">
        <v>18</v>
      </c>
      <c r="C22" s="62" t="s">
        <v>228</v>
      </c>
      <c r="D22" s="5">
        <v>0</v>
      </c>
      <c r="E22" s="59"/>
      <c r="F22" s="64">
        <v>17.807592742908536</v>
      </c>
      <c r="G22" s="7">
        <f t="shared" si="0"/>
        <v>17.807592742908536</v>
      </c>
      <c r="H22" s="7">
        <f t="shared" si="1"/>
        <v>0</v>
      </c>
      <c r="I22" s="59"/>
      <c r="J22" s="64">
        <v>8.629622700343</v>
      </c>
      <c r="K22" s="7">
        <f t="shared" si="2"/>
        <v>8.629622700343</v>
      </c>
      <c r="L22" s="7">
        <f t="shared" si="3"/>
        <v>0</v>
      </c>
      <c r="M22" s="59"/>
      <c r="N22" s="64">
        <v>6.906488957238668</v>
      </c>
      <c r="O22" s="7">
        <f t="shared" si="4"/>
        <v>6.906488957238668</v>
      </c>
      <c r="P22" s="7">
        <f t="shared" si="5"/>
        <v>0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</row>
    <row r="23" spans="1:38" s="62" customFormat="1" ht="12.75">
      <c r="A23" s="62" t="s">
        <v>174</v>
      </c>
      <c r="B23" s="62">
        <v>19</v>
      </c>
      <c r="C23" s="62" t="s">
        <v>229</v>
      </c>
      <c r="D23" s="5">
        <v>0.05</v>
      </c>
      <c r="E23" s="59">
        <v>1</v>
      </c>
      <c r="F23" s="64">
        <v>0.5149836561876138</v>
      </c>
      <c r="G23" s="7">
        <f t="shared" si="0"/>
        <v>0.2574918280938069</v>
      </c>
      <c r="H23" s="7">
        <f t="shared" si="1"/>
        <v>0.012874591404690345</v>
      </c>
      <c r="I23" s="59">
        <v>1</v>
      </c>
      <c r="J23" s="64">
        <v>0.30820081072653566</v>
      </c>
      <c r="K23" s="7">
        <f t="shared" si="2"/>
        <v>0.15410040536326783</v>
      </c>
      <c r="L23" s="7">
        <f t="shared" si="3"/>
        <v>0.007705020268163392</v>
      </c>
      <c r="M23" s="59">
        <v>1</v>
      </c>
      <c r="N23" s="64">
        <v>0.20809944892989873</v>
      </c>
      <c r="O23" s="7">
        <f t="shared" si="4"/>
        <v>0.10404972446494937</v>
      </c>
      <c r="P23" s="7">
        <f t="shared" si="5"/>
        <v>0.005202486223247468</v>
      </c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</row>
    <row r="24" spans="1:38" s="62" customFormat="1" ht="12.75">
      <c r="A24" s="62" t="s">
        <v>174</v>
      </c>
      <c r="B24" s="62">
        <v>20</v>
      </c>
      <c r="C24" s="62" t="s">
        <v>230</v>
      </c>
      <c r="D24" s="5">
        <v>0.5</v>
      </c>
      <c r="E24" s="59"/>
      <c r="F24" s="64">
        <v>1.24680253603317</v>
      </c>
      <c r="G24" s="7">
        <f t="shared" si="0"/>
        <v>1.24680253603317</v>
      </c>
      <c r="H24" s="7">
        <f t="shared" si="1"/>
        <v>0.623401268016585</v>
      </c>
      <c r="I24" s="59"/>
      <c r="J24" s="64">
        <v>0.7396819457436856</v>
      </c>
      <c r="K24" s="7">
        <f t="shared" si="2"/>
        <v>0.7396819457436856</v>
      </c>
      <c r="L24" s="7">
        <f t="shared" si="3"/>
        <v>0.3698409728718428</v>
      </c>
      <c r="M24" s="59"/>
      <c r="N24" s="64">
        <v>0.4825494467939681</v>
      </c>
      <c r="O24" s="7">
        <f t="shared" si="4"/>
        <v>0.4825494467939681</v>
      </c>
      <c r="P24" s="7">
        <f t="shared" si="5"/>
        <v>0.24127472339698405</v>
      </c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</row>
    <row r="25" spans="1:38" s="62" customFormat="1" ht="12.75">
      <c r="A25" s="62" t="s">
        <v>174</v>
      </c>
      <c r="B25" s="62">
        <v>21</v>
      </c>
      <c r="C25" s="62" t="s">
        <v>231</v>
      </c>
      <c r="D25" s="5">
        <v>0</v>
      </c>
      <c r="E25" s="59"/>
      <c r="F25" s="64">
        <v>5.66482021806375</v>
      </c>
      <c r="G25" s="7">
        <f t="shared" si="0"/>
        <v>5.66482021806375</v>
      </c>
      <c r="H25" s="7">
        <f t="shared" si="1"/>
        <v>0</v>
      </c>
      <c r="I25" s="59"/>
      <c r="J25" s="64">
        <v>2.6197068911755537</v>
      </c>
      <c r="K25" s="7">
        <f t="shared" si="2"/>
        <v>2.6197068911755537</v>
      </c>
      <c r="L25" s="7">
        <f t="shared" si="3"/>
        <v>0</v>
      </c>
      <c r="M25" s="59"/>
      <c r="N25" s="64">
        <v>2.1744884446153185</v>
      </c>
      <c r="O25" s="7">
        <f t="shared" si="4"/>
        <v>2.1744884446153185</v>
      </c>
      <c r="P25" s="7">
        <f t="shared" si="5"/>
        <v>0</v>
      </c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</row>
    <row r="26" spans="1:38" s="62" customFormat="1" ht="12.75">
      <c r="A26" s="62" t="s">
        <v>174</v>
      </c>
      <c r="B26" s="62">
        <v>22</v>
      </c>
      <c r="C26" s="62" t="s">
        <v>232</v>
      </c>
      <c r="D26" s="5">
        <v>0</v>
      </c>
      <c r="E26" s="59"/>
      <c r="F26" s="64">
        <v>7.426606410284534</v>
      </c>
      <c r="G26" s="7">
        <f t="shared" si="0"/>
        <v>7.426606410284534</v>
      </c>
      <c r="H26" s="7">
        <f t="shared" si="1"/>
        <v>0</v>
      </c>
      <c r="I26" s="59"/>
      <c r="J26" s="64">
        <v>3.6675896476457748</v>
      </c>
      <c r="K26" s="7">
        <f t="shared" si="2"/>
        <v>3.6675896476457748</v>
      </c>
      <c r="L26" s="7">
        <f t="shared" si="3"/>
        <v>0</v>
      </c>
      <c r="M26" s="59"/>
      <c r="N26" s="64">
        <v>2.8651373403391855</v>
      </c>
      <c r="O26" s="7">
        <f t="shared" si="4"/>
        <v>2.8651373403391855</v>
      </c>
      <c r="P26" s="7">
        <f t="shared" si="5"/>
        <v>0</v>
      </c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</row>
    <row r="27" spans="1:38" s="62" customFormat="1" ht="12.75">
      <c r="A27" s="62" t="s">
        <v>174</v>
      </c>
      <c r="B27" s="62">
        <v>23</v>
      </c>
      <c r="C27" s="62" t="s">
        <v>233</v>
      </c>
      <c r="D27" s="5">
        <v>0.1</v>
      </c>
      <c r="E27" s="59">
        <v>1</v>
      </c>
      <c r="F27" s="64">
        <v>0.5149836561876138</v>
      </c>
      <c r="G27" s="7">
        <f t="shared" si="0"/>
        <v>0.2574918280938069</v>
      </c>
      <c r="H27" s="7">
        <f t="shared" si="1"/>
        <v>0.02574918280938069</v>
      </c>
      <c r="I27" s="59">
        <v>1</v>
      </c>
      <c r="J27" s="64">
        <v>0.28046273776114744</v>
      </c>
      <c r="K27" s="7">
        <f t="shared" si="2"/>
        <v>0.14023136888057372</v>
      </c>
      <c r="L27" s="7">
        <f t="shared" si="3"/>
        <v>0.014023136888057373</v>
      </c>
      <c r="M27" s="59">
        <v>1</v>
      </c>
      <c r="N27" s="64">
        <v>0.18698791063266265</v>
      </c>
      <c r="O27" s="7">
        <f t="shared" si="4"/>
        <v>0.09349395531633133</v>
      </c>
      <c r="P27" s="7">
        <f t="shared" si="5"/>
        <v>0.009349395531633133</v>
      </c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</row>
    <row r="28" spans="1:38" s="62" customFormat="1" ht="12.75">
      <c r="A28" s="62" t="s">
        <v>174</v>
      </c>
      <c r="B28" s="62">
        <v>24</v>
      </c>
      <c r="C28" s="62" t="s">
        <v>234</v>
      </c>
      <c r="D28" s="5">
        <v>0.1</v>
      </c>
      <c r="E28" s="59"/>
      <c r="F28" s="64">
        <v>0.24665006691091</v>
      </c>
      <c r="G28" s="7">
        <f t="shared" si="0"/>
        <v>0.24665006691091</v>
      </c>
      <c r="H28" s="7">
        <f t="shared" si="1"/>
        <v>0.024665006691091</v>
      </c>
      <c r="I28" s="59"/>
      <c r="J28" s="64">
        <v>0.15101839725600247</v>
      </c>
      <c r="K28" s="7">
        <f t="shared" si="2"/>
        <v>0.15101839725600247</v>
      </c>
      <c r="L28" s="7">
        <f t="shared" si="3"/>
        <v>0.015101839725600247</v>
      </c>
      <c r="M28" s="59"/>
      <c r="N28" s="64">
        <v>0.09349395531633133</v>
      </c>
      <c r="O28" s="7">
        <f t="shared" si="4"/>
        <v>0.09349395531633133</v>
      </c>
      <c r="P28" s="7">
        <f t="shared" si="5"/>
        <v>0.009349395531633133</v>
      </c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</row>
    <row r="29" spans="1:38" s="62" customFormat="1" ht="12.75">
      <c r="A29" s="62" t="s">
        <v>174</v>
      </c>
      <c r="B29" s="62">
        <v>25</v>
      </c>
      <c r="C29" s="62" t="s">
        <v>235</v>
      </c>
      <c r="D29" s="5">
        <v>0.1</v>
      </c>
      <c r="E29" s="59">
        <v>1</v>
      </c>
      <c r="F29" s="64">
        <v>0.05149836561876137</v>
      </c>
      <c r="G29" s="7">
        <f t="shared" si="0"/>
        <v>0.025749182809380686</v>
      </c>
      <c r="H29" s="7">
        <f t="shared" si="1"/>
        <v>0.0025749182809380686</v>
      </c>
      <c r="I29" s="59">
        <v>1</v>
      </c>
      <c r="J29" s="64">
        <v>0.03698409728718428</v>
      </c>
      <c r="K29" s="7">
        <f t="shared" si="2"/>
        <v>0.01849204864359214</v>
      </c>
      <c r="L29" s="7">
        <f t="shared" si="3"/>
        <v>0.0018492048643592139</v>
      </c>
      <c r="M29" s="59">
        <v>1</v>
      </c>
      <c r="N29" s="64">
        <v>0.021111538297236106</v>
      </c>
      <c r="O29" s="7">
        <f t="shared" si="4"/>
        <v>0.010555769148618053</v>
      </c>
      <c r="P29" s="7">
        <f t="shared" si="5"/>
        <v>0.0010555769148618054</v>
      </c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</row>
    <row r="30" spans="1:38" s="62" customFormat="1" ht="12.75">
      <c r="A30" s="62" t="s">
        <v>174</v>
      </c>
      <c r="B30" s="62">
        <v>26</v>
      </c>
      <c r="C30" s="62" t="s">
        <v>236</v>
      </c>
      <c r="D30" s="5">
        <v>0.1</v>
      </c>
      <c r="E30" s="59">
        <v>1</v>
      </c>
      <c r="F30" s="64">
        <v>0.48787925323037</v>
      </c>
      <c r="G30" s="7">
        <f t="shared" si="0"/>
        <v>0.243939626615185</v>
      </c>
      <c r="H30" s="7">
        <f t="shared" si="1"/>
        <v>0.0243939626615185</v>
      </c>
      <c r="I30" s="59">
        <v>1</v>
      </c>
      <c r="J30" s="64">
        <v>0.28046273776114744</v>
      </c>
      <c r="K30" s="7">
        <f t="shared" si="2"/>
        <v>0.14023136888057372</v>
      </c>
      <c r="L30" s="7">
        <f t="shared" si="3"/>
        <v>0.014023136888057373</v>
      </c>
      <c r="M30" s="59">
        <v>1</v>
      </c>
      <c r="N30" s="64">
        <v>0.16286043829296426</v>
      </c>
      <c r="O30" s="7">
        <f t="shared" si="4"/>
        <v>0.08143021914648213</v>
      </c>
      <c r="P30" s="7">
        <f t="shared" si="5"/>
        <v>0.008143021914648213</v>
      </c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</row>
    <row r="31" spans="1:38" s="62" customFormat="1" ht="12.75">
      <c r="A31" s="62" t="s">
        <v>174</v>
      </c>
      <c r="B31" s="62">
        <v>27</v>
      </c>
      <c r="C31" s="62" t="s">
        <v>237</v>
      </c>
      <c r="D31" s="5">
        <v>0</v>
      </c>
      <c r="E31" s="59"/>
      <c r="F31" s="64">
        <v>0.9486541035035</v>
      </c>
      <c r="G31" s="7">
        <f t="shared" si="0"/>
        <v>0.9486541035035</v>
      </c>
      <c r="H31" s="7">
        <f t="shared" si="1"/>
        <v>0</v>
      </c>
      <c r="I31" s="59"/>
      <c r="J31" s="64">
        <v>0.4530551917680073</v>
      </c>
      <c r="K31" s="7">
        <f t="shared" si="2"/>
        <v>0.4530551917680073</v>
      </c>
      <c r="L31" s="7">
        <f t="shared" si="3"/>
        <v>0</v>
      </c>
      <c r="M31" s="59"/>
      <c r="N31" s="64">
        <v>0.349848348925627</v>
      </c>
      <c r="O31" s="7">
        <f t="shared" si="4"/>
        <v>0.349848348925627</v>
      </c>
      <c r="P31" s="7">
        <f t="shared" si="5"/>
        <v>0</v>
      </c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</row>
    <row r="32" spans="1:38" s="62" customFormat="1" ht="12.75">
      <c r="A32" s="62" t="s">
        <v>174</v>
      </c>
      <c r="B32" s="62">
        <v>28</v>
      </c>
      <c r="C32" s="62" t="s">
        <v>238</v>
      </c>
      <c r="D32" s="5">
        <v>0</v>
      </c>
      <c r="E32" s="59"/>
      <c r="F32" s="64">
        <v>2.249665445451155</v>
      </c>
      <c r="G32" s="7">
        <f t="shared" si="0"/>
        <v>2.249665445451155</v>
      </c>
      <c r="H32" s="7">
        <f t="shared" si="1"/>
        <v>0</v>
      </c>
      <c r="I32" s="59"/>
      <c r="J32" s="64">
        <v>1.201983161833489</v>
      </c>
      <c r="K32" s="7">
        <f t="shared" si="2"/>
        <v>1.201983161833489</v>
      </c>
      <c r="L32" s="7">
        <f t="shared" si="3"/>
        <v>0</v>
      </c>
      <c r="M32" s="59"/>
      <c r="N32" s="64">
        <v>0.8143021914648213</v>
      </c>
      <c r="O32" s="7">
        <f t="shared" si="4"/>
        <v>0.8143021914648213</v>
      </c>
      <c r="P32" s="7">
        <f t="shared" si="5"/>
        <v>0</v>
      </c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</row>
    <row r="33" spans="1:38" s="62" customFormat="1" ht="12.75">
      <c r="A33" s="62" t="s">
        <v>174</v>
      </c>
      <c r="B33" s="62">
        <v>29</v>
      </c>
      <c r="C33" s="62" t="s">
        <v>239</v>
      </c>
      <c r="D33" s="5">
        <v>0.01</v>
      </c>
      <c r="E33" s="59"/>
      <c r="F33" s="64">
        <v>0.17888905951780265</v>
      </c>
      <c r="G33" s="7">
        <f t="shared" si="0"/>
        <v>0.17888905951780265</v>
      </c>
      <c r="H33" s="7">
        <f t="shared" si="1"/>
        <v>0.0017888905951780264</v>
      </c>
      <c r="I33" s="59"/>
      <c r="J33" s="64">
        <v>0.10478827564702213</v>
      </c>
      <c r="K33" s="7">
        <f t="shared" si="2"/>
        <v>0.10478827564702213</v>
      </c>
      <c r="L33" s="7">
        <f t="shared" si="3"/>
        <v>0.0010478827564702213</v>
      </c>
      <c r="M33" s="59"/>
      <c r="N33" s="64">
        <v>0.06635054893417061</v>
      </c>
      <c r="O33" s="7">
        <f t="shared" si="4"/>
        <v>0.06635054893417061</v>
      </c>
      <c r="P33" s="7">
        <f t="shared" si="5"/>
        <v>0.0006635054893417062</v>
      </c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</row>
    <row r="34" spans="1:38" s="62" customFormat="1" ht="12.75">
      <c r="A34" s="62" t="s">
        <v>174</v>
      </c>
      <c r="B34" s="62">
        <v>30</v>
      </c>
      <c r="C34" s="62" t="s">
        <v>240</v>
      </c>
      <c r="D34" s="5">
        <v>0.01</v>
      </c>
      <c r="E34" s="59"/>
      <c r="F34" s="64">
        <v>0.07047144768883136</v>
      </c>
      <c r="G34" s="7">
        <f t="shared" si="0"/>
        <v>0.07047144768883136</v>
      </c>
      <c r="H34" s="7">
        <f t="shared" si="1"/>
        <v>0.0007047144768883136</v>
      </c>
      <c r="I34" s="59"/>
      <c r="J34" s="64">
        <v>0.04623012160898035</v>
      </c>
      <c r="K34" s="7">
        <f t="shared" si="2"/>
        <v>0.04623012160898035</v>
      </c>
      <c r="L34" s="7">
        <f t="shared" si="3"/>
        <v>0.0004623012160898035</v>
      </c>
      <c r="M34" s="59"/>
      <c r="N34" s="64">
        <v>0.024127472339698405</v>
      </c>
      <c r="O34" s="7">
        <f t="shared" si="4"/>
        <v>0.024127472339698405</v>
      </c>
      <c r="P34" s="7">
        <f t="shared" si="5"/>
        <v>0.00024127472339698406</v>
      </c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</row>
    <row r="35" spans="1:38" s="62" customFormat="1" ht="12.75">
      <c r="A35" s="62" t="s">
        <v>174</v>
      </c>
      <c r="B35" s="62">
        <v>31</v>
      </c>
      <c r="C35" s="62" t="s">
        <v>241</v>
      </c>
      <c r="D35" s="5">
        <v>0</v>
      </c>
      <c r="E35" s="59"/>
      <c r="F35" s="64">
        <v>0.2385187460237369</v>
      </c>
      <c r="G35" s="7">
        <f t="shared" si="0"/>
        <v>0.2385187460237369</v>
      </c>
      <c r="H35" s="7">
        <f t="shared" si="1"/>
        <v>0</v>
      </c>
      <c r="I35" s="59"/>
      <c r="J35" s="64">
        <v>0.13252634861241</v>
      </c>
      <c r="K35" s="7">
        <f t="shared" si="2"/>
        <v>0.13252634861241</v>
      </c>
      <c r="L35" s="7">
        <f t="shared" si="3"/>
        <v>0</v>
      </c>
      <c r="M35" s="59"/>
      <c r="N35" s="64">
        <v>0.07841428510401985</v>
      </c>
      <c r="O35" s="7">
        <f t="shared" si="4"/>
        <v>0.07841428510401985</v>
      </c>
      <c r="P35" s="7">
        <f t="shared" si="5"/>
        <v>0</v>
      </c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</row>
    <row r="36" spans="1:38" s="62" customFormat="1" ht="12.75">
      <c r="A36" s="62" t="s">
        <v>174</v>
      </c>
      <c r="B36" s="62">
        <v>32</v>
      </c>
      <c r="C36" s="62" t="s">
        <v>242</v>
      </c>
      <c r="D36" s="5">
        <v>0</v>
      </c>
      <c r="E36" s="59"/>
      <c r="F36" s="64">
        <v>0.48787925323037</v>
      </c>
      <c r="G36" s="7">
        <f t="shared" si="0"/>
        <v>0.48787925323037</v>
      </c>
      <c r="H36" s="7">
        <f t="shared" si="1"/>
        <v>0</v>
      </c>
      <c r="I36" s="59"/>
      <c r="J36" s="64">
        <v>0.28354474586841283</v>
      </c>
      <c r="K36" s="7">
        <f t="shared" si="2"/>
        <v>0.28354474586841283</v>
      </c>
      <c r="L36" s="7">
        <f t="shared" si="3"/>
        <v>0</v>
      </c>
      <c r="M36" s="59"/>
      <c r="N36" s="64">
        <v>0.16889230637788885</v>
      </c>
      <c r="O36" s="7">
        <f t="shared" si="4"/>
        <v>0.16889230637788885</v>
      </c>
      <c r="P36" s="7">
        <f t="shared" si="5"/>
        <v>0</v>
      </c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</row>
    <row r="37" spans="1:38" s="62" customFormat="1" ht="12.75">
      <c r="A37" s="62" t="s">
        <v>174</v>
      </c>
      <c r="B37" s="62">
        <v>33</v>
      </c>
      <c r="C37" s="62" t="s">
        <v>243</v>
      </c>
      <c r="D37" s="5">
        <v>0.001</v>
      </c>
      <c r="E37" s="59">
        <v>1</v>
      </c>
      <c r="F37" s="64">
        <v>0.05149836561876137</v>
      </c>
      <c r="G37" s="7">
        <f t="shared" si="0"/>
        <v>0.025749182809380686</v>
      </c>
      <c r="H37" s="7">
        <f t="shared" si="1"/>
        <v>2.5749182809380688E-05</v>
      </c>
      <c r="I37" s="59">
        <v>1</v>
      </c>
      <c r="J37" s="64">
        <v>0.030820081072653566</v>
      </c>
      <c r="K37" s="7">
        <f t="shared" si="2"/>
        <v>0.015410040536326783</v>
      </c>
      <c r="L37" s="7">
        <f t="shared" si="3"/>
        <v>1.5410040536326784E-05</v>
      </c>
      <c r="M37" s="59">
        <v>1</v>
      </c>
      <c r="N37" s="64">
        <v>0.0180956042547738</v>
      </c>
      <c r="O37" s="7">
        <f t="shared" si="4"/>
        <v>0.0090478021273869</v>
      </c>
      <c r="P37" s="7">
        <f t="shared" si="5"/>
        <v>9.0478021273869E-06</v>
      </c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</row>
    <row r="38" spans="1:38" s="62" customFormat="1" ht="12.75">
      <c r="A38" s="62" t="s">
        <v>174</v>
      </c>
      <c r="B38" s="62">
        <v>34</v>
      </c>
      <c r="C38" s="62" t="s">
        <v>244</v>
      </c>
      <c r="D38" s="59"/>
      <c r="E38" s="59"/>
      <c r="F38" s="64">
        <v>160.699294693197</v>
      </c>
      <c r="G38" s="64">
        <f>G37+G36+G32+G26+G22+G19+G18+G15+G10+G7</f>
        <v>160.6735455103877</v>
      </c>
      <c r="H38" s="64"/>
      <c r="I38" s="59"/>
      <c r="J38" s="64">
        <v>79.42951294044275</v>
      </c>
      <c r="K38" s="64">
        <f>K37+K36+K32+K26+K22+K19+K18+K15+K10+K7</f>
        <v>79.41410289990645</v>
      </c>
      <c r="L38" s="64"/>
      <c r="M38" s="59"/>
      <c r="N38" s="64">
        <v>58.75642701525054</v>
      </c>
      <c r="O38" s="64">
        <f>O37+O36+O32+O26+O22+O19+O18+O15+O10+O7</f>
        <v>58.74737921312316</v>
      </c>
      <c r="P38" s="64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</row>
    <row r="39" spans="1:38" s="62" customFormat="1" ht="12.75">
      <c r="A39" s="62" t="s">
        <v>174</v>
      </c>
      <c r="B39" s="62">
        <v>35</v>
      </c>
      <c r="C39" s="62" t="s">
        <v>33</v>
      </c>
      <c r="D39" s="59"/>
      <c r="E39" s="61">
        <f>(F39-H39)*2/F39*100</f>
        <v>8.46828002217671</v>
      </c>
      <c r="F39" s="64">
        <v>1.549745737445977</v>
      </c>
      <c r="G39" s="64"/>
      <c r="H39" s="64">
        <f>SUM(H5:H37)</f>
        <v>1.4841273331066407</v>
      </c>
      <c r="I39" s="61">
        <f>(J39-L39)*2/J39*100</f>
        <v>8.321118118288778</v>
      </c>
      <c r="J39" s="64">
        <v>0.9041070782662924</v>
      </c>
      <c r="K39" s="64"/>
      <c r="L39" s="64">
        <f>SUM(L5:L37)</f>
        <v>0.8664911693171186</v>
      </c>
      <c r="M39" s="61">
        <f>(N39-P39)*2/N39*100</f>
        <v>7.936092194866406</v>
      </c>
      <c r="N39" s="64">
        <v>0.5987714810542953</v>
      </c>
      <c r="O39" s="64"/>
      <c r="P39" s="64">
        <f>SUM(P5:P37)</f>
        <v>0.5750119526677774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</row>
  </sheetData>
  <mergeCells count="3">
    <mergeCell ref="F1:H1"/>
    <mergeCell ref="J1:L1"/>
    <mergeCell ref="N1:P1"/>
  </mergeCells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39"/>
  <sheetViews>
    <sheetView workbookViewId="0" topLeftCell="C1">
      <selection activeCell="C25" sqref="C25"/>
    </sheetView>
  </sheetViews>
  <sheetFormatPr defaultColWidth="9.140625" defaultRowHeight="12.75"/>
  <cols>
    <col min="1" max="1" width="9.140625" style="0" hidden="1" customWidth="1"/>
    <col min="2" max="2" width="3.00390625" style="0" hidden="1" customWidth="1"/>
    <col min="3" max="3" width="14.28125" style="0" customWidth="1"/>
    <col min="4" max="4" width="9.7109375" style="0" customWidth="1"/>
    <col min="5" max="5" width="3.8515625" style="0" customWidth="1"/>
    <col min="6" max="8" width="9.140625" style="82" customWidth="1"/>
    <col min="9" max="9" width="5.140625" style="0" customWidth="1"/>
    <col min="10" max="12" width="9.140625" style="82" customWidth="1"/>
    <col min="13" max="13" width="4.140625" style="0" customWidth="1"/>
    <col min="14" max="16" width="9.140625" style="82" customWidth="1"/>
    <col min="17" max="17" width="3.8515625" style="0" customWidth="1"/>
    <col min="18" max="20" width="9.140625" style="82" customWidth="1"/>
  </cols>
  <sheetData>
    <row r="1" spans="3:20" ht="12.75">
      <c r="C1" s="2" t="s">
        <v>177</v>
      </c>
      <c r="D1" s="5" t="s">
        <v>26</v>
      </c>
      <c r="F1" s="83" t="s">
        <v>140</v>
      </c>
      <c r="G1" s="83"/>
      <c r="H1" s="83"/>
      <c r="J1" s="83" t="s">
        <v>141</v>
      </c>
      <c r="K1" s="83"/>
      <c r="L1" s="83"/>
      <c r="N1" s="83" t="s">
        <v>142</v>
      </c>
      <c r="O1" s="83"/>
      <c r="P1" s="83"/>
      <c r="R1" s="83" t="s">
        <v>143</v>
      </c>
      <c r="S1" s="83"/>
      <c r="T1" s="83"/>
    </row>
    <row r="2" spans="4:20" ht="12.75">
      <c r="D2" s="5" t="s">
        <v>30</v>
      </c>
      <c r="F2" s="81" t="s">
        <v>31</v>
      </c>
      <c r="G2" s="11" t="s">
        <v>31</v>
      </c>
      <c r="H2" s="11" t="s">
        <v>32</v>
      </c>
      <c r="I2" s="3"/>
      <c r="J2" s="81" t="s">
        <v>31</v>
      </c>
      <c r="K2" s="11" t="s">
        <v>31</v>
      </c>
      <c r="L2" s="11" t="s">
        <v>32</v>
      </c>
      <c r="M2" s="3"/>
      <c r="N2" s="81" t="s">
        <v>31</v>
      </c>
      <c r="O2" s="11" t="s">
        <v>31</v>
      </c>
      <c r="P2" s="11" t="s">
        <v>32</v>
      </c>
      <c r="Q2" s="3"/>
      <c r="R2" s="81" t="s">
        <v>31</v>
      </c>
      <c r="S2" s="11" t="s">
        <v>31</v>
      </c>
      <c r="T2" s="11" t="s">
        <v>32</v>
      </c>
    </row>
    <row r="3" spans="3:20" ht="12.75">
      <c r="C3" t="s">
        <v>80</v>
      </c>
      <c r="D3" s="5"/>
      <c r="F3" s="81" t="s">
        <v>210</v>
      </c>
      <c r="G3" s="11" t="s">
        <v>74</v>
      </c>
      <c r="H3" s="11" t="s">
        <v>74</v>
      </c>
      <c r="I3" s="3"/>
      <c r="J3" s="81" t="s">
        <v>210</v>
      </c>
      <c r="K3" s="11" t="s">
        <v>74</v>
      </c>
      <c r="L3" s="11" t="s">
        <v>74</v>
      </c>
      <c r="M3" s="3"/>
      <c r="N3" s="81" t="s">
        <v>210</v>
      </c>
      <c r="O3" s="11" t="s">
        <v>74</v>
      </c>
      <c r="P3" s="11" t="s">
        <v>74</v>
      </c>
      <c r="Q3" s="3"/>
      <c r="R3" s="81" t="s">
        <v>210</v>
      </c>
      <c r="S3" s="11" t="s">
        <v>74</v>
      </c>
      <c r="T3" s="11" t="s">
        <v>74</v>
      </c>
    </row>
    <row r="4" spans="4:20" ht="12.75">
      <c r="D4" s="4"/>
      <c r="G4" s="7"/>
      <c r="H4" s="7"/>
      <c r="K4" s="7"/>
      <c r="L4" s="7"/>
      <c r="O4" s="7"/>
      <c r="P4" s="7"/>
      <c r="S4" s="7"/>
      <c r="T4" s="7"/>
    </row>
    <row r="5" spans="1:40" s="62" customFormat="1" ht="12.75">
      <c r="A5" s="62" t="s">
        <v>177</v>
      </c>
      <c r="B5" s="62">
        <v>1</v>
      </c>
      <c r="C5" s="62" t="s">
        <v>211</v>
      </c>
      <c r="D5" s="5">
        <v>1</v>
      </c>
      <c r="E5" s="59"/>
      <c r="F5" s="64">
        <v>0.022001033977654592</v>
      </c>
      <c r="G5" s="7">
        <f>IF(F5=0,"",IF(E5=1,F5/2,F5))</f>
        <v>0.022001033977654592</v>
      </c>
      <c r="H5" s="7">
        <f>IF(G5="","",G5*$D5)</f>
        <v>0.022001033977654592</v>
      </c>
      <c r="I5" s="59"/>
      <c r="J5" s="64">
        <v>0.02496507797056886</v>
      </c>
      <c r="K5" s="7">
        <f>IF(J5=0,"",IF(I5=1,J5/2,J5))</f>
        <v>0.02496507797056886</v>
      </c>
      <c r="L5" s="7">
        <f>IF(K5="","",K5*$D5)</f>
        <v>0.02496507797056886</v>
      </c>
      <c r="M5" s="59"/>
      <c r="N5" s="64">
        <v>0.015683909869882575</v>
      </c>
      <c r="O5" s="7">
        <f>IF(N5=0,"",IF(M5=1,N5/2,N5))</f>
        <v>0.015683909869882575</v>
      </c>
      <c r="P5" s="7">
        <f>IF(O5="","",O5*$D5)</f>
        <v>0.015683909869882575</v>
      </c>
      <c r="Q5" s="59"/>
      <c r="R5" s="64">
        <v>0.018161218512885</v>
      </c>
      <c r="S5" s="7">
        <f>IF(R5=0,"",IF(Q5=1,R5/2,R5))</f>
        <v>0.018161218512885</v>
      </c>
      <c r="T5" s="7">
        <f>IF(S5="","",S5*$D5)</f>
        <v>0.018161218512885</v>
      </c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</row>
    <row r="6" spans="1:40" s="62" customFormat="1" ht="12.75">
      <c r="A6" s="62" t="s">
        <v>177</v>
      </c>
      <c r="B6" s="62">
        <v>2</v>
      </c>
      <c r="C6" s="62" t="s">
        <v>212</v>
      </c>
      <c r="D6" s="5">
        <v>0</v>
      </c>
      <c r="E6" s="59"/>
      <c r="F6" s="64">
        <v>0.9002681161501566</v>
      </c>
      <c r="G6" s="7">
        <f aca="true" t="shared" si="0" ref="G6:G37">IF(F6=0,"",IF(E6=1,F6/2,F6))</f>
        <v>0.9002681161501566</v>
      </c>
      <c r="H6" s="7">
        <f aca="true" t="shared" si="1" ref="H6:H37">IF(G6="","",G6*$D6)</f>
        <v>0</v>
      </c>
      <c r="I6" s="59"/>
      <c r="J6" s="64">
        <v>16.812713668643383</v>
      </c>
      <c r="K6" s="7">
        <f aca="true" t="shared" si="2" ref="K6:K37">IF(J6=0,"",IF(I6=1,J6/2,J6))</f>
        <v>16.812713668643383</v>
      </c>
      <c r="L6" s="7">
        <f aca="true" t="shared" si="3" ref="L6:L37">IF(K6="","",K6*$D6)</f>
        <v>0</v>
      </c>
      <c r="M6" s="59"/>
      <c r="N6" s="64">
        <v>1.2245514244562166</v>
      </c>
      <c r="O6" s="7">
        <f aca="true" t="shared" si="4" ref="O6:O37">IF(N6=0,"",IF(M6=1,N6/2,N6))</f>
        <v>1.2245514244562166</v>
      </c>
      <c r="P6" s="7">
        <f aca="true" t="shared" si="5" ref="P6:P37">IF(O6="","",O6*$D6)</f>
        <v>0</v>
      </c>
      <c r="Q6" s="59"/>
      <c r="R6" s="64">
        <v>3.3607488766725346</v>
      </c>
      <c r="S6" s="7">
        <f aca="true" t="shared" si="6" ref="S6:S37">IF(R6=0,"",IF(Q6=1,R6/2,R6))</f>
        <v>3.3607488766725346</v>
      </c>
      <c r="T6" s="7">
        <f aca="true" t="shared" si="7" ref="T6:T37">IF(S6="","",S6*$D6)</f>
        <v>0</v>
      </c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1:40" s="62" customFormat="1" ht="12.75">
      <c r="A7" s="62" t="s">
        <v>177</v>
      </c>
      <c r="B7" s="62">
        <v>3</v>
      </c>
      <c r="C7" s="62" t="s">
        <v>213</v>
      </c>
      <c r="D7" s="5">
        <v>0</v>
      </c>
      <c r="E7" s="59"/>
      <c r="F7" s="64">
        <v>0.9222691501278112</v>
      </c>
      <c r="G7" s="7">
        <f t="shared" si="0"/>
        <v>0.9222691501278112</v>
      </c>
      <c r="H7" s="7">
        <f t="shared" si="1"/>
        <v>0</v>
      </c>
      <c r="I7" s="59"/>
      <c r="J7" s="64">
        <v>16.837678746614</v>
      </c>
      <c r="K7" s="7">
        <f t="shared" si="2"/>
        <v>16.837678746614</v>
      </c>
      <c r="L7" s="7">
        <f t="shared" si="3"/>
        <v>0</v>
      </c>
      <c r="M7" s="59"/>
      <c r="N7" s="64">
        <v>1.2402353343261</v>
      </c>
      <c r="O7" s="7">
        <f t="shared" si="4"/>
        <v>1.2402353343261</v>
      </c>
      <c r="P7" s="7">
        <f t="shared" si="5"/>
        <v>0</v>
      </c>
      <c r="Q7" s="59"/>
      <c r="R7" s="64">
        <v>3.37891009518542</v>
      </c>
      <c r="S7" s="7">
        <f t="shared" si="6"/>
        <v>3.37891009518542</v>
      </c>
      <c r="T7" s="7">
        <f t="shared" si="7"/>
        <v>0</v>
      </c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</row>
    <row r="8" spans="1:40" s="62" customFormat="1" ht="12.75">
      <c r="A8" s="62" t="s">
        <v>177</v>
      </c>
      <c r="B8" s="62">
        <v>4</v>
      </c>
      <c r="C8" s="62" t="s">
        <v>214</v>
      </c>
      <c r="D8" s="5">
        <v>0.5</v>
      </c>
      <c r="E8" s="59"/>
      <c r="F8" s="64">
        <v>0.034066117126691</v>
      </c>
      <c r="G8" s="7">
        <f t="shared" si="0"/>
        <v>0.034066117126691</v>
      </c>
      <c r="H8" s="7">
        <f t="shared" si="1"/>
        <v>0.0170330585633455</v>
      </c>
      <c r="I8" s="59"/>
      <c r="J8" s="64">
        <v>0.11107650633282</v>
      </c>
      <c r="K8" s="7">
        <f t="shared" si="2"/>
        <v>0.11107650633282</v>
      </c>
      <c r="L8" s="7">
        <f t="shared" si="3"/>
        <v>0.05553825316641</v>
      </c>
      <c r="M8" s="59"/>
      <c r="N8" s="64">
        <v>0.025938774015575</v>
      </c>
      <c r="O8" s="7">
        <f t="shared" si="4"/>
        <v>0.025938774015575</v>
      </c>
      <c r="P8" s="7">
        <f t="shared" si="5"/>
        <v>0.0129693870077875</v>
      </c>
      <c r="Q8" s="59"/>
      <c r="R8" s="64">
        <v>0.069874518685168</v>
      </c>
      <c r="S8" s="7">
        <f t="shared" si="6"/>
        <v>0.069874518685168</v>
      </c>
      <c r="T8" s="7">
        <f t="shared" si="7"/>
        <v>0.034937259342584</v>
      </c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</row>
    <row r="9" spans="1:40" s="62" customFormat="1" ht="12.75">
      <c r="A9" s="62" t="s">
        <v>177</v>
      </c>
      <c r="B9" s="62">
        <v>5</v>
      </c>
      <c r="C9" s="62" t="s">
        <v>215</v>
      </c>
      <c r="D9" s="5">
        <v>0</v>
      </c>
      <c r="E9" s="59"/>
      <c r="F9" s="64">
        <v>0.6206420714019015</v>
      </c>
      <c r="G9" s="7">
        <f t="shared" si="0"/>
        <v>0.6206420714019015</v>
      </c>
      <c r="H9" s="7">
        <f t="shared" si="1"/>
        <v>0</v>
      </c>
      <c r="I9" s="59"/>
      <c r="J9" s="64">
        <v>18.870704443956363</v>
      </c>
      <c r="K9" s="7">
        <f t="shared" si="2"/>
        <v>18.870704443956363</v>
      </c>
      <c r="L9" s="7">
        <f t="shared" si="3"/>
        <v>0</v>
      </c>
      <c r="M9" s="59"/>
      <c r="N9" s="64">
        <v>1.4884633693821254</v>
      </c>
      <c r="O9" s="7">
        <f t="shared" si="4"/>
        <v>1.4884633693821254</v>
      </c>
      <c r="P9" s="7">
        <f t="shared" si="5"/>
        <v>0</v>
      </c>
      <c r="Q9" s="59"/>
      <c r="R9" s="64">
        <v>3.6713364949691623</v>
      </c>
      <c r="S9" s="7">
        <f t="shared" si="6"/>
        <v>3.6713364949691623</v>
      </c>
      <c r="T9" s="7">
        <f t="shared" si="7"/>
        <v>0</v>
      </c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</row>
    <row r="10" spans="1:40" s="62" customFormat="1" ht="12.75">
      <c r="A10" s="62" t="s">
        <v>177</v>
      </c>
      <c r="B10" s="62">
        <v>5</v>
      </c>
      <c r="C10" s="62" t="s">
        <v>216</v>
      </c>
      <c r="D10" s="5">
        <v>0</v>
      </c>
      <c r="E10" s="59"/>
      <c r="F10" s="64">
        <v>0.6547081885285925</v>
      </c>
      <c r="G10" s="7">
        <f t="shared" si="0"/>
        <v>0.6547081885285925</v>
      </c>
      <c r="H10" s="7">
        <f t="shared" si="1"/>
        <v>0</v>
      </c>
      <c r="I10" s="59"/>
      <c r="J10" s="64">
        <v>18.981780950289185</v>
      </c>
      <c r="K10" s="7">
        <f t="shared" si="2"/>
        <v>18.981780950289185</v>
      </c>
      <c r="L10" s="7">
        <f t="shared" si="3"/>
        <v>0</v>
      </c>
      <c r="M10" s="59"/>
      <c r="N10" s="64">
        <v>1.5144021433977</v>
      </c>
      <c r="O10" s="7">
        <f t="shared" si="4"/>
        <v>1.5144021433977</v>
      </c>
      <c r="P10" s="7">
        <f t="shared" si="5"/>
        <v>0</v>
      </c>
      <c r="Q10" s="59"/>
      <c r="R10" s="64">
        <v>3.7412110136543304</v>
      </c>
      <c r="S10" s="7">
        <f t="shared" si="6"/>
        <v>3.7412110136543304</v>
      </c>
      <c r="T10" s="7">
        <f t="shared" si="7"/>
        <v>0</v>
      </c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</row>
    <row r="11" spans="1:40" s="62" customFormat="1" ht="12.75">
      <c r="A11" s="62" t="s">
        <v>177</v>
      </c>
      <c r="B11" s="62">
        <v>7</v>
      </c>
      <c r="C11" s="62" t="s">
        <v>217</v>
      </c>
      <c r="D11" s="5">
        <v>0.1</v>
      </c>
      <c r="E11" s="59"/>
      <c r="F11" s="64">
        <v>0.012774793922509119</v>
      </c>
      <c r="G11" s="7">
        <f t="shared" si="0"/>
        <v>0.012774793922509119</v>
      </c>
      <c r="H11" s="7">
        <f t="shared" si="1"/>
        <v>0.001277479392250912</v>
      </c>
      <c r="I11" s="59"/>
      <c r="J11" s="64">
        <v>0.20370056373087336</v>
      </c>
      <c r="K11" s="7">
        <f t="shared" si="2"/>
        <v>0.20370056373087336</v>
      </c>
      <c r="L11" s="7">
        <f t="shared" si="3"/>
        <v>0.020370056373087336</v>
      </c>
      <c r="M11" s="59"/>
      <c r="N11" s="64">
        <v>0.03136781973976515</v>
      </c>
      <c r="O11" s="7">
        <f t="shared" si="4"/>
        <v>0.03136781973976515</v>
      </c>
      <c r="P11" s="7">
        <f t="shared" si="5"/>
        <v>0.0031367819739765153</v>
      </c>
      <c r="Q11" s="59"/>
      <c r="R11" s="64">
        <v>0.099732793189403</v>
      </c>
      <c r="S11" s="7">
        <f t="shared" si="6"/>
        <v>0.099732793189403</v>
      </c>
      <c r="T11" s="7">
        <f t="shared" si="7"/>
        <v>0.0099732793189403</v>
      </c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</row>
    <row r="12" spans="1:40" s="62" customFormat="1" ht="12.75">
      <c r="A12" s="62" t="s">
        <v>177</v>
      </c>
      <c r="B12" s="62">
        <v>8</v>
      </c>
      <c r="C12" s="62" t="s">
        <v>218</v>
      </c>
      <c r="D12" s="5">
        <v>0.1</v>
      </c>
      <c r="E12" s="59"/>
      <c r="F12" s="64">
        <v>0.03477582790016371</v>
      </c>
      <c r="G12" s="7">
        <f t="shared" si="0"/>
        <v>0.03477582790016371</v>
      </c>
      <c r="H12" s="7">
        <f t="shared" si="1"/>
        <v>0.0034775827900163712</v>
      </c>
      <c r="I12" s="59"/>
      <c r="J12" s="64">
        <v>0.2811284867120579</v>
      </c>
      <c r="K12" s="7">
        <f t="shared" si="2"/>
        <v>0.2811284867120579</v>
      </c>
      <c r="L12" s="7">
        <f t="shared" si="3"/>
        <v>0.028112848671205795</v>
      </c>
      <c r="M12" s="59"/>
      <c r="N12" s="64">
        <v>0.04554366135292825</v>
      </c>
      <c r="O12" s="7">
        <f t="shared" si="4"/>
        <v>0.04554366135292825</v>
      </c>
      <c r="P12" s="7">
        <f t="shared" si="5"/>
        <v>0.004554366135292825</v>
      </c>
      <c r="Q12" s="59"/>
      <c r="R12" s="64">
        <v>0.13051451948242848</v>
      </c>
      <c r="S12" s="7">
        <f t="shared" si="6"/>
        <v>0.13051451948242848</v>
      </c>
      <c r="T12" s="7">
        <f t="shared" si="7"/>
        <v>0.01305145194824285</v>
      </c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40" s="62" customFormat="1" ht="12.75">
      <c r="A13" s="62" t="s">
        <v>177</v>
      </c>
      <c r="B13" s="62">
        <v>9</v>
      </c>
      <c r="C13" s="62" t="s">
        <v>219</v>
      </c>
      <c r="D13" s="5">
        <v>0.1</v>
      </c>
      <c r="E13" s="59"/>
      <c r="F13" s="64">
        <v>0.040808369474682</v>
      </c>
      <c r="G13" s="7">
        <f t="shared" si="0"/>
        <v>0.040808369474682</v>
      </c>
      <c r="H13" s="7">
        <f t="shared" si="1"/>
        <v>0.0040808369474682</v>
      </c>
      <c r="I13" s="59"/>
      <c r="J13" s="64">
        <v>0.3741143568343217</v>
      </c>
      <c r="K13" s="7">
        <f t="shared" si="2"/>
        <v>0.3741143568343217</v>
      </c>
      <c r="L13" s="7">
        <f t="shared" si="3"/>
        <v>0.03741143568343217</v>
      </c>
      <c r="M13" s="59"/>
      <c r="N13" s="64">
        <v>0.05730659375534019</v>
      </c>
      <c r="O13" s="7">
        <f t="shared" si="4"/>
        <v>0.05730659375534019</v>
      </c>
      <c r="P13" s="7">
        <f t="shared" si="5"/>
        <v>0.00573065937553402</v>
      </c>
      <c r="Q13" s="59"/>
      <c r="R13" s="64">
        <v>0.182843454180572</v>
      </c>
      <c r="S13" s="7">
        <f t="shared" si="6"/>
        <v>0.182843454180572</v>
      </c>
      <c r="T13" s="7">
        <f t="shared" si="7"/>
        <v>0.0182843454180572</v>
      </c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</row>
    <row r="14" spans="1:40" s="62" customFormat="1" ht="12.75">
      <c r="A14" s="62" t="s">
        <v>177</v>
      </c>
      <c r="B14" s="62">
        <v>10</v>
      </c>
      <c r="C14" s="62" t="s">
        <v>220</v>
      </c>
      <c r="D14" s="5">
        <v>0</v>
      </c>
      <c r="E14" s="59"/>
      <c r="F14" s="64">
        <v>1.3140294970847575</v>
      </c>
      <c r="G14" s="7">
        <f t="shared" si="0"/>
        <v>1.3140294970847575</v>
      </c>
      <c r="H14" s="7">
        <f t="shared" si="1"/>
        <v>0</v>
      </c>
      <c r="I14" s="59"/>
      <c r="J14" s="64">
        <v>58.77358254630646</v>
      </c>
      <c r="K14" s="7">
        <f t="shared" si="2"/>
        <v>58.77358254630646</v>
      </c>
      <c r="L14" s="7">
        <f t="shared" si="3"/>
        <v>0</v>
      </c>
      <c r="M14" s="59"/>
      <c r="N14" s="64">
        <v>2.8707587334912</v>
      </c>
      <c r="O14" s="7">
        <f t="shared" si="4"/>
        <v>2.8707587334912</v>
      </c>
      <c r="P14" s="7">
        <f t="shared" si="5"/>
        <v>0</v>
      </c>
      <c r="Q14" s="59"/>
      <c r="R14" s="64">
        <v>7.75914974668296</v>
      </c>
      <c r="S14" s="7">
        <f t="shared" si="6"/>
        <v>7.75914974668296</v>
      </c>
      <c r="T14" s="7">
        <f t="shared" si="7"/>
        <v>0</v>
      </c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</row>
    <row r="15" spans="1:40" s="62" customFormat="1" ht="12.75">
      <c r="A15" s="62" t="s">
        <v>177</v>
      </c>
      <c r="B15" s="62">
        <v>11</v>
      </c>
      <c r="C15" s="62" t="s">
        <v>221</v>
      </c>
      <c r="D15" s="5">
        <v>0</v>
      </c>
      <c r="E15" s="59"/>
      <c r="F15" s="64">
        <v>1.4023884883821123</v>
      </c>
      <c r="G15" s="7">
        <f t="shared" si="0"/>
        <v>1.4023884883821123</v>
      </c>
      <c r="H15" s="7">
        <f t="shared" si="1"/>
        <v>0</v>
      </c>
      <c r="I15" s="59"/>
      <c r="J15" s="64">
        <v>59.63252595358371</v>
      </c>
      <c r="K15" s="7">
        <f t="shared" si="2"/>
        <v>59.63252595358371</v>
      </c>
      <c r="L15" s="7">
        <f t="shared" si="3"/>
        <v>0</v>
      </c>
      <c r="M15" s="59"/>
      <c r="N15" s="64">
        <v>3.0049768083392325</v>
      </c>
      <c r="O15" s="7">
        <f t="shared" si="4"/>
        <v>3.0049768083392325</v>
      </c>
      <c r="P15" s="7">
        <f t="shared" si="5"/>
        <v>0</v>
      </c>
      <c r="Q15" s="59"/>
      <c r="R15" s="64">
        <v>8.172240513535364</v>
      </c>
      <c r="S15" s="7">
        <f t="shared" si="6"/>
        <v>8.172240513535364</v>
      </c>
      <c r="T15" s="7">
        <f t="shared" si="7"/>
        <v>0</v>
      </c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</row>
    <row r="16" spans="1:40" s="62" customFormat="1" ht="12.75">
      <c r="A16" s="62" t="s">
        <v>177</v>
      </c>
      <c r="B16" s="62">
        <v>12</v>
      </c>
      <c r="C16" s="62" t="s">
        <v>222</v>
      </c>
      <c r="D16" s="5">
        <v>0.01</v>
      </c>
      <c r="E16" s="59"/>
      <c r="F16" s="64">
        <v>0.3615976390843553</v>
      </c>
      <c r="G16" s="7">
        <f t="shared" si="0"/>
        <v>0.3615976390843553</v>
      </c>
      <c r="H16" s="7">
        <f t="shared" si="1"/>
        <v>0.003615976390843553</v>
      </c>
      <c r="I16" s="59"/>
      <c r="J16" s="64">
        <v>1.5510911486931693</v>
      </c>
      <c r="K16" s="7">
        <f t="shared" si="2"/>
        <v>1.5510911486931693</v>
      </c>
      <c r="L16" s="7">
        <f t="shared" si="3"/>
        <v>0.015510911486931693</v>
      </c>
      <c r="M16" s="59"/>
      <c r="N16" s="64">
        <v>0.24310060298318</v>
      </c>
      <c r="O16" s="7">
        <f t="shared" si="4"/>
        <v>0.24310060298318</v>
      </c>
      <c r="P16" s="7">
        <f t="shared" si="5"/>
        <v>0.0024310060298318</v>
      </c>
      <c r="Q16" s="59"/>
      <c r="R16" s="64">
        <v>0.63625828247684</v>
      </c>
      <c r="S16" s="7">
        <f t="shared" si="6"/>
        <v>0.63625828247684</v>
      </c>
      <c r="T16" s="7">
        <f t="shared" si="7"/>
        <v>0.006362582824768401</v>
      </c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</row>
    <row r="17" spans="1:40" s="62" customFormat="1" ht="12.75">
      <c r="A17" s="62" t="s">
        <v>177</v>
      </c>
      <c r="B17" s="62">
        <v>13</v>
      </c>
      <c r="C17" s="62" t="s">
        <v>223</v>
      </c>
      <c r="D17" s="5">
        <v>0</v>
      </c>
      <c r="E17" s="59"/>
      <c r="F17" s="64">
        <v>0.3395966051067</v>
      </c>
      <c r="G17" s="7">
        <f t="shared" si="0"/>
        <v>0.3395966051067</v>
      </c>
      <c r="H17" s="7">
        <f t="shared" si="1"/>
        <v>0</v>
      </c>
      <c r="I17" s="59"/>
      <c r="J17" s="64">
        <v>2.8206919979500684</v>
      </c>
      <c r="K17" s="7">
        <f t="shared" si="2"/>
        <v>2.8206919979500684</v>
      </c>
      <c r="L17" s="7">
        <f t="shared" si="3"/>
        <v>0</v>
      </c>
      <c r="M17" s="59"/>
      <c r="N17" s="64">
        <v>0.38938322388497</v>
      </c>
      <c r="O17" s="7">
        <f t="shared" si="4"/>
        <v>0.38938322388497</v>
      </c>
      <c r="P17" s="7">
        <f t="shared" si="5"/>
        <v>0</v>
      </c>
      <c r="Q17" s="59"/>
      <c r="R17" s="64">
        <v>0.004001624418093264</v>
      </c>
      <c r="S17" s="7">
        <f t="shared" si="6"/>
        <v>0.004001624418093264</v>
      </c>
      <c r="T17" s="7">
        <f t="shared" si="7"/>
        <v>0</v>
      </c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</row>
    <row r="18" spans="1:40" s="62" customFormat="1" ht="12.75">
      <c r="A18" s="62" t="s">
        <v>177</v>
      </c>
      <c r="B18" s="62">
        <v>14</v>
      </c>
      <c r="C18" s="62" t="s">
        <v>224</v>
      </c>
      <c r="D18" s="5">
        <v>0</v>
      </c>
      <c r="E18" s="59"/>
      <c r="F18" s="64">
        <v>0.7011942441910561</v>
      </c>
      <c r="G18" s="7">
        <f t="shared" si="0"/>
        <v>0.7011942441910561</v>
      </c>
      <c r="H18" s="7">
        <f t="shared" si="1"/>
        <v>0</v>
      </c>
      <c r="I18" s="59"/>
      <c r="J18" s="64">
        <v>4.371783146643238</v>
      </c>
      <c r="K18" s="7">
        <f t="shared" si="2"/>
        <v>4.371783146643238</v>
      </c>
      <c r="L18" s="7">
        <f t="shared" si="3"/>
        <v>0</v>
      </c>
      <c r="M18" s="59"/>
      <c r="N18" s="64">
        <v>0.63248382686815</v>
      </c>
      <c r="O18" s="7">
        <f t="shared" si="4"/>
        <v>0.63248382686815</v>
      </c>
      <c r="P18" s="7">
        <f t="shared" si="5"/>
        <v>0</v>
      </c>
      <c r="Q18" s="59"/>
      <c r="R18" s="64">
        <v>0.6402599068949324</v>
      </c>
      <c r="S18" s="7">
        <f t="shared" si="6"/>
        <v>0.6402599068949324</v>
      </c>
      <c r="T18" s="7">
        <f t="shared" si="7"/>
        <v>0</v>
      </c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</row>
    <row r="19" spans="1:40" s="62" customFormat="1" ht="12.75">
      <c r="A19" s="62" t="s">
        <v>177</v>
      </c>
      <c r="B19" s="62">
        <v>15</v>
      </c>
      <c r="C19" s="62" t="s">
        <v>225</v>
      </c>
      <c r="D19" s="5">
        <v>0.001</v>
      </c>
      <c r="E19" s="59"/>
      <c r="F19" s="64">
        <v>0.92830169170233</v>
      </c>
      <c r="G19" s="7">
        <f t="shared" si="0"/>
        <v>0.92830169170233</v>
      </c>
      <c r="H19" s="7">
        <f t="shared" si="1"/>
        <v>0.00092830169170233</v>
      </c>
      <c r="I19" s="59"/>
      <c r="J19" s="64">
        <v>0.6472829636137344</v>
      </c>
      <c r="K19" s="7">
        <f t="shared" si="2"/>
        <v>0.6472829636137344</v>
      </c>
      <c r="L19" s="7">
        <f t="shared" si="3"/>
        <v>0.0006472829636137344</v>
      </c>
      <c r="M19" s="59"/>
      <c r="N19" s="64">
        <v>0.16498266728511</v>
      </c>
      <c r="O19" s="7">
        <f t="shared" si="4"/>
        <v>0.16498266728511</v>
      </c>
      <c r="P19" s="7">
        <f t="shared" si="5"/>
        <v>0.00016498266728511</v>
      </c>
      <c r="Q19" s="59"/>
      <c r="R19" s="64">
        <v>0.428173812735986</v>
      </c>
      <c r="S19" s="7">
        <f t="shared" si="6"/>
        <v>0.428173812735986</v>
      </c>
      <c r="T19" s="7">
        <f t="shared" si="7"/>
        <v>0.000428173812735986</v>
      </c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</row>
    <row r="20" spans="1:40" s="62" customFormat="1" ht="12.75">
      <c r="A20" s="62" t="s">
        <v>177</v>
      </c>
      <c r="B20" s="62">
        <v>16</v>
      </c>
      <c r="C20" s="62" t="s">
        <v>226</v>
      </c>
      <c r="D20" s="5">
        <v>0.1</v>
      </c>
      <c r="E20" s="59"/>
      <c r="F20" s="64">
        <v>0.13413533618634577</v>
      </c>
      <c r="G20" s="7">
        <f t="shared" si="0"/>
        <v>0.13413533618634577</v>
      </c>
      <c r="H20" s="7">
        <f t="shared" si="1"/>
        <v>0.013413533618634578</v>
      </c>
      <c r="I20" s="59"/>
      <c r="J20" s="64">
        <v>1.044191522073358</v>
      </c>
      <c r="K20" s="7">
        <f t="shared" si="2"/>
        <v>1.044191522073358</v>
      </c>
      <c r="L20" s="7">
        <f t="shared" si="3"/>
        <v>0.1044191522073358</v>
      </c>
      <c r="M20" s="59"/>
      <c r="N20" s="64">
        <v>0.1888101457412787</v>
      </c>
      <c r="O20" s="7">
        <f t="shared" si="4"/>
        <v>0.1888101457412787</v>
      </c>
      <c r="P20" s="7">
        <f t="shared" si="5"/>
        <v>0.018881014574127872</v>
      </c>
      <c r="Q20" s="59"/>
      <c r="R20" s="64">
        <v>0.66149929803712</v>
      </c>
      <c r="S20" s="7">
        <f t="shared" si="6"/>
        <v>0.66149929803712</v>
      </c>
      <c r="T20" s="7">
        <f t="shared" si="7"/>
        <v>0.06614992980371201</v>
      </c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</row>
    <row r="21" spans="1:40" s="62" customFormat="1" ht="12.75">
      <c r="A21" s="62" t="s">
        <v>177</v>
      </c>
      <c r="B21" s="62">
        <v>17</v>
      </c>
      <c r="C21" s="62" t="s">
        <v>227</v>
      </c>
      <c r="D21" s="5">
        <v>0</v>
      </c>
      <c r="E21" s="59"/>
      <c r="F21" s="64">
        <v>0.8633631559295748</v>
      </c>
      <c r="G21" s="7">
        <f t="shared" si="0"/>
        <v>0.8633631559295748</v>
      </c>
      <c r="H21" s="7">
        <f t="shared" si="1"/>
        <v>0</v>
      </c>
      <c r="I21" s="59"/>
      <c r="J21" s="64">
        <v>6.372607511530857</v>
      </c>
      <c r="K21" s="7">
        <f t="shared" si="2"/>
        <v>6.372607511530857</v>
      </c>
      <c r="L21" s="7">
        <f t="shared" si="3"/>
        <v>0</v>
      </c>
      <c r="M21" s="59"/>
      <c r="N21" s="64">
        <v>1.02427995996387</v>
      </c>
      <c r="O21" s="7">
        <f t="shared" si="4"/>
        <v>1.02427995996387</v>
      </c>
      <c r="P21" s="7">
        <f t="shared" si="5"/>
        <v>0</v>
      </c>
      <c r="Q21" s="59"/>
      <c r="R21" s="64">
        <v>3.52450766055143</v>
      </c>
      <c r="S21" s="7">
        <f t="shared" si="6"/>
        <v>3.52450766055143</v>
      </c>
      <c r="T21" s="7">
        <f t="shared" si="7"/>
        <v>0</v>
      </c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</row>
    <row r="22" spans="1:40" s="62" customFormat="1" ht="12.75">
      <c r="A22" s="62" t="s">
        <v>177</v>
      </c>
      <c r="B22" s="62">
        <v>18</v>
      </c>
      <c r="C22" s="62" t="s">
        <v>228</v>
      </c>
      <c r="D22" s="5">
        <v>0</v>
      </c>
      <c r="E22" s="59"/>
      <c r="F22" s="64">
        <v>0.99749849211592</v>
      </c>
      <c r="G22" s="7">
        <f t="shared" si="0"/>
        <v>0.99749849211592</v>
      </c>
      <c r="H22" s="7">
        <f t="shared" si="1"/>
        <v>0</v>
      </c>
      <c r="I22" s="59"/>
      <c r="J22" s="64">
        <v>7.4167990336042156</v>
      </c>
      <c r="K22" s="7">
        <f t="shared" si="2"/>
        <v>7.4167990336042156</v>
      </c>
      <c r="L22" s="7">
        <f t="shared" si="3"/>
        <v>0</v>
      </c>
      <c r="M22" s="59"/>
      <c r="N22" s="64">
        <v>1.2130901057051486</v>
      </c>
      <c r="O22" s="7">
        <f t="shared" si="4"/>
        <v>1.2130901057051486</v>
      </c>
      <c r="P22" s="7">
        <f t="shared" si="5"/>
        <v>0</v>
      </c>
      <c r="Q22" s="59"/>
      <c r="R22" s="64">
        <v>4.186006958588551</v>
      </c>
      <c r="S22" s="7">
        <f t="shared" si="6"/>
        <v>4.186006958588551</v>
      </c>
      <c r="T22" s="7">
        <f t="shared" si="7"/>
        <v>0</v>
      </c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</row>
    <row r="23" spans="1:40" s="62" customFormat="1" ht="12.75">
      <c r="A23" s="62" t="s">
        <v>177</v>
      </c>
      <c r="B23" s="62">
        <v>19</v>
      </c>
      <c r="C23" s="62" t="s">
        <v>229</v>
      </c>
      <c r="D23" s="5">
        <v>0.05</v>
      </c>
      <c r="E23" s="59"/>
      <c r="F23" s="64">
        <v>0.014194215469454577</v>
      </c>
      <c r="G23" s="7">
        <f t="shared" si="0"/>
        <v>0.014194215469454577</v>
      </c>
      <c r="H23" s="7">
        <f t="shared" si="1"/>
        <v>0.0007097107734727289</v>
      </c>
      <c r="I23" s="59"/>
      <c r="J23" s="64">
        <v>0.08683505381067427</v>
      </c>
      <c r="K23" s="7">
        <f t="shared" si="2"/>
        <v>0.08683505381067427</v>
      </c>
      <c r="L23" s="7">
        <f t="shared" si="3"/>
        <v>0.0043417526905337135</v>
      </c>
      <c r="M23" s="59"/>
      <c r="N23" s="64">
        <v>0.018096819080633743</v>
      </c>
      <c r="O23" s="7">
        <f t="shared" si="4"/>
        <v>0.018096819080633743</v>
      </c>
      <c r="P23" s="7">
        <f t="shared" si="5"/>
        <v>0.0009048409540316872</v>
      </c>
      <c r="Q23" s="59"/>
      <c r="R23" s="64">
        <v>0.08003248836186655</v>
      </c>
      <c r="S23" s="7">
        <f t="shared" si="6"/>
        <v>0.08003248836186655</v>
      </c>
      <c r="T23" s="7">
        <f t="shared" si="7"/>
        <v>0.004001624418093328</v>
      </c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</row>
    <row r="24" spans="1:40" s="62" customFormat="1" ht="12.75">
      <c r="A24" s="62" t="s">
        <v>177</v>
      </c>
      <c r="B24" s="62">
        <v>21</v>
      </c>
      <c r="C24" s="62" t="s">
        <v>230</v>
      </c>
      <c r="D24" s="5">
        <v>0.5</v>
      </c>
      <c r="E24" s="59"/>
      <c r="F24" s="64">
        <v>0.029807852485854613</v>
      </c>
      <c r="G24" s="7">
        <f t="shared" si="0"/>
        <v>0.029807852485854613</v>
      </c>
      <c r="H24" s="7">
        <f t="shared" si="1"/>
        <v>0.014903926242927306</v>
      </c>
      <c r="I24" s="59"/>
      <c r="J24" s="64">
        <v>0.2366255216340874</v>
      </c>
      <c r="K24" s="7">
        <f t="shared" si="2"/>
        <v>0.2366255216340874</v>
      </c>
      <c r="L24" s="7">
        <f t="shared" si="3"/>
        <v>0.1183127608170437</v>
      </c>
      <c r="M24" s="59"/>
      <c r="N24" s="64">
        <v>0.04584527500427214</v>
      </c>
      <c r="O24" s="7">
        <f t="shared" si="4"/>
        <v>0.04584527500427214</v>
      </c>
      <c r="P24" s="7">
        <f t="shared" si="5"/>
        <v>0.02292263750213607</v>
      </c>
      <c r="Q24" s="59"/>
      <c r="R24" s="64">
        <v>0.1889997994391771</v>
      </c>
      <c r="S24" s="7">
        <f t="shared" si="6"/>
        <v>0.1889997994391771</v>
      </c>
      <c r="T24" s="7">
        <f t="shared" si="7"/>
        <v>0.09449989971958855</v>
      </c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</row>
    <row r="25" spans="1:40" s="62" customFormat="1" ht="12.75">
      <c r="A25" s="62" t="s">
        <v>177</v>
      </c>
      <c r="B25" s="62">
        <v>21</v>
      </c>
      <c r="C25" s="62" t="s">
        <v>231</v>
      </c>
      <c r="D25" s="5">
        <v>0</v>
      </c>
      <c r="E25" s="59"/>
      <c r="F25" s="64">
        <v>0.18416994571617315</v>
      </c>
      <c r="G25" s="7">
        <f t="shared" si="0"/>
        <v>0.18416994571617315</v>
      </c>
      <c r="H25" s="7">
        <f t="shared" si="1"/>
        <v>0</v>
      </c>
      <c r="I25" s="59"/>
      <c r="J25" s="64">
        <v>1.91869287649169</v>
      </c>
      <c r="K25" s="7">
        <f t="shared" si="2"/>
        <v>1.91869287649169</v>
      </c>
      <c r="L25" s="7">
        <f t="shared" si="3"/>
        <v>0</v>
      </c>
      <c r="M25" s="59"/>
      <c r="N25" s="64">
        <v>0.407480042965603</v>
      </c>
      <c r="O25" s="7">
        <f t="shared" si="4"/>
        <v>0.407480042965603</v>
      </c>
      <c r="P25" s="7">
        <f t="shared" si="5"/>
        <v>0</v>
      </c>
      <c r="Q25" s="59"/>
      <c r="R25" s="64">
        <v>1.461824181655785</v>
      </c>
      <c r="S25" s="7">
        <f t="shared" si="6"/>
        <v>1.461824181655785</v>
      </c>
      <c r="T25" s="7">
        <f t="shared" si="7"/>
        <v>0</v>
      </c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</row>
    <row r="26" spans="1:40" s="62" customFormat="1" ht="12.75">
      <c r="A26" s="62" t="s">
        <v>177</v>
      </c>
      <c r="B26" s="62">
        <v>22</v>
      </c>
      <c r="C26" s="62" t="s">
        <v>232</v>
      </c>
      <c r="D26" s="5">
        <v>0</v>
      </c>
      <c r="E26" s="59"/>
      <c r="F26" s="64">
        <v>0.22817201367148232</v>
      </c>
      <c r="G26" s="7">
        <f t="shared" si="0"/>
        <v>0.22817201367148232</v>
      </c>
      <c r="H26" s="7">
        <f t="shared" si="1"/>
        <v>0</v>
      </c>
      <c r="I26" s="59"/>
      <c r="J26" s="64">
        <v>2.2421534519364514</v>
      </c>
      <c r="K26" s="7">
        <f t="shared" si="2"/>
        <v>2.2421534519364514</v>
      </c>
      <c r="L26" s="7">
        <f t="shared" si="3"/>
        <v>0</v>
      </c>
      <c r="M26" s="59"/>
      <c r="N26" s="64">
        <v>0.47142213705050895</v>
      </c>
      <c r="O26" s="7">
        <f t="shared" si="4"/>
        <v>0.47142213705050895</v>
      </c>
      <c r="P26" s="7">
        <f t="shared" si="5"/>
        <v>0</v>
      </c>
      <c r="Q26" s="59"/>
      <c r="R26" s="64">
        <v>1.730856469456829</v>
      </c>
      <c r="S26" s="7">
        <f t="shared" si="6"/>
        <v>1.730856469456829</v>
      </c>
      <c r="T26" s="7">
        <f t="shared" si="7"/>
        <v>0</v>
      </c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1:40" s="62" customFormat="1" ht="12.75">
      <c r="A27" s="62" t="s">
        <v>177</v>
      </c>
      <c r="B27" s="62">
        <v>23</v>
      </c>
      <c r="C27" s="62" t="s">
        <v>233</v>
      </c>
      <c r="D27" s="5">
        <v>0.1</v>
      </c>
      <c r="E27" s="59"/>
      <c r="F27" s="64">
        <v>0.029098141712381884</v>
      </c>
      <c r="G27" s="7">
        <f t="shared" si="0"/>
        <v>0.029098141712381884</v>
      </c>
      <c r="H27" s="7">
        <f t="shared" si="1"/>
        <v>0.0029098141712381887</v>
      </c>
      <c r="I27" s="59"/>
      <c r="J27" s="64">
        <v>0.14653415330551284</v>
      </c>
      <c r="K27" s="7">
        <f t="shared" si="2"/>
        <v>0.14653415330551284</v>
      </c>
      <c r="L27" s="7">
        <f t="shared" si="3"/>
        <v>0.014653415330551284</v>
      </c>
      <c r="M27" s="59"/>
      <c r="N27" s="64">
        <v>0.027446842272294516</v>
      </c>
      <c r="O27" s="7">
        <f t="shared" si="4"/>
        <v>0.027446842272294516</v>
      </c>
      <c r="P27" s="7">
        <f t="shared" si="5"/>
        <v>0.0027446842272294517</v>
      </c>
      <c r="Q27" s="59"/>
      <c r="R27" s="64">
        <v>0.12466599148675364</v>
      </c>
      <c r="S27" s="7">
        <f t="shared" si="6"/>
        <v>0.12466599148675364</v>
      </c>
      <c r="T27" s="7">
        <f t="shared" si="7"/>
        <v>0.012466599148675366</v>
      </c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</row>
    <row r="28" spans="1:40" s="62" customFormat="1" ht="12.75">
      <c r="A28" s="62" t="s">
        <v>177</v>
      </c>
      <c r="B28" s="62">
        <v>24</v>
      </c>
      <c r="C28" s="62" t="s">
        <v>234</v>
      </c>
      <c r="D28" s="5">
        <v>0.1</v>
      </c>
      <c r="E28" s="59"/>
      <c r="F28" s="64">
        <v>0.014194215469454577</v>
      </c>
      <c r="G28" s="7">
        <f t="shared" si="0"/>
        <v>0.014194215469454577</v>
      </c>
      <c r="H28" s="7">
        <f t="shared" si="1"/>
        <v>0.0014194215469454578</v>
      </c>
      <c r="I28" s="59"/>
      <c r="J28" s="64">
        <v>0.06367903946116114</v>
      </c>
      <c r="K28" s="7">
        <f t="shared" si="2"/>
        <v>0.06367903946116114</v>
      </c>
      <c r="L28" s="7">
        <f t="shared" si="3"/>
        <v>0.0063679039461161146</v>
      </c>
      <c r="M28" s="59"/>
      <c r="N28" s="64">
        <v>0.015683909869882575</v>
      </c>
      <c r="O28" s="7">
        <f t="shared" si="4"/>
        <v>0.015683909869882575</v>
      </c>
      <c r="P28" s="7">
        <f t="shared" si="5"/>
        <v>0.0015683909869882576</v>
      </c>
      <c r="Q28" s="59"/>
      <c r="R28" s="64">
        <v>0.063718173426563</v>
      </c>
      <c r="S28" s="7">
        <f t="shared" si="6"/>
        <v>0.063718173426563</v>
      </c>
      <c r="T28" s="7">
        <f t="shared" si="7"/>
        <v>0.0063718173426563</v>
      </c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</row>
    <row r="29" spans="1:40" s="62" customFormat="1" ht="12.75">
      <c r="A29" s="62" t="s">
        <v>177</v>
      </c>
      <c r="B29" s="62">
        <v>25</v>
      </c>
      <c r="C29" s="62" t="s">
        <v>235</v>
      </c>
      <c r="D29" s="5">
        <v>0.1</v>
      </c>
      <c r="E29" s="59"/>
      <c r="F29" s="64">
        <v>0.0021291323204181865</v>
      </c>
      <c r="G29" s="7">
        <f t="shared" si="0"/>
        <v>0.0021291323204181865</v>
      </c>
      <c r="H29" s="7">
        <f t="shared" si="1"/>
        <v>0.00021291323204181866</v>
      </c>
      <c r="I29" s="59"/>
      <c r="J29" s="64">
        <v>0.01809063621055714</v>
      </c>
      <c r="K29" s="7">
        <f t="shared" si="2"/>
        <v>0.01809063621055714</v>
      </c>
      <c r="L29" s="7">
        <f t="shared" si="3"/>
        <v>0.0018090636210557143</v>
      </c>
      <c r="M29" s="59"/>
      <c r="N29" s="64">
        <v>0.0030161365134389576</v>
      </c>
      <c r="O29" s="7">
        <f t="shared" si="4"/>
        <v>0.0030161365134389576</v>
      </c>
      <c r="P29" s="7">
        <f t="shared" si="5"/>
        <v>0.00030161365134389576</v>
      </c>
      <c r="Q29" s="59"/>
      <c r="R29" s="64">
        <v>0.010465786939628702</v>
      </c>
      <c r="S29" s="7">
        <f t="shared" si="6"/>
        <v>0.010465786939628702</v>
      </c>
      <c r="T29" s="7">
        <f t="shared" si="7"/>
        <v>0.0010465786939628703</v>
      </c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</row>
    <row r="30" spans="1:40" s="62" customFormat="1" ht="12.75">
      <c r="A30" s="62" t="s">
        <v>177</v>
      </c>
      <c r="B30" s="62">
        <v>26</v>
      </c>
      <c r="C30" s="62" t="s">
        <v>236</v>
      </c>
      <c r="D30" s="5">
        <v>0.1</v>
      </c>
      <c r="E30" s="59"/>
      <c r="F30" s="64">
        <v>0.023775310911336417</v>
      </c>
      <c r="G30" s="7">
        <f t="shared" si="0"/>
        <v>0.023775310911336417</v>
      </c>
      <c r="H30" s="7">
        <f t="shared" si="1"/>
        <v>0.002377531091133642</v>
      </c>
      <c r="I30" s="59"/>
      <c r="J30" s="64">
        <v>0.1331470825097</v>
      </c>
      <c r="K30" s="7">
        <f t="shared" si="2"/>
        <v>0.1331470825097</v>
      </c>
      <c r="L30" s="7">
        <f t="shared" si="3"/>
        <v>0.013314708250970001</v>
      </c>
      <c r="M30" s="59"/>
      <c r="N30" s="64">
        <v>0.029558137831701786</v>
      </c>
      <c r="O30" s="7">
        <f t="shared" si="4"/>
        <v>0.029558137831701786</v>
      </c>
      <c r="P30" s="7">
        <f t="shared" si="5"/>
        <v>0.0029558137831701787</v>
      </c>
      <c r="Q30" s="59"/>
      <c r="R30" s="64">
        <v>0.10496568665921727</v>
      </c>
      <c r="S30" s="7">
        <f t="shared" si="6"/>
        <v>0.10496568665921727</v>
      </c>
      <c r="T30" s="7">
        <f t="shared" si="7"/>
        <v>0.010496568665921727</v>
      </c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spans="1:40" s="62" customFormat="1" ht="12.75">
      <c r="A31" s="62" t="s">
        <v>177</v>
      </c>
      <c r="B31" s="62">
        <v>27</v>
      </c>
      <c r="C31" s="62" t="s">
        <v>237</v>
      </c>
      <c r="D31" s="5">
        <v>0</v>
      </c>
      <c r="E31" s="59"/>
      <c r="F31" s="64">
        <v>0.091552689777982</v>
      </c>
      <c r="G31" s="7">
        <f t="shared" si="0"/>
        <v>0.091552689777982</v>
      </c>
      <c r="H31" s="7">
        <f t="shared" si="1"/>
        <v>0</v>
      </c>
      <c r="I31" s="59"/>
      <c r="J31" s="64">
        <v>0.567322351563072</v>
      </c>
      <c r="K31" s="7">
        <f t="shared" si="2"/>
        <v>0.567322351563072</v>
      </c>
      <c r="L31" s="7">
        <f t="shared" si="3"/>
        <v>0</v>
      </c>
      <c r="M31" s="59"/>
      <c r="N31" s="64">
        <v>0.10556477797036351</v>
      </c>
      <c r="O31" s="7">
        <f t="shared" si="4"/>
        <v>0.10556477797036351</v>
      </c>
      <c r="P31" s="7">
        <f t="shared" si="5"/>
        <v>0</v>
      </c>
      <c r="Q31" s="59"/>
      <c r="R31" s="64">
        <v>0.42725036094719515</v>
      </c>
      <c r="S31" s="7">
        <f t="shared" si="6"/>
        <v>0.42725036094719515</v>
      </c>
      <c r="T31" s="7">
        <f t="shared" si="7"/>
        <v>0</v>
      </c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</row>
    <row r="32" spans="1:40" s="62" customFormat="1" ht="12.75">
      <c r="A32" s="62" t="s">
        <v>177</v>
      </c>
      <c r="B32" s="62">
        <v>28</v>
      </c>
      <c r="C32" s="62" t="s">
        <v>238</v>
      </c>
      <c r="D32" s="5">
        <v>0</v>
      </c>
      <c r="E32" s="59"/>
      <c r="F32" s="64">
        <v>0.16074949019157309</v>
      </c>
      <c r="G32" s="7">
        <f t="shared" si="0"/>
        <v>0.16074949019157309</v>
      </c>
      <c r="H32" s="7">
        <f t="shared" si="1"/>
        <v>0</v>
      </c>
      <c r="I32" s="59"/>
      <c r="J32" s="64">
        <v>0.9287732630500037</v>
      </c>
      <c r="K32" s="7">
        <f t="shared" si="2"/>
        <v>0.9287732630500037</v>
      </c>
      <c r="L32" s="7">
        <f t="shared" si="3"/>
        <v>0</v>
      </c>
      <c r="M32" s="59"/>
      <c r="N32" s="64">
        <v>0.18126980445768134</v>
      </c>
      <c r="O32" s="7">
        <f t="shared" si="4"/>
        <v>0.18126980445768134</v>
      </c>
      <c r="P32" s="7">
        <f t="shared" si="5"/>
        <v>0</v>
      </c>
      <c r="Q32" s="59"/>
      <c r="R32" s="64">
        <v>0.7310659994593577</v>
      </c>
      <c r="S32" s="7">
        <f t="shared" si="6"/>
        <v>0.7310659994593577</v>
      </c>
      <c r="T32" s="7">
        <f t="shared" si="7"/>
        <v>0</v>
      </c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s="62" customFormat="1" ht="12.75">
      <c r="A33" s="62" t="s">
        <v>177</v>
      </c>
      <c r="B33" s="62">
        <v>29</v>
      </c>
      <c r="C33" s="62" t="s">
        <v>239</v>
      </c>
      <c r="D33" s="5">
        <v>0.01</v>
      </c>
      <c r="E33" s="59"/>
      <c r="F33" s="64">
        <v>0.05606715110434558</v>
      </c>
      <c r="G33" s="7">
        <f t="shared" si="0"/>
        <v>0.05606715110434558</v>
      </c>
      <c r="H33" s="7">
        <f t="shared" si="1"/>
        <v>0.0005606715110434558</v>
      </c>
      <c r="I33" s="59"/>
      <c r="J33" s="64">
        <v>0.09986031188227544</v>
      </c>
      <c r="K33" s="7">
        <f t="shared" si="2"/>
        <v>0.09986031188227544</v>
      </c>
      <c r="L33" s="7">
        <f t="shared" si="3"/>
        <v>0.0009986031188227544</v>
      </c>
      <c r="M33" s="59"/>
      <c r="N33" s="64">
        <v>0.02412909210751166</v>
      </c>
      <c r="O33" s="7">
        <f t="shared" si="4"/>
        <v>0.02412909210751166</v>
      </c>
      <c r="P33" s="7">
        <f t="shared" si="5"/>
        <v>0.0002412909210751166</v>
      </c>
      <c r="Q33" s="59"/>
      <c r="R33" s="64">
        <v>0.09757807234889113</v>
      </c>
      <c r="S33" s="7">
        <f t="shared" si="6"/>
        <v>0.09757807234889113</v>
      </c>
      <c r="T33" s="7">
        <f t="shared" si="7"/>
        <v>0.0009757807234889112</v>
      </c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</row>
    <row r="34" spans="1:40" s="62" customFormat="1" ht="12.75">
      <c r="A34" s="62" t="s">
        <v>177</v>
      </c>
      <c r="B34" s="62">
        <v>30</v>
      </c>
      <c r="C34" s="62" t="s">
        <v>240</v>
      </c>
      <c r="D34" s="5">
        <v>0.01</v>
      </c>
      <c r="E34" s="59"/>
      <c r="F34" s="64">
        <v>0.018097624723554587</v>
      </c>
      <c r="G34" s="7">
        <f t="shared" si="0"/>
        <v>0.018097624723554587</v>
      </c>
      <c r="H34" s="7">
        <f t="shared" si="1"/>
        <v>0.00018097624723554588</v>
      </c>
      <c r="I34" s="59"/>
      <c r="J34" s="64">
        <v>0.021346950728457426</v>
      </c>
      <c r="K34" s="7">
        <f t="shared" si="2"/>
        <v>0.021346950728457426</v>
      </c>
      <c r="L34" s="7">
        <f t="shared" si="3"/>
        <v>0.00021346950728457428</v>
      </c>
      <c r="M34" s="59"/>
      <c r="N34" s="64">
        <v>0.0072387276322535</v>
      </c>
      <c r="O34" s="7">
        <f t="shared" si="4"/>
        <v>0.0072387276322535</v>
      </c>
      <c r="P34" s="7">
        <f t="shared" si="5"/>
        <v>7.2387276322535E-05</v>
      </c>
      <c r="Q34" s="59"/>
      <c r="R34" s="64">
        <v>0.018469035775815355</v>
      </c>
      <c r="S34" s="7">
        <f t="shared" si="6"/>
        <v>0.018469035775815355</v>
      </c>
      <c r="T34" s="7">
        <f t="shared" si="7"/>
        <v>0.00018469035775815356</v>
      </c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</row>
    <row r="35" spans="1:40" s="62" customFormat="1" ht="12.75">
      <c r="A35" s="62" t="s">
        <v>177</v>
      </c>
      <c r="B35" s="62">
        <v>31</v>
      </c>
      <c r="C35" s="62" t="s">
        <v>241</v>
      </c>
      <c r="D35" s="5">
        <v>0</v>
      </c>
      <c r="E35" s="59"/>
      <c r="F35" s="64">
        <v>0.05287345262371827</v>
      </c>
      <c r="G35" s="7">
        <f t="shared" si="0"/>
        <v>0.05287345262371827</v>
      </c>
      <c r="H35" s="7">
        <f t="shared" si="1"/>
        <v>0</v>
      </c>
      <c r="I35" s="59"/>
      <c r="J35" s="64">
        <v>0.02749776704004682</v>
      </c>
      <c r="K35" s="7">
        <f t="shared" si="2"/>
        <v>0.02749776704004682</v>
      </c>
      <c r="L35" s="7">
        <f t="shared" si="3"/>
        <v>0</v>
      </c>
      <c r="M35" s="59"/>
      <c r="N35" s="64">
        <v>0.0066355003295657</v>
      </c>
      <c r="O35" s="7">
        <f t="shared" si="4"/>
        <v>0.0066355003295657</v>
      </c>
      <c r="P35" s="7">
        <f t="shared" si="5"/>
        <v>0</v>
      </c>
      <c r="Q35" s="59"/>
      <c r="R35" s="64">
        <v>0.038169340603351753</v>
      </c>
      <c r="S35" s="7">
        <f t="shared" si="6"/>
        <v>0.038169340603351753</v>
      </c>
      <c r="T35" s="7">
        <f t="shared" si="7"/>
        <v>0</v>
      </c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</row>
    <row r="36" spans="1:40" s="62" customFormat="1" ht="12.75">
      <c r="A36" s="62" t="s">
        <v>177</v>
      </c>
      <c r="B36" s="62">
        <v>32</v>
      </c>
      <c r="C36" s="62" t="s">
        <v>242</v>
      </c>
      <c r="D36" s="5">
        <v>0</v>
      </c>
      <c r="E36" s="59"/>
      <c r="F36" s="64">
        <v>0.12703822845161844</v>
      </c>
      <c r="G36" s="7">
        <f t="shared" si="0"/>
        <v>0.12703822845161844</v>
      </c>
      <c r="H36" s="7">
        <f t="shared" si="1"/>
        <v>0</v>
      </c>
      <c r="I36" s="59"/>
      <c r="J36" s="64">
        <v>0.14870502965078</v>
      </c>
      <c r="K36" s="7">
        <f t="shared" si="2"/>
        <v>0.14870502965078</v>
      </c>
      <c r="L36" s="7">
        <f t="shared" si="3"/>
        <v>0</v>
      </c>
      <c r="M36" s="59"/>
      <c r="N36" s="64">
        <v>0.03800332006933087</v>
      </c>
      <c r="O36" s="7">
        <f t="shared" si="4"/>
        <v>0.03800332006933087</v>
      </c>
      <c r="P36" s="7">
        <f t="shared" si="5"/>
        <v>0</v>
      </c>
      <c r="Q36" s="59"/>
      <c r="R36" s="64">
        <v>0.15421644872805823</v>
      </c>
      <c r="S36" s="7">
        <f t="shared" si="6"/>
        <v>0.15421644872805823</v>
      </c>
      <c r="T36" s="7">
        <f t="shared" si="7"/>
        <v>0</v>
      </c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</row>
    <row r="37" spans="1:40" s="62" customFormat="1" ht="12.75">
      <c r="A37" s="62" t="s">
        <v>177</v>
      </c>
      <c r="B37" s="62">
        <v>33</v>
      </c>
      <c r="C37" s="62" t="s">
        <v>243</v>
      </c>
      <c r="D37" s="5">
        <v>0.001</v>
      </c>
      <c r="E37" s="59"/>
      <c r="F37" s="64">
        <v>0.11426343452911</v>
      </c>
      <c r="G37" s="7">
        <f t="shared" si="0"/>
        <v>0.11426343452911</v>
      </c>
      <c r="H37" s="7">
        <f t="shared" si="1"/>
        <v>0.00011426343452911</v>
      </c>
      <c r="I37" s="59"/>
      <c r="J37" s="64">
        <v>0.05065378138956</v>
      </c>
      <c r="K37" s="7">
        <f t="shared" si="2"/>
        <v>0.05065378138956</v>
      </c>
      <c r="L37" s="7">
        <f t="shared" si="3"/>
        <v>5.065378138956E-05</v>
      </c>
      <c r="M37" s="59"/>
      <c r="N37" s="64">
        <v>0.018096819080633743</v>
      </c>
      <c r="O37" s="7">
        <f t="shared" si="4"/>
        <v>0.018096819080633743</v>
      </c>
      <c r="P37" s="7">
        <f t="shared" si="5"/>
        <v>1.8096819080633743E-05</v>
      </c>
      <c r="Q37" s="59"/>
      <c r="R37" s="64">
        <v>0.049250762068841</v>
      </c>
      <c r="S37" s="7">
        <f t="shared" si="6"/>
        <v>0.049250762068841</v>
      </c>
      <c r="T37" s="7">
        <f t="shared" si="7"/>
        <v>4.9250762068841E-05</v>
      </c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</row>
    <row r="38" spans="1:40" s="62" customFormat="1" ht="12.75">
      <c r="A38" s="62" t="s">
        <v>177</v>
      </c>
      <c r="B38" s="62">
        <v>34</v>
      </c>
      <c r="C38" s="62" t="s">
        <v>244</v>
      </c>
      <c r="D38" s="59"/>
      <c r="E38" s="59"/>
      <c r="F38" s="64">
        <v>6.2365834218916</v>
      </c>
      <c r="G38" s="64">
        <f>G37+G36+G32+G26+G22+G19+G18+G15+G10+G7</f>
        <v>6.236583421891606</v>
      </c>
      <c r="H38" s="64"/>
      <c r="I38" s="59"/>
      <c r="J38" s="64">
        <v>111.25813632037483</v>
      </c>
      <c r="K38" s="64">
        <f>K37+K36+K32+K26+K22+K19+K18+K15+K10+K7</f>
        <v>111.25813632037487</v>
      </c>
      <c r="L38" s="64"/>
      <c r="M38" s="59"/>
      <c r="N38" s="64">
        <v>8.4789629665796</v>
      </c>
      <c r="O38" s="64">
        <f>O37+O36+O32+O26+O22+O19+O18+O15+O10+O7</f>
        <v>8.478962966579596</v>
      </c>
      <c r="P38" s="64"/>
      <c r="Q38" s="59"/>
      <c r="R38" s="64">
        <v>23.212191980307665</v>
      </c>
      <c r="S38" s="64">
        <f>S37+S36+S32+S26+S22+S19+S18+S15+S10+S7</f>
        <v>23.212191980307665</v>
      </c>
      <c r="T38" s="64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</row>
    <row r="39" spans="1:40" s="62" customFormat="1" ht="12.75">
      <c r="A39" s="62" t="s">
        <v>177</v>
      </c>
      <c r="B39" s="62">
        <v>35</v>
      </c>
      <c r="C39" s="62" t="s">
        <v>33</v>
      </c>
      <c r="D39" s="59"/>
      <c r="E39" s="61">
        <f>(F39-H39)*2/F39*100</f>
        <v>-3.111017606265475E-14</v>
      </c>
      <c r="F39" s="64">
        <v>0.08921703162248328</v>
      </c>
      <c r="G39" s="64"/>
      <c r="H39" s="64">
        <f>SUM(H5:H37)</f>
        <v>0.08921703162248329</v>
      </c>
      <c r="I39" s="61">
        <f>(J39-L39)*2/J39*100</f>
        <v>2.2351616102932068E-13</v>
      </c>
      <c r="J39" s="64">
        <v>0.4470373495863534</v>
      </c>
      <c r="K39" s="64"/>
      <c r="L39" s="64">
        <f>SUM(L5:L37)</f>
        <v>0.4470373495863529</v>
      </c>
      <c r="M39" s="61">
        <f>(N39-P39)*2/N39*100</f>
        <v>-1.1651986861621166E-13</v>
      </c>
      <c r="N39" s="64">
        <v>0.095281863755096</v>
      </c>
      <c r="O39" s="64"/>
      <c r="P39" s="64">
        <f>SUM(P5:P37)</f>
        <v>0.09528186375509605</v>
      </c>
      <c r="Q39" s="61">
        <f>(R39-T39)*2/R39*100</f>
        <v>1.4930326820542253E-13</v>
      </c>
      <c r="R39" s="64">
        <v>0.29744105081414</v>
      </c>
      <c r="S39" s="64"/>
      <c r="T39" s="64">
        <f>SUM(T5:T37)</f>
        <v>0.2974410508141398</v>
      </c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</row>
  </sheetData>
  <mergeCells count="4">
    <mergeCell ref="F1:H1"/>
    <mergeCell ref="J1:L1"/>
    <mergeCell ref="N1:P1"/>
    <mergeCell ref="R1:T1"/>
  </mergeCells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N39"/>
  <sheetViews>
    <sheetView workbookViewId="0" topLeftCell="C1">
      <selection activeCell="C25" sqref="C25"/>
    </sheetView>
  </sheetViews>
  <sheetFormatPr defaultColWidth="9.140625" defaultRowHeight="12.75"/>
  <cols>
    <col min="1" max="1" width="9.140625" style="0" hidden="1" customWidth="1"/>
    <col min="2" max="2" width="3.00390625" style="0" hidden="1" customWidth="1"/>
    <col min="3" max="3" width="15.00390625" style="0" customWidth="1"/>
    <col min="5" max="5" width="4.28125" style="0" customWidth="1"/>
    <col min="6" max="6" width="8.7109375" style="0" customWidth="1"/>
    <col min="9" max="9" width="5.421875" style="0" customWidth="1"/>
    <col min="10" max="10" width="8.57421875" style="0" customWidth="1"/>
    <col min="13" max="13" width="4.421875" style="0" customWidth="1"/>
    <col min="14" max="14" width="9.00390625" style="0" customWidth="1"/>
    <col min="17" max="17" width="4.140625" style="0" customWidth="1"/>
    <col min="18" max="18" width="9.00390625" style="0" customWidth="1"/>
  </cols>
  <sheetData>
    <row r="1" spans="3:20" ht="12.75">
      <c r="C1" s="2" t="s">
        <v>179</v>
      </c>
      <c r="D1" s="5" t="s">
        <v>26</v>
      </c>
      <c r="F1" s="84" t="s">
        <v>140</v>
      </c>
      <c r="G1" s="84"/>
      <c r="H1" s="84"/>
      <c r="J1" s="84" t="s">
        <v>141</v>
      </c>
      <c r="K1" s="84"/>
      <c r="L1" s="84"/>
      <c r="N1" s="84" t="s">
        <v>142</v>
      </c>
      <c r="O1" s="84"/>
      <c r="P1" s="84"/>
      <c r="R1" s="84" t="s">
        <v>143</v>
      </c>
      <c r="S1" s="84"/>
      <c r="T1" s="84"/>
    </row>
    <row r="2" spans="4:20" ht="12.75">
      <c r="D2" s="5" t="s">
        <v>30</v>
      </c>
      <c r="F2" s="3" t="s">
        <v>31</v>
      </c>
      <c r="G2" s="8" t="s">
        <v>31</v>
      </c>
      <c r="H2" s="11" t="s">
        <v>32</v>
      </c>
      <c r="I2" s="3"/>
      <c r="J2" s="3" t="s">
        <v>31</v>
      </c>
      <c r="K2" s="8" t="s">
        <v>31</v>
      </c>
      <c r="L2" s="11" t="s">
        <v>32</v>
      </c>
      <c r="M2" s="3"/>
      <c r="N2" s="3" t="s">
        <v>31</v>
      </c>
      <c r="O2" s="8" t="s">
        <v>31</v>
      </c>
      <c r="P2" s="11" t="s">
        <v>32</v>
      </c>
      <c r="Q2" s="3"/>
      <c r="R2" s="3" t="s">
        <v>31</v>
      </c>
      <c r="S2" s="8" t="s">
        <v>31</v>
      </c>
      <c r="T2" s="11" t="s">
        <v>32</v>
      </c>
    </row>
    <row r="3" spans="3:20" ht="12.75">
      <c r="C3" t="s">
        <v>80</v>
      </c>
      <c r="D3" s="5"/>
      <c r="F3" s="3" t="s">
        <v>210</v>
      </c>
      <c r="G3" s="8" t="s">
        <v>74</v>
      </c>
      <c r="H3" s="11" t="s">
        <v>74</v>
      </c>
      <c r="I3" s="3"/>
      <c r="J3" s="3" t="s">
        <v>210</v>
      </c>
      <c r="K3" s="8" t="s">
        <v>74</v>
      </c>
      <c r="L3" s="11" t="s">
        <v>74</v>
      </c>
      <c r="M3" s="3"/>
      <c r="N3" s="3" t="s">
        <v>210</v>
      </c>
      <c r="O3" s="8" t="s">
        <v>74</v>
      </c>
      <c r="P3" s="11" t="s">
        <v>74</v>
      </c>
      <c r="Q3" s="3"/>
      <c r="R3" s="3" t="s">
        <v>210</v>
      </c>
      <c r="S3" s="8" t="s">
        <v>74</v>
      </c>
      <c r="T3" s="11" t="s">
        <v>74</v>
      </c>
    </row>
    <row r="4" spans="4:20" ht="12.75">
      <c r="D4" s="4"/>
      <c r="G4" s="6"/>
      <c r="H4" s="7"/>
      <c r="K4" s="6"/>
      <c r="L4" s="7"/>
      <c r="O4" s="6"/>
      <c r="P4" s="7"/>
      <c r="S4" s="6"/>
      <c r="T4" s="7"/>
    </row>
    <row r="5" spans="1:40" s="62" customFormat="1" ht="12.75">
      <c r="A5" s="62" t="s">
        <v>179</v>
      </c>
      <c r="B5" s="62">
        <v>1</v>
      </c>
      <c r="C5" s="62" t="s">
        <v>211</v>
      </c>
      <c r="D5" s="5">
        <v>1</v>
      </c>
      <c r="E5" s="59"/>
      <c r="F5" s="64">
        <v>0.02346579158401215</v>
      </c>
      <c r="G5" s="15">
        <f>IF(F5=0,"",IF(E5=1,F5/2,F5))</f>
        <v>0.02346579158401215</v>
      </c>
      <c r="H5" s="7">
        <f>IF(G5="","",G5*$D5)</f>
        <v>0.02346579158401215</v>
      </c>
      <c r="I5" s="59"/>
      <c r="J5" s="64">
        <v>0.037604186177186735</v>
      </c>
      <c r="K5" s="15">
        <f>IF(J5=0,"",IF(I5=1,J5/2,J5))</f>
        <v>0.037604186177186735</v>
      </c>
      <c r="L5" s="7">
        <f>IF(K5="","",K5*$D5)</f>
        <v>0.037604186177186735</v>
      </c>
      <c r="M5" s="59"/>
      <c r="N5" s="64">
        <v>0.09322481513492749</v>
      </c>
      <c r="O5" s="15">
        <f>IF(N5=0,"",IF(M5=1,N5/2,N5))</f>
        <v>0.09322481513492749</v>
      </c>
      <c r="P5" s="7">
        <f>IF(O5="","",O5*$D5)</f>
        <v>0.09322481513492749</v>
      </c>
      <c r="Q5" s="59"/>
      <c r="R5" s="64">
        <v>0.24791134622400582</v>
      </c>
      <c r="S5" s="15">
        <f>IF(R5=0,"",IF(Q5=1,R5/2,R5))</f>
        <v>0.24791134622400582</v>
      </c>
      <c r="T5" s="7">
        <f>IF(S5="","",S5*$D5)</f>
        <v>0.24791134622400582</v>
      </c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</row>
    <row r="6" spans="1:40" s="62" customFormat="1" ht="12.75">
      <c r="A6" s="62" t="s">
        <v>179</v>
      </c>
      <c r="B6" s="62">
        <v>2</v>
      </c>
      <c r="C6" s="62" t="s">
        <v>212</v>
      </c>
      <c r="D6" s="5">
        <v>0</v>
      </c>
      <c r="E6" s="59"/>
      <c r="F6" s="64">
        <v>20.368567825940147</v>
      </c>
      <c r="G6" s="15">
        <f aca="true" t="shared" si="0" ref="G6:G37">IF(F6=0,"",IF(E6=1,F6/2,F6))</f>
        <v>20.368567825940147</v>
      </c>
      <c r="H6" s="7">
        <f aca="true" t="shared" si="1" ref="H6:H37">IF(G6="","",G6*$D6)</f>
        <v>0</v>
      </c>
      <c r="I6" s="59"/>
      <c r="J6" s="64">
        <v>45.15366044671288</v>
      </c>
      <c r="K6" s="15">
        <f aca="true" t="shared" si="2" ref="K6:K37">IF(J6=0,"",IF(I6=1,J6/2,J6))</f>
        <v>45.15366044671288</v>
      </c>
      <c r="L6" s="7">
        <f aca="true" t="shared" si="3" ref="L6:L37">IF(K6="","",K6*$D6)</f>
        <v>0</v>
      </c>
      <c r="M6" s="59"/>
      <c r="N6" s="64">
        <v>80.30555075386535</v>
      </c>
      <c r="O6" s="15">
        <f aca="true" t="shared" si="4" ref="O6:O37">IF(N6=0,"",IF(M6=1,N6/2,N6))</f>
        <v>80.30555075386535</v>
      </c>
      <c r="P6" s="7">
        <f aca="true" t="shared" si="5" ref="P6:P37">IF(O6="","",O6*$D6)</f>
        <v>0</v>
      </c>
      <c r="Q6" s="59"/>
      <c r="R6" s="64">
        <v>71.89658234344759</v>
      </c>
      <c r="S6" s="15">
        <f aca="true" t="shared" si="6" ref="S6:S37">IF(R6=0,"",IF(Q6=1,R6/2,R6))</f>
        <v>71.89658234344759</v>
      </c>
      <c r="T6" s="7">
        <f aca="true" t="shared" si="7" ref="T6:T37">IF(S6="","",S6*$D6)</f>
        <v>0</v>
      </c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1:40" s="62" customFormat="1" ht="12.75">
      <c r="A7" s="62" t="s">
        <v>179</v>
      </c>
      <c r="B7" s="62">
        <v>3</v>
      </c>
      <c r="C7" s="62" t="s">
        <v>213</v>
      </c>
      <c r="D7" s="5">
        <v>0</v>
      </c>
      <c r="E7" s="59"/>
      <c r="F7" s="64">
        <v>20.39203361752416</v>
      </c>
      <c r="G7" s="15">
        <f t="shared" si="0"/>
        <v>20.39203361752416</v>
      </c>
      <c r="H7" s="7">
        <f t="shared" si="1"/>
        <v>0</v>
      </c>
      <c r="I7" s="59"/>
      <c r="J7" s="64">
        <v>45.19126463289</v>
      </c>
      <c r="K7" s="15">
        <f t="shared" si="2"/>
        <v>45.19126463289</v>
      </c>
      <c r="L7" s="7">
        <f t="shared" si="3"/>
        <v>0</v>
      </c>
      <c r="M7" s="59"/>
      <c r="N7" s="64">
        <v>80.39877556900028</v>
      </c>
      <c r="O7" s="15">
        <f t="shared" si="4"/>
        <v>80.39877556900028</v>
      </c>
      <c r="P7" s="7">
        <f t="shared" si="5"/>
        <v>0</v>
      </c>
      <c r="Q7" s="59"/>
      <c r="R7" s="64">
        <v>72.14449368967159</v>
      </c>
      <c r="S7" s="15">
        <f t="shared" si="6"/>
        <v>72.14449368967159</v>
      </c>
      <c r="T7" s="7">
        <f t="shared" si="7"/>
        <v>0</v>
      </c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</row>
    <row r="8" spans="1:40" s="62" customFormat="1" ht="12.75">
      <c r="A8" s="62" t="s">
        <v>179</v>
      </c>
      <c r="B8" s="62">
        <v>4</v>
      </c>
      <c r="C8" s="62" t="s">
        <v>214</v>
      </c>
      <c r="D8" s="5">
        <v>0.5</v>
      </c>
      <c r="E8" s="59"/>
      <c r="F8" s="64">
        <v>0.24143692229772507</v>
      </c>
      <c r="G8" s="15">
        <f t="shared" si="0"/>
        <v>0.24143692229772507</v>
      </c>
      <c r="H8" s="7">
        <f t="shared" si="1"/>
        <v>0.12071846114886253</v>
      </c>
      <c r="I8" s="59"/>
      <c r="J8" s="64">
        <v>0.42434877786102265</v>
      </c>
      <c r="K8" s="15">
        <f t="shared" si="2"/>
        <v>0.42434877786102265</v>
      </c>
      <c r="L8" s="7">
        <f t="shared" si="3"/>
        <v>0.21217438893051133</v>
      </c>
      <c r="M8" s="59"/>
      <c r="N8" s="64">
        <v>1.1771751656583118</v>
      </c>
      <c r="O8" s="15">
        <f t="shared" si="4"/>
        <v>1.1771751656583118</v>
      </c>
      <c r="P8" s="7">
        <f t="shared" si="5"/>
        <v>0.5885875828291559</v>
      </c>
      <c r="Q8" s="59"/>
      <c r="R8" s="64">
        <v>1.079503026855224</v>
      </c>
      <c r="S8" s="15">
        <f t="shared" si="6"/>
        <v>1.079503026855224</v>
      </c>
      <c r="T8" s="7">
        <f t="shared" si="7"/>
        <v>0.539751513427612</v>
      </c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</row>
    <row r="9" spans="1:40" s="62" customFormat="1" ht="12.75">
      <c r="A9" s="62" t="s">
        <v>179</v>
      </c>
      <c r="B9" s="62">
        <v>5</v>
      </c>
      <c r="C9" s="62" t="s">
        <v>215</v>
      </c>
      <c r="D9" s="5">
        <v>0</v>
      </c>
      <c r="E9" s="59"/>
      <c r="F9" s="64">
        <v>32.01020776178618</v>
      </c>
      <c r="G9" s="15">
        <f t="shared" si="0"/>
        <v>32.01020776178618</v>
      </c>
      <c r="H9" s="7">
        <f t="shared" si="1"/>
        <v>0</v>
      </c>
      <c r="I9" s="59"/>
      <c r="J9" s="64">
        <v>64.88544472279453</v>
      </c>
      <c r="K9" s="15">
        <f t="shared" si="2"/>
        <v>64.88544472279453</v>
      </c>
      <c r="L9" s="7">
        <f t="shared" si="3"/>
        <v>0</v>
      </c>
      <c r="M9" s="59"/>
      <c r="N9" s="64">
        <v>114.38176318064</v>
      </c>
      <c r="O9" s="15">
        <f t="shared" si="4"/>
        <v>114.38176318064</v>
      </c>
      <c r="P9" s="7">
        <f t="shared" si="5"/>
        <v>0</v>
      </c>
      <c r="Q9" s="59"/>
      <c r="R9" s="64">
        <v>100.88272837452618</v>
      </c>
      <c r="S9" s="15">
        <f t="shared" si="6"/>
        <v>100.88272837452618</v>
      </c>
      <c r="T9" s="7">
        <f t="shared" si="7"/>
        <v>0</v>
      </c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</row>
    <row r="10" spans="1:40" s="62" customFormat="1" ht="12.75">
      <c r="A10" s="62" t="s">
        <v>179</v>
      </c>
      <c r="B10" s="62">
        <v>5</v>
      </c>
      <c r="C10" s="62" t="s">
        <v>216</v>
      </c>
      <c r="D10" s="5">
        <v>0</v>
      </c>
      <c r="E10" s="59"/>
      <c r="F10" s="64">
        <v>32.2516446840839</v>
      </c>
      <c r="G10" s="15">
        <f t="shared" si="0"/>
        <v>32.2516446840839</v>
      </c>
      <c r="H10" s="7">
        <f t="shared" si="1"/>
        <v>0</v>
      </c>
      <c r="I10" s="59"/>
      <c r="J10" s="64">
        <v>65.30979350065556</v>
      </c>
      <c r="K10" s="15">
        <f t="shared" si="2"/>
        <v>65.30979350065556</v>
      </c>
      <c r="L10" s="7">
        <f t="shared" si="3"/>
        <v>0</v>
      </c>
      <c r="M10" s="59"/>
      <c r="N10" s="64">
        <v>115.55893834629788</v>
      </c>
      <c r="O10" s="15">
        <f t="shared" si="4"/>
        <v>115.55893834629788</v>
      </c>
      <c r="P10" s="7">
        <f t="shared" si="5"/>
        <v>0</v>
      </c>
      <c r="Q10" s="59"/>
      <c r="R10" s="64">
        <v>101.9622314013814</v>
      </c>
      <c r="S10" s="15">
        <f t="shared" si="6"/>
        <v>101.9622314013814</v>
      </c>
      <c r="T10" s="7">
        <f t="shared" si="7"/>
        <v>0</v>
      </c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</row>
    <row r="11" spans="1:40" s="62" customFormat="1" ht="12.75">
      <c r="A11" s="62" t="s">
        <v>179</v>
      </c>
      <c r="B11" s="62">
        <v>7</v>
      </c>
      <c r="C11" s="62" t="s">
        <v>217</v>
      </c>
      <c r="D11" s="5">
        <v>0.1</v>
      </c>
      <c r="E11" s="59"/>
      <c r="F11" s="64">
        <v>0.22709671632971765</v>
      </c>
      <c r="G11" s="15">
        <f t="shared" si="0"/>
        <v>0.22709671632971765</v>
      </c>
      <c r="H11" s="7">
        <f t="shared" si="1"/>
        <v>0.022709671632971766</v>
      </c>
      <c r="I11" s="59"/>
      <c r="J11" s="64">
        <v>0.40381110694886674</v>
      </c>
      <c r="K11" s="15">
        <f t="shared" si="2"/>
        <v>0.40381110694886674</v>
      </c>
      <c r="L11" s="7">
        <f t="shared" si="3"/>
        <v>0.040381110694886674</v>
      </c>
      <c r="M11" s="59"/>
      <c r="N11" s="64">
        <v>1.2814174589455487</v>
      </c>
      <c r="O11" s="15">
        <f t="shared" si="4"/>
        <v>1.2814174589455487</v>
      </c>
      <c r="P11" s="7">
        <f t="shared" si="5"/>
        <v>0.12814174589455488</v>
      </c>
      <c r="Q11" s="59"/>
      <c r="R11" s="64">
        <v>1.1898980639257</v>
      </c>
      <c r="S11" s="15">
        <f t="shared" si="6"/>
        <v>1.1898980639257</v>
      </c>
      <c r="T11" s="7">
        <f t="shared" si="7"/>
        <v>0.11898980639257001</v>
      </c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</row>
    <row r="12" spans="1:40" s="62" customFormat="1" ht="12.75">
      <c r="A12" s="62" t="s">
        <v>179</v>
      </c>
      <c r="B12" s="62">
        <v>8</v>
      </c>
      <c r="C12" s="62" t="s">
        <v>218</v>
      </c>
      <c r="D12" s="5">
        <v>0.1</v>
      </c>
      <c r="E12" s="59"/>
      <c r="F12" s="64">
        <v>0.48860992698265304</v>
      </c>
      <c r="G12" s="15">
        <f t="shared" si="0"/>
        <v>0.48860992698265304</v>
      </c>
      <c r="H12" s="7">
        <f t="shared" si="1"/>
        <v>0.048860992698265306</v>
      </c>
      <c r="I12" s="59"/>
      <c r="J12" s="64">
        <v>0.8570861818692639</v>
      </c>
      <c r="K12" s="15">
        <f t="shared" si="2"/>
        <v>0.8570861818692639</v>
      </c>
      <c r="L12" s="7">
        <f t="shared" si="3"/>
        <v>0.08570861818692639</v>
      </c>
      <c r="M12" s="59"/>
      <c r="N12" s="64">
        <v>2.2077331220589644</v>
      </c>
      <c r="O12" s="15">
        <f t="shared" si="4"/>
        <v>2.2077331220589644</v>
      </c>
      <c r="P12" s="7">
        <f t="shared" si="5"/>
        <v>0.22077331220589647</v>
      </c>
      <c r="Q12" s="59"/>
      <c r="R12" s="64">
        <v>2.1567141152245557</v>
      </c>
      <c r="S12" s="15">
        <f t="shared" si="6"/>
        <v>2.1567141152245557</v>
      </c>
      <c r="T12" s="7">
        <f t="shared" si="7"/>
        <v>0.21567141152245559</v>
      </c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40" s="62" customFormat="1" ht="12.75">
      <c r="A13" s="62" t="s">
        <v>179</v>
      </c>
      <c r="B13" s="62">
        <v>9</v>
      </c>
      <c r="C13" s="62" t="s">
        <v>219</v>
      </c>
      <c r="D13" s="5">
        <v>0.1</v>
      </c>
      <c r="E13" s="59"/>
      <c r="F13" s="64">
        <v>0.5712616595618958</v>
      </c>
      <c r="G13" s="15">
        <f t="shared" si="0"/>
        <v>0.5712616595618958</v>
      </c>
      <c r="H13" s="7">
        <f t="shared" si="1"/>
        <v>0.05712616595618958</v>
      </c>
      <c r="I13" s="59"/>
      <c r="J13" s="64">
        <v>0.9314267653118561</v>
      </c>
      <c r="K13" s="15">
        <f t="shared" si="2"/>
        <v>0.9314267653118561</v>
      </c>
      <c r="L13" s="7">
        <f t="shared" si="3"/>
        <v>0.09314267653118562</v>
      </c>
      <c r="M13" s="59"/>
      <c r="N13" s="64">
        <v>2.7645395179103</v>
      </c>
      <c r="O13" s="15">
        <f t="shared" si="4"/>
        <v>2.7645395179103</v>
      </c>
      <c r="P13" s="7">
        <f t="shared" si="5"/>
        <v>0.27645395179103</v>
      </c>
      <c r="Q13" s="59"/>
      <c r="R13" s="64">
        <v>2.5574213605080414</v>
      </c>
      <c r="S13" s="15">
        <f t="shared" si="6"/>
        <v>2.5574213605080414</v>
      </c>
      <c r="T13" s="7">
        <f t="shared" si="7"/>
        <v>0.25574213605080415</v>
      </c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</row>
    <row r="14" spans="1:40" s="62" customFormat="1" ht="12.75">
      <c r="A14" s="62" t="s">
        <v>179</v>
      </c>
      <c r="B14" s="62">
        <v>10</v>
      </c>
      <c r="C14" s="62" t="s">
        <v>220</v>
      </c>
      <c r="D14" s="5">
        <v>0</v>
      </c>
      <c r="E14" s="59"/>
      <c r="F14" s="64">
        <v>37.441495589414586</v>
      </c>
      <c r="G14" s="15">
        <f t="shared" si="0"/>
        <v>37.441495589414586</v>
      </c>
      <c r="H14" s="7">
        <f t="shared" si="1"/>
        <v>0</v>
      </c>
      <c r="I14" s="59"/>
      <c r="J14" s="64">
        <v>69.879280647125</v>
      </c>
      <c r="K14" s="15">
        <f t="shared" si="2"/>
        <v>69.879280647125</v>
      </c>
      <c r="L14" s="7">
        <f t="shared" si="3"/>
        <v>0</v>
      </c>
      <c r="M14" s="59"/>
      <c r="N14" s="64">
        <v>134.46408335734182</v>
      </c>
      <c r="O14" s="15">
        <f t="shared" si="4"/>
        <v>134.46408335734182</v>
      </c>
      <c r="P14" s="7">
        <f t="shared" si="5"/>
        <v>0</v>
      </c>
      <c r="Q14" s="59"/>
      <c r="R14" s="64">
        <v>149.06080330697</v>
      </c>
      <c r="S14" s="15">
        <f t="shared" si="6"/>
        <v>149.06080330697</v>
      </c>
      <c r="T14" s="7">
        <f t="shared" si="7"/>
        <v>0</v>
      </c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</row>
    <row r="15" spans="1:40" s="62" customFormat="1" ht="12.75">
      <c r="A15" s="62" t="s">
        <v>179</v>
      </c>
      <c r="B15" s="62">
        <v>11</v>
      </c>
      <c r="C15" s="62" t="s">
        <v>221</v>
      </c>
      <c r="D15" s="5">
        <v>0</v>
      </c>
      <c r="E15" s="59"/>
      <c r="F15" s="64">
        <v>38.72846389228886</v>
      </c>
      <c r="G15" s="15">
        <f t="shared" si="0"/>
        <v>38.72846389228886</v>
      </c>
      <c r="H15" s="7">
        <f t="shared" si="1"/>
        <v>0</v>
      </c>
      <c r="I15" s="59"/>
      <c r="J15" s="64">
        <v>72.071604701255</v>
      </c>
      <c r="K15" s="15">
        <f t="shared" si="2"/>
        <v>72.071604701255</v>
      </c>
      <c r="L15" s="7">
        <f t="shared" si="3"/>
        <v>0</v>
      </c>
      <c r="M15" s="59"/>
      <c r="N15" s="64">
        <v>140.71777345625662</v>
      </c>
      <c r="O15" s="15">
        <f t="shared" si="4"/>
        <v>140.71777345625662</v>
      </c>
      <c r="P15" s="7">
        <f t="shared" si="5"/>
        <v>0</v>
      </c>
      <c r="Q15" s="59"/>
      <c r="R15" s="64">
        <v>154.96483684663</v>
      </c>
      <c r="S15" s="15">
        <f t="shared" si="6"/>
        <v>154.96483684663</v>
      </c>
      <c r="T15" s="7">
        <f t="shared" si="7"/>
        <v>0</v>
      </c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</row>
    <row r="16" spans="1:40" s="62" customFormat="1" ht="12.75">
      <c r="A16" s="62" t="s">
        <v>179</v>
      </c>
      <c r="B16" s="62">
        <v>12</v>
      </c>
      <c r="C16" s="62" t="s">
        <v>222</v>
      </c>
      <c r="D16" s="5">
        <v>0.01</v>
      </c>
      <c r="E16" s="59"/>
      <c r="F16" s="64">
        <v>1.581594352762419</v>
      </c>
      <c r="G16" s="15">
        <f t="shared" si="0"/>
        <v>1.581594352762419</v>
      </c>
      <c r="H16" s="7">
        <f t="shared" si="1"/>
        <v>0.01581594352762419</v>
      </c>
      <c r="I16" s="59"/>
      <c r="J16" s="64">
        <v>2.7312209683461317</v>
      </c>
      <c r="K16" s="15">
        <f t="shared" si="2"/>
        <v>2.7312209683461317</v>
      </c>
      <c r="L16" s="7">
        <f t="shared" si="3"/>
        <v>0.02731220968346132</v>
      </c>
      <c r="M16" s="59"/>
      <c r="N16" s="64">
        <v>7.6102524088479155</v>
      </c>
      <c r="O16" s="15">
        <f t="shared" si="4"/>
        <v>7.6102524088479155</v>
      </c>
      <c r="P16" s="7">
        <f t="shared" si="5"/>
        <v>0.07610252408847916</v>
      </c>
      <c r="Q16" s="59"/>
      <c r="R16" s="64">
        <v>6.526676828325676</v>
      </c>
      <c r="S16" s="15">
        <f t="shared" si="6"/>
        <v>6.526676828325676</v>
      </c>
      <c r="T16" s="7">
        <f t="shared" si="7"/>
        <v>0.06526676828325675</v>
      </c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</row>
    <row r="17" spans="1:40" s="62" customFormat="1" ht="12.75">
      <c r="A17" s="62" t="s">
        <v>179</v>
      </c>
      <c r="B17" s="62">
        <v>13</v>
      </c>
      <c r="C17" s="62" t="s">
        <v>223</v>
      </c>
      <c r="D17" s="5">
        <v>0</v>
      </c>
      <c r="E17" s="59"/>
      <c r="F17" s="64">
        <v>2.577326108977335</v>
      </c>
      <c r="G17" s="15">
        <f t="shared" si="0"/>
        <v>2.577326108977335</v>
      </c>
      <c r="H17" s="7">
        <f t="shared" si="1"/>
        <v>0</v>
      </c>
      <c r="I17" s="59"/>
      <c r="J17" s="64">
        <v>4.8532541206218385</v>
      </c>
      <c r="K17" s="15">
        <f t="shared" si="2"/>
        <v>4.8532541206218385</v>
      </c>
      <c r="L17" s="7">
        <f t="shared" si="3"/>
        <v>0</v>
      </c>
      <c r="M17" s="59"/>
      <c r="N17" s="64">
        <v>11.696324306155763</v>
      </c>
      <c r="O17" s="15">
        <f t="shared" si="4"/>
        <v>11.696324306155763</v>
      </c>
      <c r="P17" s="7">
        <f t="shared" si="5"/>
        <v>0</v>
      </c>
      <c r="Q17" s="59"/>
      <c r="R17" s="64">
        <v>10.8473628639801</v>
      </c>
      <c r="S17" s="15">
        <f t="shared" si="6"/>
        <v>10.8473628639801</v>
      </c>
      <c r="T17" s="7">
        <f t="shared" si="7"/>
        <v>0</v>
      </c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</row>
    <row r="18" spans="1:40" s="62" customFormat="1" ht="12.75">
      <c r="A18" s="62" t="s">
        <v>179</v>
      </c>
      <c r="B18" s="62">
        <v>14</v>
      </c>
      <c r="C18" s="62" t="s">
        <v>224</v>
      </c>
      <c r="D18" s="5">
        <v>0</v>
      </c>
      <c r="E18" s="59"/>
      <c r="F18" s="64">
        <v>4.158920461739754</v>
      </c>
      <c r="G18" s="15">
        <f t="shared" si="0"/>
        <v>4.158920461739754</v>
      </c>
      <c r="H18" s="7">
        <f t="shared" si="1"/>
        <v>0</v>
      </c>
      <c r="I18" s="59"/>
      <c r="J18" s="64">
        <v>7.58447508896797</v>
      </c>
      <c r="K18" s="15">
        <f t="shared" si="2"/>
        <v>7.58447508896797</v>
      </c>
      <c r="L18" s="7">
        <f t="shared" si="3"/>
        <v>0</v>
      </c>
      <c r="M18" s="59"/>
      <c r="N18" s="64">
        <v>19.30657671500368</v>
      </c>
      <c r="O18" s="15">
        <f t="shared" si="4"/>
        <v>19.30657671500368</v>
      </c>
      <c r="P18" s="7">
        <f t="shared" si="5"/>
        <v>0</v>
      </c>
      <c r="Q18" s="59"/>
      <c r="R18" s="64">
        <v>17.374039692305786</v>
      </c>
      <c r="S18" s="15">
        <f t="shared" si="6"/>
        <v>17.374039692305786</v>
      </c>
      <c r="T18" s="7">
        <f t="shared" si="7"/>
        <v>0</v>
      </c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</row>
    <row r="19" spans="1:40" s="62" customFormat="1" ht="12.75">
      <c r="A19" s="62" t="s">
        <v>179</v>
      </c>
      <c r="B19" s="62">
        <v>15</v>
      </c>
      <c r="C19" s="62" t="s">
        <v>225</v>
      </c>
      <c r="D19" s="5">
        <v>0.001</v>
      </c>
      <c r="E19" s="59"/>
      <c r="F19" s="64">
        <v>0.4515861224834338</v>
      </c>
      <c r="G19" s="15">
        <f t="shared" si="0"/>
        <v>0.4515861224834338</v>
      </c>
      <c r="H19" s="7">
        <f t="shared" si="1"/>
        <v>0.00045158612248343385</v>
      </c>
      <c r="I19" s="59"/>
      <c r="J19" s="64">
        <v>0.5822863598052069</v>
      </c>
      <c r="K19" s="15">
        <f t="shared" si="2"/>
        <v>0.5822863598052069</v>
      </c>
      <c r="L19" s="7">
        <f t="shared" si="3"/>
        <v>0.0005822863598052069</v>
      </c>
      <c r="M19" s="59"/>
      <c r="N19" s="64">
        <v>2.691654662441179</v>
      </c>
      <c r="O19" s="15">
        <f t="shared" si="4"/>
        <v>2.691654662441179</v>
      </c>
      <c r="P19" s="7">
        <f t="shared" si="5"/>
        <v>0.002691654662441179</v>
      </c>
      <c r="Q19" s="59"/>
      <c r="R19" s="64">
        <v>1.64408387388</v>
      </c>
      <c r="S19" s="15">
        <f t="shared" si="6"/>
        <v>1.64408387388</v>
      </c>
      <c r="T19" s="7">
        <f t="shared" si="7"/>
        <v>0.0016440838738800002</v>
      </c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</row>
    <row r="20" spans="1:40" s="62" customFormat="1" ht="12.75">
      <c r="A20" s="62" t="s">
        <v>179</v>
      </c>
      <c r="B20" s="62">
        <v>16</v>
      </c>
      <c r="C20" s="62" t="s">
        <v>226</v>
      </c>
      <c r="D20" s="5">
        <v>0.1</v>
      </c>
      <c r="E20" s="59"/>
      <c r="F20" s="64">
        <v>1.763063141012113</v>
      </c>
      <c r="G20" s="15">
        <f t="shared" si="0"/>
        <v>1.763063141012113</v>
      </c>
      <c r="H20" s="7">
        <f t="shared" si="1"/>
        <v>0.1763063141012113</v>
      </c>
      <c r="I20" s="59"/>
      <c r="J20" s="64">
        <v>2.8414301601423486</v>
      </c>
      <c r="K20" s="15">
        <f t="shared" si="2"/>
        <v>2.8414301601423486</v>
      </c>
      <c r="L20" s="7">
        <f t="shared" si="3"/>
        <v>0.28414301601423486</v>
      </c>
      <c r="M20" s="59"/>
      <c r="N20" s="64">
        <v>9.604415954415952</v>
      </c>
      <c r="O20" s="15">
        <f t="shared" si="4"/>
        <v>9.604415954415952</v>
      </c>
      <c r="P20" s="7">
        <f t="shared" si="5"/>
        <v>0.9604415954415952</v>
      </c>
      <c r="Q20" s="59"/>
      <c r="R20" s="64">
        <v>12.27218462270976</v>
      </c>
      <c r="S20" s="15">
        <f t="shared" si="6"/>
        <v>12.27218462270976</v>
      </c>
      <c r="T20" s="7">
        <f t="shared" si="7"/>
        <v>1.227218462270976</v>
      </c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</row>
    <row r="21" spans="1:40" s="62" customFormat="1" ht="12.75">
      <c r="A21" s="62" t="s">
        <v>179</v>
      </c>
      <c r="B21" s="62">
        <v>17</v>
      </c>
      <c r="C21" s="62" t="s">
        <v>227</v>
      </c>
      <c r="D21" s="5">
        <v>0</v>
      </c>
      <c r="E21" s="59"/>
      <c r="F21" s="64">
        <v>9.05232020005909</v>
      </c>
      <c r="G21" s="15">
        <f t="shared" si="0"/>
        <v>9.05232020005909</v>
      </c>
      <c r="H21" s="7">
        <f t="shared" si="1"/>
        <v>0</v>
      </c>
      <c r="I21" s="59"/>
      <c r="J21" s="64">
        <v>15.378376568645812</v>
      </c>
      <c r="K21" s="15">
        <f t="shared" si="2"/>
        <v>15.378376568645812</v>
      </c>
      <c r="L21" s="7">
        <f t="shared" si="3"/>
        <v>0</v>
      </c>
      <c r="M21" s="59"/>
      <c r="N21" s="64">
        <v>49.94787845321554</v>
      </c>
      <c r="O21" s="15">
        <f t="shared" si="4"/>
        <v>49.94787845321554</v>
      </c>
      <c r="P21" s="7">
        <f t="shared" si="5"/>
        <v>0</v>
      </c>
      <c r="Q21" s="59"/>
      <c r="R21" s="64">
        <v>56.108946073126845</v>
      </c>
      <c r="S21" s="15">
        <f t="shared" si="6"/>
        <v>56.108946073126845</v>
      </c>
      <c r="T21" s="7">
        <f t="shared" si="7"/>
        <v>0</v>
      </c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</row>
    <row r="22" spans="1:40" s="62" customFormat="1" ht="12.75">
      <c r="A22" s="62" t="s">
        <v>179</v>
      </c>
      <c r="B22" s="62">
        <v>18</v>
      </c>
      <c r="C22" s="62" t="s">
        <v>228</v>
      </c>
      <c r="D22" s="5">
        <v>0</v>
      </c>
      <c r="E22" s="59"/>
      <c r="F22" s="64">
        <v>10.815383341071202</v>
      </c>
      <c r="G22" s="15">
        <f t="shared" si="0"/>
        <v>10.815383341071202</v>
      </c>
      <c r="H22" s="7">
        <f t="shared" si="1"/>
        <v>0</v>
      </c>
      <c r="I22" s="59"/>
      <c r="J22" s="64">
        <v>18.21980672878816</v>
      </c>
      <c r="K22" s="15">
        <f t="shared" si="2"/>
        <v>18.21980672878816</v>
      </c>
      <c r="L22" s="7">
        <f t="shared" si="3"/>
        <v>0</v>
      </c>
      <c r="M22" s="59"/>
      <c r="N22" s="64">
        <v>59.55229440763149</v>
      </c>
      <c r="O22" s="15">
        <f t="shared" si="4"/>
        <v>59.55229440763149</v>
      </c>
      <c r="P22" s="7">
        <f t="shared" si="5"/>
        <v>0</v>
      </c>
      <c r="Q22" s="59"/>
      <c r="R22" s="64">
        <v>68.3811306958366</v>
      </c>
      <c r="S22" s="15">
        <f t="shared" si="6"/>
        <v>68.3811306958366</v>
      </c>
      <c r="T22" s="7">
        <f t="shared" si="7"/>
        <v>0</v>
      </c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</row>
    <row r="23" spans="1:40" s="62" customFormat="1" ht="12.75">
      <c r="A23" s="62" t="s">
        <v>179</v>
      </c>
      <c r="B23" s="62">
        <v>19</v>
      </c>
      <c r="C23" s="62" t="s">
        <v>229</v>
      </c>
      <c r="D23" s="5">
        <v>0.05</v>
      </c>
      <c r="E23" s="59"/>
      <c r="F23" s="64">
        <v>0.26073101760013506</v>
      </c>
      <c r="G23" s="15">
        <f t="shared" si="0"/>
        <v>0.26073101760013506</v>
      </c>
      <c r="H23" s="7">
        <f t="shared" si="1"/>
        <v>0.013036550880006754</v>
      </c>
      <c r="I23" s="59"/>
      <c r="J23" s="64">
        <v>0.44662202659674</v>
      </c>
      <c r="K23" s="15">
        <f t="shared" si="2"/>
        <v>0.44662202659674</v>
      </c>
      <c r="L23" s="7">
        <f t="shared" si="3"/>
        <v>0.022331101329837</v>
      </c>
      <c r="M23" s="59"/>
      <c r="N23" s="64">
        <v>1.5427294407631487</v>
      </c>
      <c r="O23" s="15">
        <f t="shared" si="4"/>
        <v>1.5427294407631487</v>
      </c>
      <c r="P23" s="7">
        <f t="shared" si="5"/>
        <v>0.07713647203815743</v>
      </c>
      <c r="Q23" s="59"/>
      <c r="R23" s="64">
        <v>1.752186972464583</v>
      </c>
      <c r="S23" s="15">
        <f t="shared" si="6"/>
        <v>1.752186972464583</v>
      </c>
      <c r="T23" s="7">
        <f t="shared" si="7"/>
        <v>0.08760934862322917</v>
      </c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</row>
    <row r="24" spans="1:40" s="62" customFormat="1" ht="12.75">
      <c r="A24" s="62" t="s">
        <v>179</v>
      </c>
      <c r="B24" s="62">
        <v>21</v>
      </c>
      <c r="C24" s="62" t="s">
        <v>230</v>
      </c>
      <c r="D24" s="5">
        <v>0.5</v>
      </c>
      <c r="E24" s="59"/>
      <c r="F24" s="64">
        <v>0.6455699995779344</v>
      </c>
      <c r="G24" s="15">
        <f t="shared" si="0"/>
        <v>0.6455699995779344</v>
      </c>
      <c r="H24" s="7">
        <f t="shared" si="1"/>
        <v>0.3227849997889672</v>
      </c>
      <c r="I24" s="59"/>
      <c r="J24" s="64">
        <v>1.098910025285634</v>
      </c>
      <c r="K24" s="15">
        <f t="shared" si="2"/>
        <v>1.098910025285634</v>
      </c>
      <c r="L24" s="7">
        <f t="shared" si="3"/>
        <v>0.549455012642817</v>
      </c>
      <c r="M24" s="59"/>
      <c r="N24" s="64">
        <v>4.0047120586446425</v>
      </c>
      <c r="O24" s="15">
        <f t="shared" si="4"/>
        <v>4.0047120586446425</v>
      </c>
      <c r="P24" s="7">
        <f t="shared" si="5"/>
        <v>2.0023560293223213</v>
      </c>
      <c r="Q24" s="59"/>
      <c r="R24" s="64">
        <v>4.7744898558611</v>
      </c>
      <c r="S24" s="15">
        <f t="shared" si="6"/>
        <v>4.7744898558611</v>
      </c>
      <c r="T24" s="7">
        <f t="shared" si="7"/>
        <v>2.38724492793055</v>
      </c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</row>
    <row r="25" spans="1:40" s="62" customFormat="1" ht="12.75">
      <c r="A25" s="62" t="s">
        <v>179</v>
      </c>
      <c r="B25" s="62">
        <v>21</v>
      </c>
      <c r="C25" s="62" t="s">
        <v>231</v>
      </c>
      <c r="D25" s="5">
        <v>0</v>
      </c>
      <c r="E25" s="59"/>
      <c r="F25" s="64">
        <v>3.927130587093234</v>
      </c>
      <c r="G25" s="15">
        <f t="shared" si="0"/>
        <v>3.927130587093234</v>
      </c>
      <c r="H25" s="7">
        <f t="shared" si="1"/>
        <v>0</v>
      </c>
      <c r="I25" s="59"/>
      <c r="J25" s="64">
        <v>9.012855637759879</v>
      </c>
      <c r="K25" s="15">
        <f t="shared" si="2"/>
        <v>9.012855637759879</v>
      </c>
      <c r="L25" s="7">
        <f t="shared" si="3"/>
        <v>0</v>
      </c>
      <c r="M25" s="59"/>
      <c r="N25" s="64">
        <v>24.663896091424185</v>
      </c>
      <c r="O25" s="15">
        <f t="shared" si="4"/>
        <v>24.663896091424185</v>
      </c>
      <c r="P25" s="7">
        <f t="shared" si="5"/>
        <v>0</v>
      </c>
      <c r="Q25" s="59"/>
      <c r="R25" s="64">
        <v>34.47877661251925</v>
      </c>
      <c r="S25" s="15">
        <f t="shared" si="6"/>
        <v>34.47877661251925</v>
      </c>
      <c r="T25" s="7">
        <f t="shared" si="7"/>
        <v>0</v>
      </c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</row>
    <row r="26" spans="1:40" s="62" customFormat="1" ht="12.75">
      <c r="A26" s="62" t="s">
        <v>179</v>
      </c>
      <c r="B26" s="62">
        <v>22</v>
      </c>
      <c r="C26" s="62" t="s">
        <v>232</v>
      </c>
      <c r="D26" s="5">
        <v>0</v>
      </c>
      <c r="E26" s="59"/>
      <c r="F26" s="64">
        <v>4.8334316042713</v>
      </c>
      <c r="G26" s="15">
        <f t="shared" si="0"/>
        <v>4.8334316042713</v>
      </c>
      <c r="H26" s="7">
        <f t="shared" si="1"/>
        <v>0</v>
      </c>
      <c r="I26" s="59"/>
      <c r="J26" s="64">
        <v>10.558387689642254</v>
      </c>
      <c r="K26" s="15">
        <f t="shared" si="2"/>
        <v>10.558387689642254</v>
      </c>
      <c r="L26" s="7">
        <f t="shared" si="3"/>
        <v>0</v>
      </c>
      <c r="M26" s="59"/>
      <c r="N26" s="64">
        <v>30.211337590832</v>
      </c>
      <c r="O26" s="15">
        <f t="shared" si="4"/>
        <v>30.211337590832</v>
      </c>
      <c r="P26" s="7">
        <f t="shared" si="5"/>
        <v>0</v>
      </c>
      <c r="Q26" s="59"/>
      <c r="R26" s="64">
        <v>41.005453440845</v>
      </c>
      <c r="S26" s="15">
        <f t="shared" si="6"/>
        <v>41.005453440845</v>
      </c>
      <c r="T26" s="7">
        <f t="shared" si="7"/>
        <v>0</v>
      </c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1:40" s="62" customFormat="1" ht="12.75">
      <c r="A27" s="62" t="s">
        <v>179</v>
      </c>
      <c r="B27" s="62">
        <v>23</v>
      </c>
      <c r="C27" s="62" t="s">
        <v>233</v>
      </c>
      <c r="D27" s="5">
        <v>0.1</v>
      </c>
      <c r="E27" s="59"/>
      <c r="F27" s="64">
        <v>0.31652745536656396</v>
      </c>
      <c r="G27" s="15">
        <f t="shared" si="0"/>
        <v>0.31652745536656396</v>
      </c>
      <c r="H27" s="7">
        <f t="shared" si="1"/>
        <v>0.031652745536656396</v>
      </c>
      <c r="I27" s="59"/>
      <c r="J27" s="64">
        <v>0.5574097443341449</v>
      </c>
      <c r="K27" s="15">
        <f t="shared" si="2"/>
        <v>0.5574097443341449</v>
      </c>
      <c r="L27" s="7">
        <f t="shared" si="3"/>
        <v>0.0557409744334145</v>
      </c>
      <c r="M27" s="59"/>
      <c r="N27" s="64">
        <v>2.4501176414097765</v>
      </c>
      <c r="O27" s="15">
        <f t="shared" si="4"/>
        <v>2.4501176414097765</v>
      </c>
      <c r="P27" s="7">
        <f t="shared" si="5"/>
        <v>0.24501176414097767</v>
      </c>
      <c r="Q27" s="59"/>
      <c r="R27" s="64">
        <v>2.4699457082964895</v>
      </c>
      <c r="S27" s="15">
        <f t="shared" si="6"/>
        <v>2.4699457082964895</v>
      </c>
      <c r="T27" s="7">
        <f t="shared" si="7"/>
        <v>0.24699457082964896</v>
      </c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</row>
    <row r="28" spans="1:40" s="62" customFormat="1" ht="12.75">
      <c r="A28" s="62" t="s">
        <v>179</v>
      </c>
      <c r="B28" s="62">
        <v>24</v>
      </c>
      <c r="C28" s="62" t="s">
        <v>234</v>
      </c>
      <c r="D28" s="5">
        <v>0.1</v>
      </c>
      <c r="E28" s="59"/>
      <c r="F28" s="64">
        <v>0.15591714852488</v>
      </c>
      <c r="G28" s="15">
        <f t="shared" si="0"/>
        <v>0.15591714852488</v>
      </c>
      <c r="H28" s="7">
        <f t="shared" si="1"/>
        <v>0.015591714852488002</v>
      </c>
      <c r="I28" s="59"/>
      <c r="J28" s="64">
        <v>0.2759568739464319</v>
      </c>
      <c r="K28" s="15">
        <f t="shared" si="2"/>
        <v>0.2759568739464319</v>
      </c>
      <c r="L28" s="7">
        <f t="shared" si="3"/>
        <v>0.027595687394643194</v>
      </c>
      <c r="M28" s="59"/>
      <c r="N28" s="64">
        <v>1.2252000704247896</v>
      </c>
      <c r="O28" s="15">
        <f t="shared" si="4"/>
        <v>1.2252000704247896</v>
      </c>
      <c r="P28" s="7">
        <f t="shared" si="5"/>
        <v>0.12252000704247897</v>
      </c>
      <c r="Q28" s="59"/>
      <c r="R28" s="64">
        <v>1.2277150489429196</v>
      </c>
      <c r="S28" s="15">
        <f t="shared" si="6"/>
        <v>1.2277150489429196</v>
      </c>
      <c r="T28" s="7">
        <f t="shared" si="7"/>
        <v>0.12277150489429196</v>
      </c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</row>
    <row r="29" spans="1:40" s="62" customFormat="1" ht="12.75">
      <c r="A29" s="62" t="s">
        <v>179</v>
      </c>
      <c r="B29" s="62">
        <v>25</v>
      </c>
      <c r="C29" s="62" t="s">
        <v>235</v>
      </c>
      <c r="D29" s="5">
        <v>0.1</v>
      </c>
      <c r="E29" s="59"/>
      <c r="F29" s="64">
        <v>0.030505529059215802</v>
      </c>
      <c r="G29" s="15">
        <f t="shared" si="0"/>
        <v>0.030505529059215802</v>
      </c>
      <c r="H29" s="7">
        <f t="shared" si="1"/>
        <v>0.0030505529059215806</v>
      </c>
      <c r="I29" s="59"/>
      <c r="J29" s="64">
        <v>0.06161301273646749</v>
      </c>
      <c r="K29" s="15">
        <f t="shared" si="2"/>
        <v>0.06161301273646749</v>
      </c>
      <c r="L29" s="7">
        <f t="shared" si="3"/>
        <v>0.0061613012736467495</v>
      </c>
      <c r="M29" s="59"/>
      <c r="N29" s="64">
        <v>0.18983962354748873</v>
      </c>
      <c r="O29" s="15">
        <f t="shared" si="4"/>
        <v>0.18983962354748873</v>
      </c>
      <c r="P29" s="7">
        <f t="shared" si="5"/>
        <v>0.018983962354748876</v>
      </c>
      <c r="Q29" s="59"/>
      <c r="R29" s="64">
        <v>0.22346400237449</v>
      </c>
      <c r="S29" s="15">
        <f t="shared" si="6"/>
        <v>0.22346400237449</v>
      </c>
      <c r="T29" s="7">
        <f t="shared" si="7"/>
        <v>0.022346400237449</v>
      </c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</row>
    <row r="30" spans="1:40" s="62" customFormat="1" ht="12.75">
      <c r="A30" s="62" t="s">
        <v>179</v>
      </c>
      <c r="B30" s="62">
        <v>26</v>
      </c>
      <c r="C30" s="62" t="s">
        <v>236</v>
      </c>
      <c r="D30" s="5">
        <v>0.1</v>
      </c>
      <c r="E30" s="59"/>
      <c r="F30" s="64">
        <v>0.2573415143713333</v>
      </c>
      <c r="G30" s="15">
        <f t="shared" si="0"/>
        <v>0.2573415143713333</v>
      </c>
      <c r="H30" s="7">
        <f t="shared" si="1"/>
        <v>0.02573415143713333</v>
      </c>
      <c r="I30" s="59"/>
      <c r="J30" s="64">
        <v>0.4269521445963663</v>
      </c>
      <c r="K30" s="15">
        <f t="shared" si="2"/>
        <v>0.4269521445963663</v>
      </c>
      <c r="L30" s="7">
        <f t="shared" si="3"/>
        <v>0.042695214459636636</v>
      </c>
      <c r="M30" s="59"/>
      <c r="N30" s="64">
        <v>1.997271039405871</v>
      </c>
      <c r="O30" s="15">
        <f t="shared" si="4"/>
        <v>1.997271039405871</v>
      </c>
      <c r="P30" s="7">
        <f t="shared" si="5"/>
        <v>0.19972710394058713</v>
      </c>
      <c r="Q30" s="59"/>
      <c r="R30" s="64">
        <v>1.9878746467638304</v>
      </c>
      <c r="S30" s="15">
        <f t="shared" si="6"/>
        <v>1.9878746467638304</v>
      </c>
      <c r="T30" s="7">
        <f t="shared" si="7"/>
        <v>0.19878746467638306</v>
      </c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spans="1:40" s="62" customFormat="1" ht="12.75">
      <c r="A31" s="62" t="s">
        <v>179</v>
      </c>
      <c r="B31" s="62">
        <v>27</v>
      </c>
      <c r="C31" s="62" t="s">
        <v>237</v>
      </c>
      <c r="D31" s="5">
        <v>0</v>
      </c>
      <c r="E31" s="59"/>
      <c r="F31" s="64">
        <v>1.1918014814502176</v>
      </c>
      <c r="G31" s="15">
        <f t="shared" si="0"/>
        <v>1.1918014814502176</v>
      </c>
      <c r="H31" s="7">
        <f t="shared" si="1"/>
        <v>0</v>
      </c>
      <c r="I31" s="59"/>
      <c r="J31" s="64">
        <v>2.078643706686645</v>
      </c>
      <c r="K31" s="15">
        <f t="shared" si="2"/>
        <v>2.078643706686645</v>
      </c>
      <c r="L31" s="7">
        <f t="shared" si="3"/>
        <v>0</v>
      </c>
      <c r="M31" s="59"/>
      <c r="N31" s="64">
        <v>9.452996254681644</v>
      </c>
      <c r="O31" s="15">
        <f t="shared" si="4"/>
        <v>9.452996254681644</v>
      </c>
      <c r="P31" s="7">
        <f t="shared" si="5"/>
        <v>0</v>
      </c>
      <c r="Q31" s="59"/>
      <c r="R31" s="64">
        <v>8.950401777156673</v>
      </c>
      <c r="S31" s="15">
        <f t="shared" si="6"/>
        <v>8.950401777156673</v>
      </c>
      <c r="T31" s="7">
        <f t="shared" si="7"/>
        <v>0</v>
      </c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</row>
    <row r="32" spans="1:40" s="62" customFormat="1" ht="12.75">
      <c r="A32" s="62" t="s">
        <v>179</v>
      </c>
      <c r="B32" s="62">
        <v>28</v>
      </c>
      <c r="C32" s="62" t="s">
        <v>238</v>
      </c>
      <c r="D32" s="5">
        <v>0</v>
      </c>
      <c r="E32" s="59"/>
      <c r="F32" s="64">
        <v>1.9520931287722114</v>
      </c>
      <c r="G32" s="15">
        <f t="shared" si="0"/>
        <v>1.9520931287722114</v>
      </c>
      <c r="H32" s="7">
        <f t="shared" si="1"/>
        <v>0</v>
      </c>
      <c r="I32" s="59"/>
      <c r="J32" s="64">
        <v>3.400575482300056</v>
      </c>
      <c r="K32" s="15">
        <f t="shared" si="2"/>
        <v>3.400575482300056</v>
      </c>
      <c r="L32" s="7">
        <f t="shared" si="3"/>
        <v>0</v>
      </c>
      <c r="M32" s="59"/>
      <c r="N32" s="64">
        <v>15.31542462946957</v>
      </c>
      <c r="O32" s="15">
        <f t="shared" si="4"/>
        <v>15.31542462946957</v>
      </c>
      <c r="P32" s="7">
        <f t="shared" si="5"/>
        <v>0</v>
      </c>
      <c r="Q32" s="59"/>
      <c r="R32" s="64">
        <v>14.8594011835344</v>
      </c>
      <c r="S32" s="15">
        <f t="shared" si="6"/>
        <v>14.8594011835344</v>
      </c>
      <c r="T32" s="7">
        <f t="shared" si="7"/>
        <v>0</v>
      </c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s="62" customFormat="1" ht="12.75">
      <c r="A33" s="62" t="s">
        <v>179</v>
      </c>
      <c r="B33" s="62">
        <v>29</v>
      </c>
      <c r="C33" s="62" t="s">
        <v>239</v>
      </c>
      <c r="D33" s="5">
        <v>0.01</v>
      </c>
      <c r="E33" s="59"/>
      <c r="F33" s="64">
        <v>0.21119212425611</v>
      </c>
      <c r="G33" s="15">
        <f t="shared" si="0"/>
        <v>0.21119212425611</v>
      </c>
      <c r="H33" s="7">
        <f t="shared" si="1"/>
        <v>0.0021119212425611002</v>
      </c>
      <c r="I33" s="59"/>
      <c r="J33" s="64">
        <v>0.33496651994755566</v>
      </c>
      <c r="K33" s="15">
        <f t="shared" si="2"/>
        <v>0.33496651994755566</v>
      </c>
      <c r="L33" s="7">
        <f t="shared" si="3"/>
        <v>0.0033496651994755567</v>
      </c>
      <c r="M33" s="59"/>
      <c r="N33" s="64">
        <v>1.5503569256378245</v>
      </c>
      <c r="O33" s="15">
        <f t="shared" si="4"/>
        <v>1.5503569256378245</v>
      </c>
      <c r="P33" s="7">
        <f t="shared" si="5"/>
        <v>0.015503569256378245</v>
      </c>
      <c r="Q33" s="59"/>
      <c r="R33" s="64">
        <v>1.2949452445291</v>
      </c>
      <c r="S33" s="15">
        <f t="shared" si="6"/>
        <v>1.2949452445291</v>
      </c>
      <c r="T33" s="7">
        <f t="shared" si="7"/>
        <v>0.012949452445291</v>
      </c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</row>
    <row r="34" spans="1:40" s="62" customFormat="1" ht="12.75">
      <c r="A34" s="62" t="s">
        <v>179</v>
      </c>
      <c r="B34" s="62">
        <v>30</v>
      </c>
      <c r="C34" s="62" t="s">
        <v>240</v>
      </c>
      <c r="D34" s="5">
        <v>0.01</v>
      </c>
      <c r="E34" s="59"/>
      <c r="F34" s="64">
        <v>0.063879099312033</v>
      </c>
      <c r="G34" s="15">
        <f t="shared" si="0"/>
        <v>0.063879099312033</v>
      </c>
      <c r="H34" s="7">
        <f t="shared" si="1"/>
        <v>0.0006387909931203301</v>
      </c>
      <c r="I34" s="59"/>
      <c r="J34" s="64">
        <v>0.10847361397265405</v>
      </c>
      <c r="K34" s="15">
        <f t="shared" si="2"/>
        <v>0.10847361397265405</v>
      </c>
      <c r="L34" s="7">
        <f t="shared" si="3"/>
        <v>0.0010847361397265404</v>
      </c>
      <c r="M34" s="59"/>
      <c r="N34" s="64">
        <v>0.5788413521559588</v>
      </c>
      <c r="O34" s="15">
        <f t="shared" si="4"/>
        <v>0.5788413521559588</v>
      </c>
      <c r="P34" s="7">
        <f t="shared" si="5"/>
        <v>0.005788413521559588</v>
      </c>
      <c r="Q34" s="59"/>
      <c r="R34" s="64">
        <v>0.4511298919731138</v>
      </c>
      <c r="S34" s="15">
        <f t="shared" si="6"/>
        <v>0.4511298919731138</v>
      </c>
      <c r="T34" s="7">
        <f t="shared" si="7"/>
        <v>0.004511298919731138</v>
      </c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</row>
    <row r="35" spans="1:40" s="62" customFormat="1" ht="12.75">
      <c r="A35" s="62" t="s">
        <v>179</v>
      </c>
      <c r="B35" s="62">
        <v>31</v>
      </c>
      <c r="C35" s="62" t="s">
        <v>241</v>
      </c>
      <c r="D35" s="5">
        <v>0</v>
      </c>
      <c r="E35" s="59"/>
      <c r="F35" s="64">
        <v>0.18850852572489762</v>
      </c>
      <c r="G35" s="15">
        <f t="shared" si="0"/>
        <v>0.18850852572489762</v>
      </c>
      <c r="H35" s="7">
        <f t="shared" si="1"/>
        <v>0</v>
      </c>
      <c r="I35" s="59"/>
      <c r="J35" s="64">
        <v>0.18050009365049635</v>
      </c>
      <c r="K35" s="15">
        <f t="shared" si="2"/>
        <v>0.18050009365049635</v>
      </c>
      <c r="L35" s="7">
        <f t="shared" si="3"/>
        <v>0</v>
      </c>
      <c r="M35" s="59"/>
      <c r="N35" s="64">
        <v>1.6701366881142161</v>
      </c>
      <c r="O35" s="15">
        <f t="shared" si="4"/>
        <v>1.6701366881142161</v>
      </c>
      <c r="P35" s="7">
        <f t="shared" si="5"/>
        <v>0</v>
      </c>
      <c r="Q35" s="59"/>
      <c r="R35" s="64">
        <v>1.27737371613725</v>
      </c>
      <c r="S35" s="15">
        <f t="shared" si="6"/>
        <v>1.27737371613725</v>
      </c>
      <c r="T35" s="7">
        <f t="shared" si="7"/>
        <v>0</v>
      </c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</row>
    <row r="36" spans="1:40" s="62" customFormat="1" ht="12.75">
      <c r="A36" s="62" t="s">
        <v>179</v>
      </c>
      <c r="B36" s="62">
        <v>32</v>
      </c>
      <c r="C36" s="62" t="s">
        <v>242</v>
      </c>
      <c r="D36" s="5">
        <v>0</v>
      </c>
      <c r="E36" s="59"/>
      <c r="F36" s="64">
        <v>0.46357974929304</v>
      </c>
      <c r="G36" s="15">
        <f t="shared" si="0"/>
        <v>0.46357974929304</v>
      </c>
      <c r="H36" s="7">
        <f t="shared" si="1"/>
        <v>0</v>
      </c>
      <c r="I36" s="59"/>
      <c r="J36" s="64">
        <v>0.6239402275707061</v>
      </c>
      <c r="K36" s="15">
        <f t="shared" si="2"/>
        <v>0.6239402275707061</v>
      </c>
      <c r="L36" s="7">
        <f t="shared" si="3"/>
        <v>0</v>
      </c>
      <c r="M36" s="59"/>
      <c r="N36" s="64">
        <v>3.799334965908</v>
      </c>
      <c r="O36" s="15">
        <f t="shared" si="4"/>
        <v>3.799334965908</v>
      </c>
      <c r="P36" s="7">
        <f t="shared" si="5"/>
        <v>0</v>
      </c>
      <c r="Q36" s="59"/>
      <c r="R36" s="64">
        <v>3.0234488526394547</v>
      </c>
      <c r="S36" s="15">
        <f t="shared" si="6"/>
        <v>3.0234488526394547</v>
      </c>
      <c r="T36" s="7">
        <f t="shared" si="7"/>
        <v>0</v>
      </c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</row>
    <row r="37" spans="1:40" s="62" customFormat="1" ht="12.75">
      <c r="A37" s="62" t="s">
        <v>179</v>
      </c>
      <c r="B37" s="62">
        <v>33</v>
      </c>
      <c r="C37" s="62" t="s">
        <v>243</v>
      </c>
      <c r="D37" s="5">
        <v>0.001</v>
      </c>
      <c r="E37" s="59"/>
      <c r="F37" s="64">
        <v>0.09620974549444983</v>
      </c>
      <c r="G37" s="15">
        <f t="shared" si="0"/>
        <v>0.09620974549444983</v>
      </c>
      <c r="H37" s="7">
        <f t="shared" si="1"/>
        <v>9.620974549444984E-05</v>
      </c>
      <c r="I37" s="59"/>
      <c r="J37" s="64">
        <v>0.16198726353249673</v>
      </c>
      <c r="K37" s="15">
        <f t="shared" si="2"/>
        <v>0.16198726353249673</v>
      </c>
      <c r="L37" s="7">
        <f t="shared" si="3"/>
        <v>0.00016198726353249673</v>
      </c>
      <c r="M37" s="59"/>
      <c r="N37" s="64">
        <v>0.56189138576779</v>
      </c>
      <c r="O37" s="15">
        <f t="shared" si="4"/>
        <v>0.56189138576779</v>
      </c>
      <c r="P37" s="7">
        <f t="shared" si="5"/>
        <v>0.00056189138576779</v>
      </c>
      <c r="Q37" s="59"/>
      <c r="R37" s="64">
        <v>0.45838769717844</v>
      </c>
      <c r="S37" s="15">
        <f t="shared" si="6"/>
        <v>0.45838769717844</v>
      </c>
      <c r="T37" s="7">
        <f t="shared" si="7"/>
        <v>0.00045838769717844</v>
      </c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</row>
    <row r="38" spans="1:40" s="62" customFormat="1" ht="12.75">
      <c r="A38" s="62" t="s">
        <v>179</v>
      </c>
      <c r="B38" s="62">
        <v>34</v>
      </c>
      <c r="C38" s="62" t="s">
        <v>244</v>
      </c>
      <c r="D38" s="59"/>
      <c r="E38" s="59"/>
      <c r="F38" s="64">
        <v>114.1433463470223</v>
      </c>
      <c r="G38" s="67">
        <f>G37+G36+G32+G26+G22+G19+G18+G15+G10+G7</f>
        <v>114.14334634702232</v>
      </c>
      <c r="H38" s="59"/>
      <c r="I38" s="59"/>
      <c r="J38" s="64">
        <v>223.70412167540738</v>
      </c>
      <c r="K38" s="67">
        <f>K37+K36+K32+K26+K22+K19+K18+K15+K10+K7</f>
        <v>223.7041216754074</v>
      </c>
      <c r="L38" s="59"/>
      <c r="M38" s="59"/>
      <c r="N38" s="64">
        <v>468.1140017286085</v>
      </c>
      <c r="O38" s="67">
        <f>O37+O36+O32+O26+O22+O19+O18+O15+O10+O7</f>
        <v>468.11400172860846</v>
      </c>
      <c r="P38" s="59"/>
      <c r="Q38" s="59"/>
      <c r="R38" s="64">
        <v>475.81750737390155</v>
      </c>
      <c r="S38" s="67">
        <f>S37+S36+S32+S26+S22+S19+S18+S15+S10+S7</f>
        <v>475.8175073739027</v>
      </c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</row>
    <row r="39" spans="1:40" s="62" customFormat="1" ht="12.75">
      <c r="A39" s="62" t="s">
        <v>179</v>
      </c>
      <c r="B39" s="62">
        <v>35</v>
      </c>
      <c r="C39" s="62" t="s">
        <v>33</v>
      </c>
      <c r="D39" s="59"/>
      <c r="E39" s="61">
        <f>(F39-H39)*2/F39*100</f>
        <v>1.2613983868720957E-13</v>
      </c>
      <c r="F39" s="64">
        <v>0.88015256415397</v>
      </c>
      <c r="G39" s="59"/>
      <c r="H39" s="64">
        <f>SUM(H5:H37)</f>
        <v>0.8801525641539695</v>
      </c>
      <c r="I39" s="61">
        <f>(J39-L39)*2/J39*100</f>
        <v>0</v>
      </c>
      <c r="J39" s="64">
        <v>1.4896241727149282</v>
      </c>
      <c r="K39" s="59"/>
      <c r="L39" s="64">
        <f>SUM(L5:L37)</f>
        <v>1.4896241727149282</v>
      </c>
      <c r="M39" s="61">
        <f>(N39-P39)*2/N39*100</f>
        <v>0</v>
      </c>
      <c r="N39" s="64">
        <v>5.034006395051058</v>
      </c>
      <c r="O39" s="59"/>
      <c r="P39" s="64">
        <f>SUM(P5:P37)</f>
        <v>5.034006395051058</v>
      </c>
      <c r="Q39" s="61">
        <f>(R39-T39)*2/R39*100</f>
        <v>-4.629249402064424E-13</v>
      </c>
      <c r="R39" s="64">
        <v>5.7558688842993</v>
      </c>
      <c r="S39" s="59"/>
      <c r="T39" s="64">
        <f>SUM(T5:T37)</f>
        <v>5.755868884299313</v>
      </c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</row>
  </sheetData>
  <mergeCells count="4">
    <mergeCell ref="F1:H1"/>
    <mergeCell ref="J1:L1"/>
    <mergeCell ref="N1:P1"/>
    <mergeCell ref="R1:T1"/>
  </mergeCells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39"/>
  <sheetViews>
    <sheetView workbookViewId="0" topLeftCell="C1">
      <selection activeCell="C25" sqref="C25"/>
    </sheetView>
  </sheetViews>
  <sheetFormatPr defaultColWidth="9.140625" defaultRowHeight="12.75"/>
  <cols>
    <col min="1" max="1" width="9.140625" style="0" hidden="1" customWidth="1"/>
    <col min="2" max="2" width="3.00390625" style="0" hidden="1" customWidth="1"/>
    <col min="3" max="3" width="13.8515625" style="0" customWidth="1"/>
    <col min="5" max="5" width="5.421875" style="0" customWidth="1"/>
    <col min="9" max="9" width="3.8515625" style="0" customWidth="1"/>
  </cols>
  <sheetData>
    <row r="1" spans="3:12" ht="12.75">
      <c r="C1" s="2" t="s">
        <v>181</v>
      </c>
      <c r="D1" s="5" t="s">
        <v>26</v>
      </c>
      <c r="F1" s="84" t="s">
        <v>140</v>
      </c>
      <c r="G1" s="84"/>
      <c r="H1" s="84"/>
      <c r="J1" s="84" t="s">
        <v>141</v>
      </c>
      <c r="K1" s="84"/>
      <c r="L1" s="84"/>
    </row>
    <row r="2" spans="4:12" ht="12.75">
      <c r="D2" s="5" t="s">
        <v>30</v>
      </c>
      <c r="F2" s="3" t="s">
        <v>31</v>
      </c>
      <c r="G2" s="8" t="s">
        <v>31</v>
      </c>
      <c r="H2" s="11" t="s">
        <v>32</v>
      </c>
      <c r="I2" s="3"/>
      <c r="J2" s="3" t="s">
        <v>31</v>
      </c>
      <c r="K2" s="8" t="s">
        <v>31</v>
      </c>
      <c r="L2" s="11" t="s">
        <v>32</v>
      </c>
    </row>
    <row r="3" spans="3:12" ht="12.75">
      <c r="C3" t="s">
        <v>80</v>
      </c>
      <c r="D3" s="5"/>
      <c r="F3" s="3" t="s">
        <v>210</v>
      </c>
      <c r="G3" s="8" t="s">
        <v>74</v>
      </c>
      <c r="H3" s="11" t="s">
        <v>74</v>
      </c>
      <c r="I3" s="3"/>
      <c r="J3" s="3" t="s">
        <v>210</v>
      </c>
      <c r="K3" s="8" t="s">
        <v>74</v>
      </c>
      <c r="L3" s="11" t="s">
        <v>74</v>
      </c>
    </row>
    <row r="4" spans="4:12" ht="12.75">
      <c r="D4" s="4"/>
      <c r="G4" s="6"/>
      <c r="H4" s="7"/>
      <c r="K4" s="6"/>
      <c r="L4" s="7"/>
    </row>
    <row r="5" spans="1:36" s="62" customFormat="1" ht="12.75">
      <c r="A5" s="62" t="s">
        <v>181</v>
      </c>
      <c r="B5" s="62">
        <v>1</v>
      </c>
      <c r="C5" s="62" t="s">
        <v>211</v>
      </c>
      <c r="D5" s="5">
        <v>1</v>
      </c>
      <c r="E5" s="59"/>
      <c r="F5" s="64">
        <v>0.030662118104036667</v>
      </c>
      <c r="G5" s="15">
        <f>IF(F5=0,"",IF(E5=1,F5/2,F5))</f>
        <v>0.030662118104036667</v>
      </c>
      <c r="H5" s="7">
        <f>IF(G5="","",G5*$D5)</f>
        <v>0.030662118104036667</v>
      </c>
      <c r="I5" s="59"/>
      <c r="J5" s="64">
        <v>0.02972080984539833</v>
      </c>
      <c r="K5" s="15">
        <f>IF(J5=0,"",IF(I5=1,J5/2,J5))</f>
        <v>0.02972080984539833</v>
      </c>
      <c r="L5" s="7">
        <f>IF(K5="","",K5*$D5)</f>
        <v>0.02972080984539833</v>
      </c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</row>
    <row r="6" spans="1:36" s="62" customFormat="1" ht="12.75">
      <c r="A6" s="62" t="s">
        <v>181</v>
      </c>
      <c r="B6" s="62">
        <v>2</v>
      </c>
      <c r="C6" s="62" t="s">
        <v>212</v>
      </c>
      <c r="D6" s="5">
        <v>0</v>
      </c>
      <c r="E6" s="59"/>
      <c r="F6" s="64">
        <v>9.06606016916748</v>
      </c>
      <c r="G6" s="15">
        <f aca="true" t="shared" si="0" ref="G6:G37">IF(F6=0,"",IF(E6=1,F6/2,F6))</f>
        <v>9.06606016916748</v>
      </c>
      <c r="H6" s="7">
        <f aca="true" t="shared" si="1" ref="H6:H37">IF(G6="","",G6*$D6)</f>
        <v>0</v>
      </c>
      <c r="I6" s="59"/>
      <c r="J6" s="64">
        <v>2.8316855399368</v>
      </c>
      <c r="K6" s="15">
        <f aca="true" t="shared" si="2" ref="K6:K37">IF(J6=0,"",IF(I6=1,J6/2,J6))</f>
        <v>2.8316855399368</v>
      </c>
      <c r="L6" s="7">
        <f aca="true" t="shared" si="3" ref="L6:L37">IF(K6="","",K6*$D6)</f>
        <v>0</v>
      </c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</row>
    <row r="7" spans="1:36" s="62" customFormat="1" ht="12.75">
      <c r="A7" s="62" t="s">
        <v>181</v>
      </c>
      <c r="B7" s="62">
        <v>3</v>
      </c>
      <c r="C7" s="62" t="s">
        <v>213</v>
      </c>
      <c r="D7" s="5">
        <v>0</v>
      </c>
      <c r="E7" s="59"/>
      <c r="F7" s="64">
        <v>9.096722287271517</v>
      </c>
      <c r="G7" s="15">
        <f t="shared" si="0"/>
        <v>9.096722287271517</v>
      </c>
      <c r="H7" s="7">
        <f t="shared" si="1"/>
        <v>0</v>
      </c>
      <c r="I7" s="59"/>
      <c r="J7" s="64">
        <v>2.8614063497822</v>
      </c>
      <c r="K7" s="15">
        <f t="shared" si="2"/>
        <v>2.8614063497822</v>
      </c>
      <c r="L7" s="7">
        <f t="shared" si="3"/>
        <v>0</v>
      </c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</row>
    <row r="8" spans="1:36" s="62" customFormat="1" ht="12.75">
      <c r="A8" s="62" t="s">
        <v>181</v>
      </c>
      <c r="B8" s="62">
        <v>4</v>
      </c>
      <c r="C8" s="62" t="s">
        <v>214</v>
      </c>
      <c r="D8" s="5">
        <v>0.5</v>
      </c>
      <c r="E8" s="59"/>
      <c r="F8" s="64">
        <v>0.13254681852023273</v>
      </c>
      <c r="G8" s="15">
        <f t="shared" si="0"/>
        <v>0.13254681852023273</v>
      </c>
      <c r="H8" s="7">
        <f t="shared" si="1"/>
        <v>0.06627340926011636</v>
      </c>
      <c r="I8" s="59"/>
      <c r="J8" s="64">
        <v>0.05094995973496856</v>
      </c>
      <c r="K8" s="15">
        <f t="shared" si="2"/>
        <v>0.05094995973496856</v>
      </c>
      <c r="L8" s="7">
        <f t="shared" si="3"/>
        <v>0.02547497986748428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</row>
    <row r="9" spans="1:36" s="62" customFormat="1" ht="12.75">
      <c r="A9" s="62" t="s">
        <v>181</v>
      </c>
      <c r="B9" s="62">
        <v>5</v>
      </c>
      <c r="C9" s="62" t="s">
        <v>215</v>
      </c>
      <c r="D9" s="5">
        <v>0</v>
      </c>
      <c r="E9" s="59"/>
      <c r="F9" s="64">
        <v>15.427738587673</v>
      </c>
      <c r="G9" s="15">
        <f t="shared" si="0"/>
        <v>15.427738587673</v>
      </c>
      <c r="H9" s="7">
        <f t="shared" si="1"/>
        <v>0</v>
      </c>
      <c r="I9" s="59"/>
      <c r="J9" s="64">
        <v>2.721010905179182</v>
      </c>
      <c r="K9" s="15">
        <f t="shared" si="2"/>
        <v>2.721010905179182</v>
      </c>
      <c r="L9" s="7">
        <f t="shared" si="3"/>
        <v>0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</row>
    <row r="10" spans="1:36" s="62" customFormat="1" ht="12.75">
      <c r="A10" s="62" t="s">
        <v>181</v>
      </c>
      <c r="B10" s="62">
        <v>5</v>
      </c>
      <c r="C10" s="62" t="s">
        <v>216</v>
      </c>
      <c r="D10" s="5">
        <v>0</v>
      </c>
      <c r="E10" s="59"/>
      <c r="F10" s="64">
        <v>15.560285406193131</v>
      </c>
      <c r="G10" s="15">
        <f t="shared" si="0"/>
        <v>15.560285406193131</v>
      </c>
      <c r="H10" s="7">
        <f t="shared" si="1"/>
        <v>0</v>
      </c>
      <c r="I10" s="59"/>
      <c r="J10" s="64">
        <v>2.7719608649141505</v>
      </c>
      <c r="K10" s="15">
        <f t="shared" si="2"/>
        <v>2.7719608649141505</v>
      </c>
      <c r="L10" s="7">
        <f t="shared" si="3"/>
        <v>0</v>
      </c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s="62" customFormat="1" ht="12.75">
      <c r="A11" s="62" t="s">
        <v>181</v>
      </c>
      <c r="B11" s="62">
        <v>7</v>
      </c>
      <c r="C11" s="62" t="s">
        <v>217</v>
      </c>
      <c r="D11" s="5">
        <v>0.1</v>
      </c>
      <c r="E11" s="59"/>
      <c r="F11" s="64">
        <v>0.15259950243799325</v>
      </c>
      <c r="G11" s="15">
        <f t="shared" si="0"/>
        <v>0.15259950243799325</v>
      </c>
      <c r="H11" s="7">
        <f t="shared" si="1"/>
        <v>0.015259950243799326</v>
      </c>
      <c r="I11" s="59"/>
      <c r="J11" s="64">
        <v>0.042458299779140465</v>
      </c>
      <c r="K11" s="15">
        <f t="shared" si="2"/>
        <v>0.042458299779140465</v>
      </c>
      <c r="L11" s="7">
        <f t="shared" si="3"/>
        <v>0.004245829977914047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s="62" customFormat="1" ht="12.75">
      <c r="A12" s="62" t="s">
        <v>181</v>
      </c>
      <c r="B12" s="62">
        <v>8</v>
      </c>
      <c r="C12" s="62" t="s">
        <v>218</v>
      </c>
      <c r="D12" s="5">
        <v>0.1</v>
      </c>
      <c r="E12" s="59"/>
      <c r="F12" s="64">
        <v>0.27905940697467874</v>
      </c>
      <c r="G12" s="15">
        <f t="shared" si="0"/>
        <v>0.27905940697467874</v>
      </c>
      <c r="H12" s="7">
        <f t="shared" si="1"/>
        <v>0.027905940697467876</v>
      </c>
      <c r="I12" s="59"/>
      <c r="J12" s="64">
        <v>0.07812327159361847</v>
      </c>
      <c r="K12" s="15">
        <f t="shared" si="2"/>
        <v>0.07812327159361847</v>
      </c>
      <c r="L12" s="7">
        <f t="shared" si="3"/>
        <v>0.0078123271593618475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s="62" customFormat="1" ht="12.75">
      <c r="A13" s="62" t="s">
        <v>181</v>
      </c>
      <c r="B13" s="62">
        <v>9</v>
      </c>
      <c r="C13" s="62" t="s">
        <v>219</v>
      </c>
      <c r="D13" s="5">
        <v>0.1</v>
      </c>
      <c r="E13" s="59"/>
      <c r="F13" s="64">
        <v>0.37659224832787147</v>
      </c>
      <c r="G13" s="15">
        <f t="shared" si="0"/>
        <v>0.37659224832787147</v>
      </c>
      <c r="H13" s="7">
        <f t="shared" si="1"/>
        <v>0.03765922483278715</v>
      </c>
      <c r="I13" s="59"/>
      <c r="J13" s="64">
        <v>0.05689412170404822</v>
      </c>
      <c r="K13" s="15">
        <f t="shared" si="2"/>
        <v>0.05689412170404822</v>
      </c>
      <c r="L13" s="7">
        <f t="shared" si="3"/>
        <v>0.005689412170404823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s="62" customFormat="1" ht="12.75">
      <c r="A14" s="62" t="s">
        <v>181</v>
      </c>
      <c r="B14" s="62">
        <v>10</v>
      </c>
      <c r="C14" s="62" t="s">
        <v>220</v>
      </c>
      <c r="D14" s="5">
        <v>0</v>
      </c>
      <c r="E14" s="59"/>
      <c r="F14" s="64">
        <v>21.249217611900153</v>
      </c>
      <c r="G14" s="15">
        <f t="shared" si="0"/>
        <v>21.249217611900153</v>
      </c>
      <c r="H14" s="7">
        <f t="shared" si="1"/>
        <v>0</v>
      </c>
      <c r="I14" s="59"/>
      <c r="J14" s="64">
        <v>5.6115719541430655</v>
      </c>
      <c r="K14" s="15">
        <f t="shared" si="2"/>
        <v>5.6115719541430655</v>
      </c>
      <c r="L14" s="7">
        <f t="shared" si="3"/>
        <v>0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</row>
    <row r="15" spans="1:36" s="62" customFormat="1" ht="12.75">
      <c r="A15" s="62" t="s">
        <v>181</v>
      </c>
      <c r="B15" s="62">
        <v>11</v>
      </c>
      <c r="C15" s="62" t="s">
        <v>221</v>
      </c>
      <c r="D15" s="5">
        <v>0</v>
      </c>
      <c r="E15" s="59"/>
      <c r="F15" s="64">
        <v>22.057468769640696</v>
      </c>
      <c r="G15" s="15">
        <f t="shared" si="0"/>
        <v>22.057468769640696</v>
      </c>
      <c r="H15" s="7">
        <f t="shared" si="1"/>
        <v>0</v>
      </c>
      <c r="I15" s="59"/>
      <c r="J15" s="64">
        <v>5.789047647219872</v>
      </c>
      <c r="K15" s="15">
        <f t="shared" si="2"/>
        <v>5.789047647219872</v>
      </c>
      <c r="L15" s="7">
        <f t="shared" si="3"/>
        <v>0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</row>
    <row r="16" spans="1:36" s="62" customFormat="1" ht="12.75">
      <c r="A16" s="62" t="s">
        <v>181</v>
      </c>
      <c r="B16" s="62">
        <v>12</v>
      </c>
      <c r="C16" s="62" t="s">
        <v>222</v>
      </c>
      <c r="D16" s="5">
        <v>0.01</v>
      </c>
      <c r="E16" s="59"/>
      <c r="F16" s="64">
        <v>1.0304804051866</v>
      </c>
      <c r="G16" s="15">
        <f t="shared" si="0"/>
        <v>1.0304804051866</v>
      </c>
      <c r="H16" s="7">
        <f t="shared" si="1"/>
        <v>0.010304804051865998</v>
      </c>
      <c r="I16" s="59"/>
      <c r="J16" s="64">
        <v>0.23720036809946474</v>
      </c>
      <c r="K16" s="15">
        <f t="shared" si="2"/>
        <v>0.23720036809946474</v>
      </c>
      <c r="L16" s="7">
        <f t="shared" si="3"/>
        <v>0.0023720036809946475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</row>
    <row r="17" spans="1:36" s="62" customFormat="1" ht="12.75">
      <c r="A17" s="62" t="s">
        <v>181</v>
      </c>
      <c r="B17" s="62">
        <v>13</v>
      </c>
      <c r="C17" s="62" t="s">
        <v>223</v>
      </c>
      <c r="D17" s="5">
        <v>0</v>
      </c>
      <c r="E17" s="59"/>
      <c r="F17" s="64">
        <v>1.83093803754633</v>
      </c>
      <c r="G17" s="15">
        <f t="shared" si="0"/>
        <v>1.83093803754633</v>
      </c>
      <c r="H17" s="7">
        <f t="shared" si="1"/>
        <v>0</v>
      </c>
      <c r="I17" s="59"/>
      <c r="J17" s="64">
        <v>0.43816965372073</v>
      </c>
      <c r="K17" s="15">
        <f t="shared" si="2"/>
        <v>0.43816965372073</v>
      </c>
      <c r="L17" s="7">
        <f t="shared" si="3"/>
        <v>0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</row>
    <row r="18" spans="1:36" s="62" customFormat="1" ht="12.75">
      <c r="A18" s="62" t="s">
        <v>181</v>
      </c>
      <c r="B18" s="62">
        <v>14</v>
      </c>
      <c r="C18" s="62" t="s">
        <v>224</v>
      </c>
      <c r="D18" s="5">
        <v>0</v>
      </c>
      <c r="E18" s="59"/>
      <c r="F18" s="64">
        <v>2.8614184427329215</v>
      </c>
      <c r="G18" s="15">
        <f t="shared" si="0"/>
        <v>2.8614184427329215</v>
      </c>
      <c r="H18" s="7">
        <f t="shared" si="1"/>
        <v>0</v>
      </c>
      <c r="I18" s="59"/>
      <c r="J18" s="64">
        <v>0.6753700218201943</v>
      </c>
      <c r="K18" s="15">
        <f t="shared" si="2"/>
        <v>0.6753700218201943</v>
      </c>
      <c r="L18" s="7">
        <f t="shared" si="3"/>
        <v>0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</row>
    <row r="19" spans="1:36" s="62" customFormat="1" ht="12.75">
      <c r="A19" s="62" t="s">
        <v>181</v>
      </c>
      <c r="B19" s="62">
        <v>15</v>
      </c>
      <c r="C19" s="62" t="s">
        <v>225</v>
      </c>
      <c r="D19" s="5">
        <v>0.001</v>
      </c>
      <c r="E19" s="59"/>
      <c r="F19" s="64">
        <v>0.3621429384977689</v>
      </c>
      <c r="G19" s="15">
        <f t="shared" si="0"/>
        <v>0.3621429384977689</v>
      </c>
      <c r="H19" s="7">
        <f t="shared" si="1"/>
        <v>0.0003621429384977689</v>
      </c>
      <c r="I19" s="59"/>
      <c r="J19" s="64">
        <v>0.1171849073904277</v>
      </c>
      <c r="K19" s="15">
        <f t="shared" si="2"/>
        <v>0.1171849073904277</v>
      </c>
      <c r="L19" s="7">
        <f t="shared" si="3"/>
        <v>0.0001171849073904277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</row>
    <row r="20" spans="1:36" s="62" customFormat="1" ht="12.75">
      <c r="A20" s="62" t="s">
        <v>181</v>
      </c>
      <c r="B20" s="62">
        <v>16</v>
      </c>
      <c r="C20" s="62" t="s">
        <v>226</v>
      </c>
      <c r="D20" s="5">
        <v>0.1</v>
      </c>
      <c r="E20" s="59"/>
      <c r="F20" s="64">
        <v>1.6379202885166526</v>
      </c>
      <c r="G20" s="15">
        <f t="shared" si="0"/>
        <v>1.6379202885166526</v>
      </c>
      <c r="H20" s="7">
        <f t="shared" si="1"/>
        <v>0.16379202885166527</v>
      </c>
      <c r="I20" s="59"/>
      <c r="J20" s="64">
        <v>0.5066690440310764</v>
      </c>
      <c r="K20" s="15">
        <f t="shared" si="2"/>
        <v>0.5066690440310764</v>
      </c>
      <c r="L20" s="7">
        <f t="shared" si="3"/>
        <v>0.05066690440310764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</row>
    <row r="21" spans="1:36" s="62" customFormat="1" ht="12.75">
      <c r="A21" s="62" t="s">
        <v>181</v>
      </c>
      <c r="B21" s="62">
        <v>17</v>
      </c>
      <c r="C21" s="62" t="s">
        <v>227</v>
      </c>
      <c r="D21" s="5">
        <v>0</v>
      </c>
      <c r="E21" s="59"/>
      <c r="F21" s="64">
        <v>7.8807047796799</v>
      </c>
      <c r="G21" s="15">
        <f t="shared" si="0"/>
        <v>7.8807047796799</v>
      </c>
      <c r="H21" s="7">
        <f t="shared" si="1"/>
        <v>0</v>
      </c>
      <c r="I21" s="59"/>
      <c r="J21" s="64">
        <v>2.508153295619758</v>
      </c>
      <c r="K21" s="15">
        <f t="shared" si="2"/>
        <v>2.508153295619758</v>
      </c>
      <c r="L21" s="7">
        <f t="shared" si="3"/>
        <v>0</v>
      </c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</row>
    <row r="22" spans="1:36" s="62" customFormat="1" ht="12.75">
      <c r="A22" s="62" t="s">
        <v>181</v>
      </c>
      <c r="B22" s="62">
        <v>18</v>
      </c>
      <c r="C22" s="62" t="s">
        <v>228</v>
      </c>
      <c r="D22" s="5">
        <v>0</v>
      </c>
      <c r="E22" s="59"/>
      <c r="F22" s="64">
        <v>9.518625068196542</v>
      </c>
      <c r="G22" s="15">
        <f t="shared" si="0"/>
        <v>9.518625068196542</v>
      </c>
      <c r="H22" s="7">
        <f t="shared" si="1"/>
        <v>0</v>
      </c>
      <c r="I22" s="59"/>
      <c r="J22" s="64">
        <v>3.0148223396508342</v>
      </c>
      <c r="K22" s="15">
        <f t="shared" si="2"/>
        <v>3.0148223396508342</v>
      </c>
      <c r="L22" s="7">
        <f t="shared" si="3"/>
        <v>0</v>
      </c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36" s="62" customFormat="1" ht="12.75">
      <c r="A23" s="62" t="s">
        <v>181</v>
      </c>
      <c r="B23" s="62">
        <v>19</v>
      </c>
      <c r="C23" s="62" t="s">
        <v>229</v>
      </c>
      <c r="D23" s="5">
        <v>0.05</v>
      </c>
      <c r="E23" s="59"/>
      <c r="F23" s="64">
        <v>0.2607986650240373</v>
      </c>
      <c r="G23" s="15">
        <f t="shared" si="0"/>
        <v>0.2607986650240373</v>
      </c>
      <c r="H23" s="7">
        <f t="shared" si="1"/>
        <v>0.013039933251201867</v>
      </c>
      <c r="I23" s="59"/>
      <c r="J23" s="64">
        <v>0.06934855630592944</v>
      </c>
      <c r="K23" s="15">
        <f t="shared" si="2"/>
        <v>0.06934855630592944</v>
      </c>
      <c r="L23" s="7">
        <f t="shared" si="3"/>
        <v>0.003467427815296472</v>
      </c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</row>
    <row r="24" spans="1:36" s="62" customFormat="1" ht="12.75">
      <c r="A24" s="62" t="s">
        <v>181</v>
      </c>
      <c r="B24" s="62">
        <v>21</v>
      </c>
      <c r="C24" s="62" t="s">
        <v>230</v>
      </c>
      <c r="D24" s="5">
        <v>0.5</v>
      </c>
      <c r="E24" s="59"/>
      <c r="F24" s="64">
        <v>0.6053066190834919</v>
      </c>
      <c r="G24" s="15">
        <f t="shared" si="0"/>
        <v>0.6053066190834919</v>
      </c>
      <c r="H24" s="7">
        <f t="shared" si="1"/>
        <v>0.30265330954174596</v>
      </c>
      <c r="I24" s="59"/>
      <c r="J24" s="64">
        <v>0.13813100194813696</v>
      </c>
      <c r="K24" s="15">
        <f t="shared" si="2"/>
        <v>0.13813100194813696</v>
      </c>
      <c r="L24" s="7">
        <f t="shared" si="3"/>
        <v>0.06906550097406848</v>
      </c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</row>
    <row r="25" spans="1:36" s="62" customFormat="1" ht="12.75">
      <c r="A25" s="62" t="s">
        <v>181</v>
      </c>
      <c r="B25" s="62">
        <v>21</v>
      </c>
      <c r="C25" s="62" t="s">
        <v>231</v>
      </c>
      <c r="D25" s="5">
        <v>0</v>
      </c>
      <c r="E25" s="59"/>
      <c r="F25" s="64">
        <v>5.402562813247426</v>
      </c>
      <c r="G25" s="15">
        <f t="shared" si="0"/>
        <v>5.402562813247426</v>
      </c>
      <c r="H25" s="7">
        <f t="shared" si="1"/>
        <v>0</v>
      </c>
      <c r="I25" s="59"/>
      <c r="J25" s="64">
        <v>0.8146332450957753</v>
      </c>
      <c r="K25" s="15">
        <f t="shared" si="2"/>
        <v>0.8146332450957753</v>
      </c>
      <c r="L25" s="7">
        <f t="shared" si="3"/>
        <v>0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</row>
    <row r="26" spans="1:36" s="62" customFormat="1" ht="12.75">
      <c r="A26" s="62" t="s">
        <v>181</v>
      </c>
      <c r="B26" s="62">
        <v>22</v>
      </c>
      <c r="C26" s="62" t="s">
        <v>232</v>
      </c>
      <c r="D26" s="5">
        <v>0</v>
      </c>
      <c r="E26" s="59"/>
      <c r="F26" s="64">
        <v>6.268668097354955</v>
      </c>
      <c r="G26" s="15">
        <f t="shared" si="0"/>
        <v>6.268668097354955</v>
      </c>
      <c r="H26" s="7">
        <f t="shared" si="1"/>
        <v>0</v>
      </c>
      <c r="I26" s="59"/>
      <c r="J26" s="64">
        <v>1.0221128033498417</v>
      </c>
      <c r="K26" s="15">
        <f t="shared" si="2"/>
        <v>1.0221128033498417</v>
      </c>
      <c r="L26" s="7">
        <f t="shared" si="3"/>
        <v>0</v>
      </c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</row>
    <row r="27" spans="1:36" s="62" customFormat="1" ht="12.75">
      <c r="A27" s="62" t="s">
        <v>181</v>
      </c>
      <c r="B27" s="62">
        <v>23</v>
      </c>
      <c r="C27" s="62" t="s">
        <v>233</v>
      </c>
      <c r="D27" s="5">
        <v>0.1</v>
      </c>
      <c r="E27" s="59"/>
      <c r="F27" s="64">
        <v>0.36037944005393746</v>
      </c>
      <c r="G27" s="15">
        <f t="shared" si="0"/>
        <v>0.36037944005393746</v>
      </c>
      <c r="H27" s="7">
        <f t="shared" si="1"/>
        <v>0.03603794400539375</v>
      </c>
      <c r="I27" s="59"/>
      <c r="J27" s="64">
        <v>0.11463740940368</v>
      </c>
      <c r="K27" s="15">
        <f t="shared" si="2"/>
        <v>0.11463740940368</v>
      </c>
      <c r="L27" s="7">
        <f t="shared" si="3"/>
        <v>0.011463740940368</v>
      </c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</row>
    <row r="28" spans="1:36" s="62" customFormat="1" ht="12.75">
      <c r="A28" s="62" t="s">
        <v>181</v>
      </c>
      <c r="B28" s="62">
        <v>24</v>
      </c>
      <c r="C28" s="62" t="s">
        <v>234</v>
      </c>
      <c r="D28" s="5">
        <v>0.1</v>
      </c>
      <c r="E28" s="59"/>
      <c r="F28" s="64">
        <v>0.2153459148104468</v>
      </c>
      <c r="G28" s="15">
        <f t="shared" si="0"/>
        <v>0.2153459148104468</v>
      </c>
      <c r="H28" s="7">
        <f t="shared" si="1"/>
        <v>0.021534591481044682</v>
      </c>
      <c r="I28" s="59"/>
      <c r="J28" s="64">
        <v>0.049251627743803</v>
      </c>
      <c r="K28" s="15">
        <f t="shared" si="2"/>
        <v>0.049251627743803</v>
      </c>
      <c r="L28" s="7">
        <f t="shared" si="3"/>
        <v>0.0049251627743803</v>
      </c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</row>
    <row r="29" spans="1:36" s="62" customFormat="1" ht="12.75">
      <c r="A29" s="62" t="s">
        <v>181</v>
      </c>
      <c r="B29" s="62">
        <v>25</v>
      </c>
      <c r="C29" s="62" t="s">
        <v>235</v>
      </c>
      <c r="D29" s="5">
        <v>0.1</v>
      </c>
      <c r="E29" s="59"/>
      <c r="F29" s="64">
        <v>0.029154611369793682</v>
      </c>
      <c r="G29" s="15">
        <f t="shared" si="0"/>
        <v>0.029154611369793682</v>
      </c>
      <c r="H29" s="7">
        <f t="shared" si="1"/>
        <v>0.0029154611369793682</v>
      </c>
      <c r="I29" s="59"/>
      <c r="J29" s="64">
        <v>0.013303600597464</v>
      </c>
      <c r="K29" s="15">
        <f t="shared" si="2"/>
        <v>0.013303600597464</v>
      </c>
      <c r="L29" s="7">
        <f t="shared" si="3"/>
        <v>0.0013303600597464002</v>
      </c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</row>
    <row r="30" spans="1:36" s="62" customFormat="1" ht="12.75">
      <c r="A30" s="62" t="s">
        <v>181</v>
      </c>
      <c r="B30" s="62">
        <v>26</v>
      </c>
      <c r="C30" s="62" t="s">
        <v>236</v>
      </c>
      <c r="D30" s="5">
        <v>0.1</v>
      </c>
      <c r="E30" s="59"/>
      <c r="F30" s="64">
        <v>0.31299253025679</v>
      </c>
      <c r="G30" s="15">
        <f t="shared" si="0"/>
        <v>0.31299253025679</v>
      </c>
      <c r="H30" s="7">
        <f t="shared" si="1"/>
        <v>0.03129925302567901</v>
      </c>
      <c r="I30" s="59"/>
      <c r="J30" s="64">
        <v>0.06849939031034662</v>
      </c>
      <c r="K30" s="15">
        <f t="shared" si="2"/>
        <v>0.06849939031034662</v>
      </c>
      <c r="L30" s="7">
        <f t="shared" si="3"/>
        <v>0.006849939031034662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</row>
    <row r="31" spans="1:36" s="62" customFormat="1" ht="12.75">
      <c r="A31" s="62" t="s">
        <v>181</v>
      </c>
      <c r="B31" s="62">
        <v>27</v>
      </c>
      <c r="C31" s="62" t="s">
        <v>237</v>
      </c>
      <c r="D31" s="5">
        <v>0</v>
      </c>
      <c r="E31" s="59"/>
      <c r="F31" s="64">
        <v>1.1849571801615655</v>
      </c>
      <c r="G31" s="15">
        <f t="shared" si="0"/>
        <v>1.1849571801615655</v>
      </c>
      <c r="H31" s="7">
        <f t="shared" si="1"/>
        <v>0</v>
      </c>
      <c r="I31" s="59"/>
      <c r="J31" s="64">
        <v>0.42146938914093435</v>
      </c>
      <c r="K31" s="15">
        <f t="shared" si="2"/>
        <v>0.42146938914093435</v>
      </c>
      <c r="L31" s="7">
        <f t="shared" si="3"/>
        <v>0</v>
      </c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</row>
    <row r="32" spans="1:36" s="62" customFormat="1" ht="12.75">
      <c r="A32" s="62" t="s">
        <v>181</v>
      </c>
      <c r="B32" s="62">
        <v>28</v>
      </c>
      <c r="C32" s="62" t="s">
        <v>238</v>
      </c>
      <c r="D32" s="5">
        <v>0</v>
      </c>
      <c r="E32" s="59"/>
      <c r="F32" s="64">
        <v>2.1028296766525334</v>
      </c>
      <c r="G32" s="15">
        <f t="shared" si="0"/>
        <v>2.1028296766525334</v>
      </c>
      <c r="H32" s="7">
        <f t="shared" si="1"/>
        <v>0</v>
      </c>
      <c r="I32" s="59"/>
      <c r="J32" s="64">
        <v>0.6671614171962272</v>
      </c>
      <c r="K32" s="15">
        <f t="shared" si="2"/>
        <v>0.6671614171962272</v>
      </c>
      <c r="L32" s="7">
        <f t="shared" si="3"/>
        <v>0</v>
      </c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</row>
    <row r="33" spans="1:36" s="62" customFormat="1" ht="12.75">
      <c r="A33" s="62" t="s">
        <v>181</v>
      </c>
      <c r="B33" s="62">
        <v>29</v>
      </c>
      <c r="C33" s="62" t="s">
        <v>239</v>
      </c>
      <c r="D33" s="5">
        <v>0.01</v>
      </c>
      <c r="E33" s="59"/>
      <c r="F33" s="64">
        <v>0.2933664991883434</v>
      </c>
      <c r="G33" s="15">
        <f t="shared" si="0"/>
        <v>0.2933664991883434</v>
      </c>
      <c r="H33" s="7">
        <f t="shared" si="1"/>
        <v>0.0029336649918834342</v>
      </c>
      <c r="I33" s="59"/>
      <c r="J33" s="64">
        <v>0.05859245369521385</v>
      </c>
      <c r="K33" s="15">
        <f t="shared" si="2"/>
        <v>0.05859245369521385</v>
      </c>
      <c r="L33" s="7">
        <f t="shared" si="3"/>
        <v>0.0005859245369521385</v>
      </c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</row>
    <row r="34" spans="1:36" s="62" customFormat="1" ht="12.75">
      <c r="A34" s="62" t="s">
        <v>181</v>
      </c>
      <c r="B34" s="62">
        <v>30</v>
      </c>
      <c r="C34" s="62" t="s">
        <v>240</v>
      </c>
      <c r="D34" s="5">
        <v>0.01</v>
      </c>
      <c r="E34" s="59"/>
      <c r="F34" s="64">
        <v>0.1029371107778374</v>
      </c>
      <c r="G34" s="15">
        <f t="shared" si="0"/>
        <v>0.1029371107778374</v>
      </c>
      <c r="H34" s="7">
        <f t="shared" si="1"/>
        <v>0.001029371107778374</v>
      </c>
      <c r="I34" s="59"/>
      <c r="J34" s="64">
        <v>0.013303600597464</v>
      </c>
      <c r="K34" s="15">
        <f t="shared" si="2"/>
        <v>0.013303600597464</v>
      </c>
      <c r="L34" s="7">
        <f t="shared" si="3"/>
        <v>0.00013303600597464</v>
      </c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</row>
    <row r="35" spans="1:36" s="62" customFormat="1" ht="12.75">
      <c r="A35" s="62" t="s">
        <v>181</v>
      </c>
      <c r="B35" s="62">
        <v>31</v>
      </c>
      <c r="C35" s="62" t="s">
        <v>241</v>
      </c>
      <c r="D35" s="5">
        <v>0</v>
      </c>
      <c r="E35" s="59"/>
      <c r="F35" s="64">
        <v>0.339814772717</v>
      </c>
      <c r="G35" s="15">
        <f t="shared" si="0"/>
        <v>0.339814772717</v>
      </c>
      <c r="H35" s="7">
        <f t="shared" si="1"/>
        <v>0</v>
      </c>
      <c r="I35" s="59"/>
      <c r="J35" s="64">
        <v>0.040193857124253</v>
      </c>
      <c r="K35" s="15">
        <f t="shared" si="2"/>
        <v>0.040193857124253</v>
      </c>
      <c r="L35" s="7">
        <f t="shared" si="3"/>
        <v>0</v>
      </c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</row>
    <row r="36" spans="1:36" s="62" customFormat="1" ht="12.75">
      <c r="A36" s="62" t="s">
        <v>181</v>
      </c>
      <c r="B36" s="62">
        <v>32</v>
      </c>
      <c r="C36" s="62" t="s">
        <v>242</v>
      </c>
      <c r="D36" s="5">
        <v>0</v>
      </c>
      <c r="E36" s="59"/>
      <c r="F36" s="64">
        <v>0.73611838268318</v>
      </c>
      <c r="G36" s="15">
        <f t="shared" si="0"/>
        <v>0.73611838268318</v>
      </c>
      <c r="H36" s="7">
        <f t="shared" si="1"/>
        <v>0</v>
      </c>
      <c r="I36" s="59"/>
      <c r="J36" s="64">
        <v>0.11208991141693</v>
      </c>
      <c r="K36" s="15">
        <f t="shared" si="2"/>
        <v>0.11208991141693</v>
      </c>
      <c r="L36" s="7">
        <f t="shared" si="3"/>
        <v>0</v>
      </c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</row>
    <row r="37" spans="1:36" s="62" customFormat="1" ht="12.75">
      <c r="A37" s="62" t="s">
        <v>181</v>
      </c>
      <c r="B37" s="62">
        <v>33</v>
      </c>
      <c r="C37" s="62" t="s">
        <v>243</v>
      </c>
      <c r="D37" s="5">
        <v>0.001</v>
      </c>
      <c r="E37" s="59"/>
      <c r="F37" s="64">
        <v>0.13652891178049723</v>
      </c>
      <c r="G37" s="15">
        <f t="shared" si="0"/>
        <v>0.13652891178049723</v>
      </c>
      <c r="H37" s="7">
        <f t="shared" si="1"/>
        <v>0.00013652891178049723</v>
      </c>
      <c r="I37" s="59"/>
      <c r="J37" s="64">
        <v>0.014718877256768691</v>
      </c>
      <c r="K37" s="15">
        <f t="shared" si="2"/>
        <v>0.014718877256768691</v>
      </c>
      <c r="L37" s="7">
        <f t="shared" si="3"/>
        <v>1.4718877256768691E-05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</row>
    <row r="38" spans="1:36" s="62" customFormat="1" ht="12.75">
      <c r="A38" s="62" t="s">
        <v>181</v>
      </c>
      <c r="B38" s="62">
        <v>34</v>
      </c>
      <c r="C38" s="62" t="s">
        <v>244</v>
      </c>
      <c r="D38" s="59"/>
      <c r="E38" s="59"/>
      <c r="F38" s="64">
        <v>68.70080798100375</v>
      </c>
      <c r="G38" s="67">
        <f>G37+G36+G32+G26+G22+G19+G18+G15+G10+G7</f>
        <v>68.70080798100375</v>
      </c>
      <c r="H38" s="59"/>
      <c r="I38" s="59"/>
      <c r="J38" s="64">
        <v>17.045875139997452</v>
      </c>
      <c r="K38" s="67">
        <f>K37+K36+K32+K26+K22+K19+K18+K15+K10+K7</f>
        <v>17.04587513999745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</row>
    <row r="39" spans="1:36" s="62" customFormat="1" ht="12.75">
      <c r="A39" s="62" t="s">
        <v>181</v>
      </c>
      <c r="B39" s="62">
        <v>35</v>
      </c>
      <c r="C39" s="62" t="s">
        <v>33</v>
      </c>
      <c r="D39" s="59"/>
      <c r="E39" s="61">
        <f>(F39-H39)*2/F39*100</f>
        <v>-2.907105249923455E-14</v>
      </c>
      <c r="F39" s="59">
        <v>0.7637996764337232</v>
      </c>
      <c r="G39" s="59"/>
      <c r="H39" s="64">
        <f>SUM(H5:H37)</f>
        <v>0.7637996764337233</v>
      </c>
      <c r="I39" s="61">
        <f>(J39-L39)*2/J39*100</f>
        <v>-7.436678415118343E-14</v>
      </c>
      <c r="J39" s="64">
        <v>0.22393526302713382</v>
      </c>
      <c r="K39" s="59"/>
      <c r="L39" s="64">
        <f>SUM(L5:L37)</f>
        <v>0.2239352630271339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</row>
  </sheetData>
  <mergeCells count="2">
    <mergeCell ref="F1:H1"/>
    <mergeCell ref="J1:L1"/>
  </mergeCells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P39"/>
  <sheetViews>
    <sheetView workbookViewId="0" topLeftCell="C1">
      <selection activeCell="C25" sqref="C25"/>
    </sheetView>
  </sheetViews>
  <sheetFormatPr defaultColWidth="9.140625" defaultRowHeight="12.75"/>
  <cols>
    <col min="1" max="1" width="9.140625" style="0" hidden="1" customWidth="1"/>
    <col min="2" max="2" width="3.8515625" style="0" hidden="1" customWidth="1"/>
    <col min="3" max="3" width="14.57421875" style="0" customWidth="1"/>
    <col min="5" max="5" width="3.28125" style="0" customWidth="1"/>
    <col min="6" max="6" width="8.421875" style="0" customWidth="1"/>
    <col min="9" max="9" width="3.57421875" style="0" customWidth="1"/>
    <col min="10" max="10" width="8.140625" style="0" customWidth="1"/>
    <col min="13" max="13" width="3.7109375" style="0" customWidth="1"/>
    <col min="15" max="15" width="8.140625" style="0" customWidth="1"/>
    <col min="17" max="17" width="3.28125" style="0" customWidth="1"/>
    <col min="18" max="18" width="7.57421875" style="0" customWidth="1"/>
    <col min="21" max="21" width="5.00390625" style="0" customWidth="1"/>
    <col min="23" max="23" width="8.140625" style="0" customWidth="1"/>
  </cols>
  <sheetData>
    <row r="1" spans="3:24" ht="12.75">
      <c r="C1" s="2" t="s">
        <v>183</v>
      </c>
      <c r="D1" s="5" t="s">
        <v>26</v>
      </c>
      <c r="F1" s="84" t="s">
        <v>140</v>
      </c>
      <c r="G1" s="84"/>
      <c r="H1" s="84"/>
      <c r="J1" s="84" t="s">
        <v>141</v>
      </c>
      <c r="K1" s="84"/>
      <c r="L1" s="84"/>
      <c r="N1" s="84" t="s">
        <v>142</v>
      </c>
      <c r="O1" s="84"/>
      <c r="P1" s="84"/>
      <c r="R1" s="84" t="s">
        <v>143</v>
      </c>
      <c r="S1" s="84"/>
      <c r="T1" s="84"/>
      <c r="V1" s="84" t="s">
        <v>154</v>
      </c>
      <c r="W1" s="84"/>
      <c r="X1" s="84"/>
    </row>
    <row r="2" spans="4:24" ht="12.75">
      <c r="D2" s="5" t="s">
        <v>30</v>
      </c>
      <c r="F2" s="3" t="s">
        <v>31</v>
      </c>
      <c r="G2" s="8" t="s">
        <v>31</v>
      </c>
      <c r="H2" s="11" t="s">
        <v>32</v>
      </c>
      <c r="J2" s="3" t="s">
        <v>31</v>
      </c>
      <c r="K2" s="8" t="s">
        <v>31</v>
      </c>
      <c r="L2" s="11" t="s">
        <v>32</v>
      </c>
      <c r="N2" s="3" t="s">
        <v>31</v>
      </c>
      <c r="O2" s="8" t="s">
        <v>31</v>
      </c>
      <c r="P2" s="11" t="s">
        <v>32</v>
      </c>
      <c r="R2" s="3" t="s">
        <v>31</v>
      </c>
      <c r="S2" s="8" t="s">
        <v>31</v>
      </c>
      <c r="T2" s="11" t="s">
        <v>32</v>
      </c>
      <c r="V2" s="3" t="s">
        <v>31</v>
      </c>
      <c r="W2" s="8" t="s">
        <v>31</v>
      </c>
      <c r="X2" s="11" t="s">
        <v>32</v>
      </c>
    </row>
    <row r="3" spans="3:24" ht="12.75">
      <c r="C3" t="s">
        <v>80</v>
      </c>
      <c r="D3" s="5"/>
      <c r="F3" s="3" t="s">
        <v>210</v>
      </c>
      <c r="G3" s="8" t="s">
        <v>74</v>
      </c>
      <c r="H3" s="11" t="s">
        <v>74</v>
      </c>
      <c r="J3" s="3" t="s">
        <v>210</v>
      </c>
      <c r="K3" s="8" t="s">
        <v>74</v>
      </c>
      <c r="L3" s="11" t="s">
        <v>74</v>
      </c>
      <c r="N3" s="3" t="s">
        <v>210</v>
      </c>
      <c r="O3" s="8" t="s">
        <v>74</v>
      </c>
      <c r="P3" s="11" t="s">
        <v>74</v>
      </c>
      <c r="R3" s="3" t="s">
        <v>210</v>
      </c>
      <c r="S3" s="8" t="s">
        <v>74</v>
      </c>
      <c r="T3" s="11" t="s">
        <v>74</v>
      </c>
      <c r="V3" s="3" t="s">
        <v>210</v>
      </c>
      <c r="W3" s="8" t="s">
        <v>74</v>
      </c>
      <c r="X3" s="11" t="s">
        <v>74</v>
      </c>
    </row>
    <row r="4" spans="4:24" ht="12.75">
      <c r="D4" s="4"/>
      <c r="G4" s="6"/>
      <c r="H4" s="7"/>
      <c r="K4" s="6"/>
      <c r="L4" s="7"/>
      <c r="O4" s="6"/>
      <c r="P4" s="7"/>
      <c r="S4" s="6"/>
      <c r="T4" s="7"/>
      <c r="W4" s="6"/>
      <c r="X4" s="7"/>
    </row>
    <row r="5" spans="1:42" s="62" customFormat="1" ht="12.75">
      <c r="A5" s="62" t="s">
        <v>183</v>
      </c>
      <c r="B5" s="62">
        <v>1</v>
      </c>
      <c r="C5" s="62" t="s">
        <v>211</v>
      </c>
      <c r="D5" s="5">
        <v>1</v>
      </c>
      <c r="E5" s="59"/>
      <c r="F5" s="64">
        <v>0.027139540898524796</v>
      </c>
      <c r="G5" s="15">
        <f>IF(F5=0,"",IF(E5=1,F5/2,F5))</f>
        <v>0.027139540898524796</v>
      </c>
      <c r="H5" s="7">
        <f>IF(G5="","",G5*$D5)</f>
        <v>0.027139540898524796</v>
      </c>
      <c r="I5" s="59"/>
      <c r="J5" s="64">
        <v>0.02251235104471977</v>
      </c>
      <c r="K5" s="15">
        <f>IF(J5=0,"",IF(I5=1,J5/2,J5))</f>
        <v>0.02251235104471977</v>
      </c>
      <c r="L5" s="7">
        <f>IF(K5="","",K5*$D5)</f>
        <v>0.02251235104471977</v>
      </c>
      <c r="M5" s="59"/>
      <c r="N5" s="64">
        <v>0.01907764606093877</v>
      </c>
      <c r="O5" s="15">
        <f>IF(N5=0,"",IF(M5=1,N5/2,N5))</f>
        <v>0.01907764606093877</v>
      </c>
      <c r="P5" s="7">
        <f>IF(O5="","",O5*$D5)</f>
        <v>0.01907764606093877</v>
      </c>
      <c r="Q5" s="59"/>
      <c r="R5" s="64">
        <v>0.020898631840450196</v>
      </c>
      <c r="S5" s="15">
        <f>IF(R5=0,"",IF(Q5=1,R5/2,R5))</f>
        <v>0.020898631840450196</v>
      </c>
      <c r="T5" s="7">
        <f>IF(S5="","",S5*$D5)</f>
        <v>0.020898631840450196</v>
      </c>
      <c r="U5" s="59"/>
      <c r="V5" s="64">
        <v>0.020593536309699217</v>
      </c>
      <c r="W5" s="15">
        <f>IF(V5=0,"",IF(U5=1,V5/2,V5))</f>
        <v>0.020593536309699217</v>
      </c>
      <c r="X5" s="7">
        <f>IF(W5="","",W5*$D5)</f>
        <v>0.020593536309699217</v>
      </c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</row>
    <row r="6" spans="1:42" s="62" customFormat="1" ht="12.75">
      <c r="A6" s="62" t="s">
        <v>183</v>
      </c>
      <c r="B6" s="62">
        <v>2</v>
      </c>
      <c r="C6" s="62" t="s">
        <v>212</v>
      </c>
      <c r="D6" s="5">
        <v>0</v>
      </c>
      <c r="E6" s="59"/>
      <c r="F6" s="64">
        <v>19.51332990603933</v>
      </c>
      <c r="G6" s="15">
        <f aca="true" t="shared" si="0" ref="G6:G37">IF(F6=0,"",IF(E6=1,F6/2,F6))</f>
        <v>19.51332990603933</v>
      </c>
      <c r="H6" s="7">
        <f aca="true" t="shared" si="1" ref="H6:H37">IF(G6="","",G6*$D6)</f>
        <v>0</v>
      </c>
      <c r="I6" s="59"/>
      <c r="J6" s="64">
        <v>7.9693722698308</v>
      </c>
      <c r="K6" s="15">
        <f aca="true" t="shared" si="2" ref="K6:K37">IF(J6=0,"",IF(I6=1,J6/2,J6))</f>
        <v>7.9693722698308</v>
      </c>
      <c r="L6" s="7">
        <f aca="true" t="shared" si="3" ref="L6:L37">IF(K6="","",K6*$D6)</f>
        <v>0</v>
      </c>
      <c r="M6" s="59"/>
      <c r="N6" s="64">
        <v>12.027093152417542</v>
      </c>
      <c r="O6" s="15">
        <f aca="true" t="shared" si="4" ref="O6:O37">IF(N6=0,"",IF(M6=1,N6/2,N6))</f>
        <v>12.027093152417542</v>
      </c>
      <c r="P6" s="7">
        <f aca="true" t="shared" si="5" ref="P6:P37">IF(O6="","",O6*$D6)</f>
        <v>0</v>
      </c>
      <c r="Q6" s="59"/>
      <c r="R6" s="64">
        <v>8.9916363493537</v>
      </c>
      <c r="S6" s="15">
        <f aca="true" t="shared" si="6" ref="S6:S37">IF(R6=0,"",IF(Q6=1,R6/2,R6))</f>
        <v>8.9916363493537</v>
      </c>
      <c r="T6" s="7">
        <f aca="true" t="shared" si="7" ref="T6:T37">IF(S6="","",S6*$D6)</f>
        <v>0</v>
      </c>
      <c r="U6" s="59"/>
      <c r="V6" s="64">
        <v>1.7445667188073766</v>
      </c>
      <c r="W6" s="15">
        <f aca="true" t="shared" si="8" ref="W6:W37">IF(V6=0,"",IF(U6=1,V6/2,V6))</f>
        <v>1.7445667188073766</v>
      </c>
      <c r="X6" s="7">
        <f aca="true" t="shared" si="9" ref="X6:X37">IF(W6="","",W6*$D6)</f>
        <v>0</v>
      </c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</row>
    <row r="7" spans="1:42" s="62" customFormat="1" ht="12.75">
      <c r="A7" s="62" t="s">
        <v>183</v>
      </c>
      <c r="B7" s="62">
        <v>3</v>
      </c>
      <c r="C7" s="62" t="s">
        <v>213</v>
      </c>
      <c r="D7" s="5">
        <v>0</v>
      </c>
      <c r="E7" s="59"/>
      <c r="F7" s="64">
        <v>19.540469446937855</v>
      </c>
      <c r="G7" s="15">
        <f t="shared" si="0"/>
        <v>19.540469446937855</v>
      </c>
      <c r="H7" s="7">
        <f t="shared" si="1"/>
        <v>0</v>
      </c>
      <c r="I7" s="59"/>
      <c r="J7" s="64">
        <v>7.991884620875518</v>
      </c>
      <c r="K7" s="15">
        <f t="shared" si="2"/>
        <v>7.991884620875518</v>
      </c>
      <c r="L7" s="7">
        <f t="shared" si="3"/>
        <v>0</v>
      </c>
      <c r="M7" s="59"/>
      <c r="N7" s="64">
        <v>12.046170798478482</v>
      </c>
      <c r="O7" s="15">
        <f t="shared" si="4"/>
        <v>12.046170798478482</v>
      </c>
      <c r="P7" s="7">
        <f t="shared" si="5"/>
        <v>0</v>
      </c>
      <c r="Q7" s="59"/>
      <c r="R7" s="64">
        <v>9.012534981194145</v>
      </c>
      <c r="S7" s="15">
        <f t="shared" si="6"/>
        <v>9.012534981194145</v>
      </c>
      <c r="T7" s="7">
        <f t="shared" si="7"/>
        <v>0</v>
      </c>
      <c r="U7" s="59"/>
      <c r="V7" s="64">
        <v>1.7651602551170757</v>
      </c>
      <c r="W7" s="15">
        <f t="shared" si="8"/>
        <v>1.7651602551170757</v>
      </c>
      <c r="X7" s="7">
        <f t="shared" si="9"/>
        <v>0</v>
      </c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</row>
    <row r="8" spans="1:42" s="62" customFormat="1" ht="12.75">
      <c r="A8" s="62" t="s">
        <v>183</v>
      </c>
      <c r="B8" s="62">
        <v>4</v>
      </c>
      <c r="C8" s="62" t="s">
        <v>214</v>
      </c>
      <c r="D8" s="5">
        <v>0.5</v>
      </c>
      <c r="E8" s="59"/>
      <c r="F8" s="64">
        <v>0.11157366813838</v>
      </c>
      <c r="G8" s="15">
        <f t="shared" si="0"/>
        <v>0.11157366813838</v>
      </c>
      <c r="H8" s="7">
        <f t="shared" si="1"/>
        <v>0.05578683406919</v>
      </c>
      <c r="I8" s="59"/>
      <c r="J8" s="64">
        <v>0.06472300925356934</v>
      </c>
      <c r="K8" s="15">
        <f t="shared" si="2"/>
        <v>0.06472300925356934</v>
      </c>
      <c r="L8" s="7">
        <f t="shared" si="3"/>
        <v>0.03236150462678467</v>
      </c>
      <c r="M8" s="59"/>
      <c r="N8" s="64">
        <v>0.05723293818281631</v>
      </c>
      <c r="O8" s="15">
        <f t="shared" si="4"/>
        <v>0.05723293818281631</v>
      </c>
      <c r="P8" s="7">
        <f t="shared" si="5"/>
        <v>0.028616469091408154</v>
      </c>
      <c r="Q8" s="59"/>
      <c r="R8" s="64">
        <v>0.026123289800562742</v>
      </c>
      <c r="S8" s="15">
        <f t="shared" si="6"/>
        <v>0.026123289800562742</v>
      </c>
      <c r="T8" s="7">
        <f t="shared" si="7"/>
        <v>0.013061644900281371</v>
      </c>
      <c r="U8" s="59">
        <v>2</v>
      </c>
      <c r="V8" s="64">
        <v>0.01176773503411384</v>
      </c>
      <c r="W8" s="15">
        <f t="shared" si="8"/>
        <v>0.01176773503411384</v>
      </c>
      <c r="X8" s="7">
        <f t="shared" si="9"/>
        <v>0.00588386751705692</v>
      </c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</row>
    <row r="9" spans="1:42" s="62" customFormat="1" ht="12.75">
      <c r="A9" s="62" t="s">
        <v>183</v>
      </c>
      <c r="B9" s="62">
        <v>5</v>
      </c>
      <c r="C9" s="62" t="s">
        <v>215</v>
      </c>
      <c r="D9" s="5">
        <v>0</v>
      </c>
      <c r="E9" s="59"/>
      <c r="F9" s="64">
        <v>20.0923067785412</v>
      </c>
      <c r="G9" s="15">
        <f t="shared" si="0"/>
        <v>20.0923067785412</v>
      </c>
      <c r="H9" s="7">
        <f t="shared" si="1"/>
        <v>0</v>
      </c>
      <c r="I9" s="59"/>
      <c r="J9" s="64">
        <v>8.489970387739941</v>
      </c>
      <c r="K9" s="15">
        <f t="shared" si="2"/>
        <v>8.489970387739941</v>
      </c>
      <c r="L9" s="7">
        <f t="shared" si="3"/>
        <v>0</v>
      </c>
      <c r="M9" s="59"/>
      <c r="N9" s="64">
        <v>11.035055557248725</v>
      </c>
      <c r="O9" s="15">
        <f t="shared" si="4"/>
        <v>11.035055557248725</v>
      </c>
      <c r="P9" s="7">
        <f t="shared" si="5"/>
        <v>0</v>
      </c>
      <c r="Q9" s="59"/>
      <c r="R9" s="64">
        <v>3.1870413556686543</v>
      </c>
      <c r="S9" s="15">
        <f t="shared" si="6"/>
        <v>3.1870413556686543</v>
      </c>
      <c r="T9" s="7">
        <f t="shared" si="7"/>
        <v>0</v>
      </c>
      <c r="U9" s="59"/>
      <c r="V9" s="64">
        <v>0.4883610039157244</v>
      </c>
      <c r="W9" s="15">
        <f t="shared" si="8"/>
        <v>0.4883610039157244</v>
      </c>
      <c r="X9" s="7">
        <f t="shared" si="9"/>
        <v>0</v>
      </c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</row>
    <row r="10" spans="1:42" s="62" customFormat="1" ht="12.75">
      <c r="A10" s="62" t="s">
        <v>183</v>
      </c>
      <c r="B10" s="62">
        <v>5</v>
      </c>
      <c r="C10" s="62" t="s">
        <v>216</v>
      </c>
      <c r="D10" s="5">
        <v>0</v>
      </c>
      <c r="E10" s="59"/>
      <c r="F10" s="64">
        <v>20.203880446679573</v>
      </c>
      <c r="G10" s="15">
        <f t="shared" si="0"/>
        <v>20.203880446679573</v>
      </c>
      <c r="H10" s="7">
        <f t="shared" si="1"/>
        <v>0</v>
      </c>
      <c r="I10" s="59"/>
      <c r="J10" s="64">
        <v>8.55469339699351</v>
      </c>
      <c r="K10" s="15">
        <f t="shared" si="2"/>
        <v>8.55469339699351</v>
      </c>
      <c r="L10" s="7">
        <f t="shared" si="3"/>
        <v>0</v>
      </c>
      <c r="M10" s="59"/>
      <c r="N10" s="64">
        <v>11.092288495431541</v>
      </c>
      <c r="O10" s="15">
        <f t="shared" si="4"/>
        <v>11.092288495431541</v>
      </c>
      <c r="P10" s="7">
        <f t="shared" si="5"/>
        <v>0</v>
      </c>
      <c r="Q10" s="59"/>
      <c r="R10" s="64">
        <v>3.213164645469217</v>
      </c>
      <c r="S10" s="15">
        <f t="shared" si="6"/>
        <v>3.213164645469217</v>
      </c>
      <c r="T10" s="7">
        <f t="shared" si="7"/>
        <v>0</v>
      </c>
      <c r="U10" s="59"/>
      <c r="V10" s="64">
        <v>0.5001287389498382</v>
      </c>
      <c r="W10" s="15">
        <f t="shared" si="8"/>
        <v>0.5001287389498382</v>
      </c>
      <c r="X10" s="7">
        <f t="shared" si="9"/>
        <v>0</v>
      </c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</row>
    <row r="11" spans="1:42" s="62" customFormat="1" ht="12.75">
      <c r="A11" s="62" t="s">
        <v>183</v>
      </c>
      <c r="B11" s="62">
        <v>7</v>
      </c>
      <c r="C11" s="62" t="s">
        <v>217</v>
      </c>
      <c r="D11" s="5">
        <v>0.1</v>
      </c>
      <c r="E11" s="59"/>
      <c r="F11" s="64">
        <v>0.19299229083395414</v>
      </c>
      <c r="G11" s="15">
        <f t="shared" si="0"/>
        <v>0.19299229083395414</v>
      </c>
      <c r="H11" s="7">
        <f t="shared" si="1"/>
        <v>0.019299229083395417</v>
      </c>
      <c r="I11" s="59"/>
      <c r="J11" s="64">
        <v>0.098491535820649</v>
      </c>
      <c r="K11" s="15">
        <f t="shared" si="2"/>
        <v>0.098491535820649</v>
      </c>
      <c r="L11" s="7">
        <f t="shared" si="3"/>
        <v>0.0098491535820649</v>
      </c>
      <c r="M11" s="59"/>
      <c r="N11" s="64">
        <v>0.09538823030469383</v>
      </c>
      <c r="O11" s="15">
        <f t="shared" si="4"/>
        <v>0.09538823030469383</v>
      </c>
      <c r="P11" s="7">
        <f t="shared" si="5"/>
        <v>0.009538823030469384</v>
      </c>
      <c r="Q11" s="59"/>
      <c r="R11" s="64">
        <v>0.033960276740731564</v>
      </c>
      <c r="S11" s="15">
        <f t="shared" si="6"/>
        <v>0.033960276740731564</v>
      </c>
      <c r="T11" s="7">
        <f t="shared" si="7"/>
        <v>0.0033960276740731565</v>
      </c>
      <c r="U11" s="59"/>
      <c r="V11" s="64">
        <v>0.01176773503411384</v>
      </c>
      <c r="W11" s="15">
        <f t="shared" si="8"/>
        <v>0.01176773503411384</v>
      </c>
      <c r="X11" s="7">
        <f t="shared" si="9"/>
        <v>0.001176773503411384</v>
      </c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</row>
    <row r="12" spans="1:42" s="62" customFormat="1" ht="12.75">
      <c r="A12" s="62" t="s">
        <v>183</v>
      </c>
      <c r="B12" s="62">
        <v>8</v>
      </c>
      <c r="C12" s="62" t="s">
        <v>218</v>
      </c>
      <c r="D12" s="5">
        <v>0.1</v>
      </c>
      <c r="E12" s="59"/>
      <c r="F12" s="64">
        <v>0.36186054531366396</v>
      </c>
      <c r="G12" s="15">
        <f t="shared" si="0"/>
        <v>0.36186054531366396</v>
      </c>
      <c r="H12" s="7">
        <f t="shared" si="1"/>
        <v>0.0361860545313664</v>
      </c>
      <c r="I12" s="59"/>
      <c r="J12" s="64">
        <v>0.1744707205965782</v>
      </c>
      <c r="K12" s="15">
        <f t="shared" si="2"/>
        <v>0.1744707205965782</v>
      </c>
      <c r="L12" s="7">
        <f t="shared" si="3"/>
        <v>0.01744707205965782</v>
      </c>
      <c r="M12" s="59"/>
      <c r="N12" s="64">
        <v>0.16352268052233226</v>
      </c>
      <c r="O12" s="15">
        <f t="shared" si="4"/>
        <v>0.16352268052233226</v>
      </c>
      <c r="P12" s="7">
        <f t="shared" si="5"/>
        <v>0.016352268052233228</v>
      </c>
      <c r="Q12" s="59"/>
      <c r="R12" s="64">
        <v>0.04440959266095667</v>
      </c>
      <c r="S12" s="15">
        <f t="shared" si="6"/>
        <v>0.04440959266095667</v>
      </c>
      <c r="T12" s="7">
        <f t="shared" si="7"/>
        <v>0.004440959266095667</v>
      </c>
      <c r="U12" s="59"/>
      <c r="V12" s="64">
        <v>0.01176773503411384</v>
      </c>
      <c r="W12" s="15">
        <f t="shared" si="8"/>
        <v>0.01176773503411384</v>
      </c>
      <c r="X12" s="7">
        <f t="shared" si="9"/>
        <v>0.001176773503411384</v>
      </c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</row>
    <row r="13" spans="1:42" s="62" customFormat="1" ht="12.75">
      <c r="A13" s="62" t="s">
        <v>183</v>
      </c>
      <c r="B13" s="62">
        <v>9</v>
      </c>
      <c r="C13" s="62" t="s">
        <v>219</v>
      </c>
      <c r="D13" s="5">
        <v>0.1</v>
      </c>
      <c r="E13" s="59"/>
      <c r="F13" s="64">
        <v>0.36186054531366396</v>
      </c>
      <c r="G13" s="15">
        <f t="shared" si="0"/>
        <v>0.36186054531366396</v>
      </c>
      <c r="H13" s="7">
        <f t="shared" si="1"/>
        <v>0.0361860545313664</v>
      </c>
      <c r="I13" s="59"/>
      <c r="J13" s="64">
        <v>0.18009880835775816</v>
      </c>
      <c r="K13" s="15">
        <f t="shared" si="2"/>
        <v>0.18009880835775816</v>
      </c>
      <c r="L13" s="7">
        <f t="shared" si="3"/>
        <v>0.018009880835775816</v>
      </c>
      <c r="M13" s="59"/>
      <c r="N13" s="64">
        <v>0.19077646060938766</v>
      </c>
      <c r="O13" s="15">
        <f t="shared" si="4"/>
        <v>0.19077646060938766</v>
      </c>
      <c r="P13" s="7">
        <f t="shared" si="5"/>
        <v>0.019077646060938768</v>
      </c>
      <c r="Q13" s="59"/>
      <c r="R13" s="64">
        <v>0.08359452736180079</v>
      </c>
      <c r="S13" s="15">
        <f t="shared" si="6"/>
        <v>0.08359452736180079</v>
      </c>
      <c r="T13" s="7">
        <f t="shared" si="7"/>
        <v>0.008359452736180079</v>
      </c>
      <c r="U13" s="59"/>
      <c r="V13" s="64">
        <v>0.029419337585284595</v>
      </c>
      <c r="W13" s="15">
        <f t="shared" si="8"/>
        <v>0.029419337585284595</v>
      </c>
      <c r="X13" s="7">
        <f t="shared" si="9"/>
        <v>0.0029419337585284595</v>
      </c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</row>
    <row r="14" spans="1:42" s="62" customFormat="1" ht="12.75">
      <c r="A14" s="62" t="s">
        <v>183</v>
      </c>
      <c r="B14" s="62">
        <v>10</v>
      </c>
      <c r="C14" s="62" t="s">
        <v>220</v>
      </c>
      <c r="D14" s="5">
        <v>0</v>
      </c>
      <c r="E14" s="59"/>
      <c r="F14" s="64">
        <v>55.4732215965847</v>
      </c>
      <c r="G14" s="15">
        <f t="shared" si="0"/>
        <v>55.4732215965847</v>
      </c>
      <c r="H14" s="7">
        <f t="shared" si="1"/>
        <v>0</v>
      </c>
      <c r="I14" s="59"/>
      <c r="J14" s="64">
        <v>24.92961473814655</v>
      </c>
      <c r="K14" s="15">
        <f t="shared" si="2"/>
        <v>24.92961473814655</v>
      </c>
      <c r="L14" s="7">
        <f t="shared" si="3"/>
        <v>0</v>
      </c>
      <c r="M14" s="59"/>
      <c r="N14" s="64">
        <v>42.33874736524054</v>
      </c>
      <c r="O14" s="15">
        <f t="shared" si="4"/>
        <v>42.33874736524054</v>
      </c>
      <c r="P14" s="7">
        <f t="shared" si="5"/>
        <v>0</v>
      </c>
      <c r="Q14" s="59"/>
      <c r="R14" s="64">
        <v>13.134790111723</v>
      </c>
      <c r="S14" s="15">
        <f t="shared" si="6"/>
        <v>13.134790111723</v>
      </c>
      <c r="T14" s="7">
        <f t="shared" si="7"/>
        <v>0</v>
      </c>
      <c r="U14" s="59"/>
      <c r="V14" s="64">
        <v>0.6825286319786026</v>
      </c>
      <c r="W14" s="15">
        <f t="shared" si="8"/>
        <v>0.6825286319786026</v>
      </c>
      <c r="X14" s="7">
        <f t="shared" si="9"/>
        <v>0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</row>
    <row r="15" spans="1:42" s="62" customFormat="1" ht="12.75">
      <c r="A15" s="62" t="s">
        <v>183</v>
      </c>
      <c r="B15" s="62">
        <v>11</v>
      </c>
      <c r="C15" s="62" t="s">
        <v>221</v>
      </c>
      <c r="D15" s="5">
        <v>0</v>
      </c>
      <c r="E15" s="59"/>
      <c r="F15" s="64">
        <v>56.389934978046</v>
      </c>
      <c r="G15" s="15">
        <f t="shared" si="0"/>
        <v>56.389934978046</v>
      </c>
      <c r="H15" s="7">
        <f t="shared" si="1"/>
        <v>0</v>
      </c>
      <c r="I15" s="59"/>
      <c r="J15" s="64">
        <v>25.382675802921536</v>
      </c>
      <c r="K15" s="15">
        <f t="shared" si="2"/>
        <v>25.382675802921536</v>
      </c>
      <c r="L15" s="7">
        <f t="shared" si="3"/>
        <v>0</v>
      </c>
      <c r="M15" s="59"/>
      <c r="N15" s="64">
        <v>42.788434736677</v>
      </c>
      <c r="O15" s="15">
        <f t="shared" si="4"/>
        <v>42.788434736677</v>
      </c>
      <c r="P15" s="7">
        <f t="shared" si="5"/>
        <v>0</v>
      </c>
      <c r="Q15" s="59"/>
      <c r="R15" s="64">
        <v>13.296754508486435</v>
      </c>
      <c r="S15" s="15">
        <f t="shared" si="6"/>
        <v>13.296754508486435</v>
      </c>
      <c r="T15" s="7">
        <f t="shared" si="7"/>
        <v>0</v>
      </c>
      <c r="U15" s="59"/>
      <c r="V15" s="64">
        <v>0.7354834396321149</v>
      </c>
      <c r="W15" s="15">
        <f t="shared" si="8"/>
        <v>0.7354834396321149</v>
      </c>
      <c r="X15" s="7">
        <f t="shared" si="9"/>
        <v>0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</row>
    <row r="16" spans="1:42" s="62" customFormat="1" ht="12.75">
      <c r="A16" s="62" t="s">
        <v>183</v>
      </c>
      <c r="B16" s="62">
        <v>12</v>
      </c>
      <c r="C16" s="62" t="s">
        <v>222</v>
      </c>
      <c r="D16" s="5">
        <v>0.01</v>
      </c>
      <c r="E16" s="59"/>
      <c r="F16" s="64">
        <v>2.110853180996373</v>
      </c>
      <c r="G16" s="15">
        <f t="shared" si="0"/>
        <v>2.110853180996373</v>
      </c>
      <c r="H16" s="7">
        <f t="shared" si="1"/>
        <v>0.02110853180996373</v>
      </c>
      <c r="I16" s="59"/>
      <c r="J16" s="64">
        <v>0.92863448059469</v>
      </c>
      <c r="K16" s="15">
        <f t="shared" si="2"/>
        <v>0.92863448059469</v>
      </c>
      <c r="L16" s="7">
        <f t="shared" si="3"/>
        <v>0.0092863448059469</v>
      </c>
      <c r="M16" s="59"/>
      <c r="N16" s="64">
        <v>1.1719125437433815</v>
      </c>
      <c r="O16" s="15">
        <f t="shared" si="4"/>
        <v>1.1719125437433815</v>
      </c>
      <c r="P16" s="7">
        <f t="shared" si="5"/>
        <v>0.011719125437433815</v>
      </c>
      <c r="Q16" s="59"/>
      <c r="R16" s="64">
        <v>0.219435634324727</v>
      </c>
      <c r="S16" s="15">
        <f t="shared" si="6"/>
        <v>0.219435634324727</v>
      </c>
      <c r="T16" s="7">
        <f t="shared" si="7"/>
        <v>0.00219435634324727</v>
      </c>
      <c r="U16" s="59"/>
      <c r="V16" s="64">
        <v>0.050012873894983816</v>
      </c>
      <c r="W16" s="15">
        <f t="shared" si="8"/>
        <v>0.050012873894983816</v>
      </c>
      <c r="X16" s="7">
        <f t="shared" si="9"/>
        <v>0.0005001287389498381</v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</row>
    <row r="17" spans="1:42" s="62" customFormat="1" ht="12.75">
      <c r="A17" s="62" t="s">
        <v>183</v>
      </c>
      <c r="B17" s="62">
        <v>13</v>
      </c>
      <c r="C17" s="62" t="s">
        <v>223</v>
      </c>
      <c r="D17" s="5">
        <v>0</v>
      </c>
      <c r="E17" s="59"/>
      <c r="F17" s="64">
        <v>3.1361247260517553</v>
      </c>
      <c r="G17" s="15">
        <f t="shared" si="0"/>
        <v>3.1361247260517553</v>
      </c>
      <c r="H17" s="7">
        <f t="shared" si="1"/>
        <v>0</v>
      </c>
      <c r="I17" s="59"/>
      <c r="J17" s="64">
        <v>1.153757991041888</v>
      </c>
      <c r="K17" s="15">
        <f t="shared" si="2"/>
        <v>1.153757991041888</v>
      </c>
      <c r="L17" s="7">
        <f t="shared" si="3"/>
        <v>0</v>
      </c>
      <c r="M17" s="59"/>
      <c r="N17" s="64">
        <v>1.471704124701</v>
      </c>
      <c r="O17" s="15">
        <f t="shared" si="4"/>
        <v>1.471704124701</v>
      </c>
      <c r="P17" s="7">
        <f t="shared" si="5"/>
        <v>0</v>
      </c>
      <c r="Q17" s="59"/>
      <c r="R17" s="64">
        <v>0.276906871885965</v>
      </c>
      <c r="S17" s="15">
        <f t="shared" si="6"/>
        <v>0.276906871885965</v>
      </c>
      <c r="T17" s="7">
        <f t="shared" si="7"/>
        <v>0</v>
      </c>
      <c r="U17" s="59"/>
      <c r="V17" s="64">
        <v>0.07943221148026841</v>
      </c>
      <c r="W17" s="15">
        <f t="shared" si="8"/>
        <v>0.07943221148026841</v>
      </c>
      <c r="X17" s="7">
        <f t="shared" si="9"/>
        <v>0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</row>
    <row r="18" spans="1:42" s="62" customFormat="1" ht="12.75">
      <c r="A18" s="62" t="s">
        <v>183</v>
      </c>
      <c r="B18" s="62">
        <v>14</v>
      </c>
      <c r="C18" s="62" t="s">
        <v>224</v>
      </c>
      <c r="D18" s="5">
        <v>0</v>
      </c>
      <c r="E18" s="59"/>
      <c r="F18" s="64">
        <v>5.246977907048128</v>
      </c>
      <c r="G18" s="15">
        <f t="shared" si="0"/>
        <v>5.246977907048128</v>
      </c>
      <c r="H18" s="7">
        <f t="shared" si="1"/>
        <v>0</v>
      </c>
      <c r="I18" s="59"/>
      <c r="J18" s="64">
        <v>2.0823924716365783</v>
      </c>
      <c r="K18" s="15">
        <f t="shared" si="2"/>
        <v>2.0823924716365783</v>
      </c>
      <c r="L18" s="7">
        <f t="shared" si="3"/>
        <v>0</v>
      </c>
      <c r="M18" s="59"/>
      <c r="N18" s="64">
        <v>2.643616668444372</v>
      </c>
      <c r="O18" s="15">
        <f t="shared" si="4"/>
        <v>2.643616668444372</v>
      </c>
      <c r="P18" s="7">
        <f t="shared" si="5"/>
        <v>0</v>
      </c>
      <c r="Q18" s="59"/>
      <c r="R18" s="64">
        <v>0.49634250621069204</v>
      </c>
      <c r="S18" s="15">
        <f t="shared" si="6"/>
        <v>0.49634250621069204</v>
      </c>
      <c r="T18" s="7">
        <f t="shared" si="7"/>
        <v>0</v>
      </c>
      <c r="U18" s="59"/>
      <c r="V18" s="64">
        <v>0.12944508537525223</v>
      </c>
      <c r="W18" s="15">
        <f t="shared" si="8"/>
        <v>0.12944508537525223</v>
      </c>
      <c r="X18" s="7">
        <f t="shared" si="9"/>
        <v>0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</row>
    <row r="19" spans="1:42" s="62" customFormat="1" ht="12.75">
      <c r="A19" s="62" t="s">
        <v>183</v>
      </c>
      <c r="B19" s="62">
        <v>15</v>
      </c>
      <c r="C19" s="62" t="s">
        <v>225</v>
      </c>
      <c r="D19" s="5">
        <v>0.001</v>
      </c>
      <c r="E19" s="59"/>
      <c r="F19" s="64">
        <v>0.001</v>
      </c>
      <c r="G19" s="15">
        <f t="shared" si="0"/>
        <v>0.001</v>
      </c>
      <c r="H19" s="7">
        <f t="shared" si="1"/>
        <v>1E-06</v>
      </c>
      <c r="I19" s="59"/>
      <c r="J19" s="64">
        <v>0.20261115940247787</v>
      </c>
      <c r="K19" s="15">
        <f t="shared" si="2"/>
        <v>0.20261115940247787</v>
      </c>
      <c r="L19" s="7">
        <f t="shared" si="3"/>
        <v>0.00020261115940247787</v>
      </c>
      <c r="M19" s="59"/>
      <c r="N19" s="64">
        <v>0.25073477680091</v>
      </c>
      <c r="O19" s="15">
        <f t="shared" si="4"/>
        <v>0.25073477680091</v>
      </c>
      <c r="P19" s="7">
        <f t="shared" si="5"/>
        <v>0.00025073477680091</v>
      </c>
      <c r="Q19" s="59"/>
      <c r="R19" s="64">
        <v>0.15151508084326387</v>
      </c>
      <c r="S19" s="15">
        <f t="shared" si="6"/>
        <v>0.15151508084326387</v>
      </c>
      <c r="T19" s="7">
        <f t="shared" si="7"/>
        <v>0.00015151508084326388</v>
      </c>
      <c r="U19" s="59"/>
      <c r="V19" s="64">
        <v>0.050012873894983816</v>
      </c>
      <c r="W19" s="15">
        <f t="shared" si="8"/>
        <v>0.050012873894983816</v>
      </c>
      <c r="X19" s="7">
        <f t="shared" si="9"/>
        <v>5.001287389498382E-05</v>
      </c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</row>
    <row r="20" spans="1:42" s="62" customFormat="1" ht="12.75">
      <c r="A20" s="62" t="s">
        <v>183</v>
      </c>
      <c r="B20" s="62">
        <v>16</v>
      </c>
      <c r="C20" s="62" t="s">
        <v>226</v>
      </c>
      <c r="D20" s="5">
        <v>0.1</v>
      </c>
      <c r="E20" s="59"/>
      <c r="F20" s="64">
        <v>1.7489926356827</v>
      </c>
      <c r="G20" s="15">
        <f t="shared" si="0"/>
        <v>1.7489926356827</v>
      </c>
      <c r="H20" s="7">
        <f t="shared" si="1"/>
        <v>0.17489926356827</v>
      </c>
      <c r="I20" s="59"/>
      <c r="J20" s="64">
        <v>0.6753705313415931</v>
      </c>
      <c r="K20" s="15">
        <f t="shared" si="2"/>
        <v>0.6753705313415931</v>
      </c>
      <c r="L20" s="7">
        <f t="shared" si="3"/>
        <v>0.06753705313415931</v>
      </c>
      <c r="M20" s="59"/>
      <c r="N20" s="64">
        <v>0.8176134026116615</v>
      </c>
      <c r="O20" s="15">
        <f t="shared" si="4"/>
        <v>0.8176134026116615</v>
      </c>
      <c r="P20" s="7">
        <f t="shared" si="5"/>
        <v>0.08176134026116616</v>
      </c>
      <c r="Q20" s="59"/>
      <c r="R20" s="64">
        <v>0.39184934700844115</v>
      </c>
      <c r="S20" s="15">
        <f t="shared" si="6"/>
        <v>0.39184934700844115</v>
      </c>
      <c r="T20" s="7">
        <f t="shared" si="7"/>
        <v>0.039184934700844117</v>
      </c>
      <c r="U20" s="59"/>
      <c r="V20" s="64">
        <v>0.11179348282408147</v>
      </c>
      <c r="W20" s="15">
        <f t="shared" si="8"/>
        <v>0.11179348282408147</v>
      </c>
      <c r="X20" s="7">
        <f t="shared" si="9"/>
        <v>0.011179348282408148</v>
      </c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</row>
    <row r="21" spans="1:42" s="62" customFormat="1" ht="12.75">
      <c r="A21" s="62" t="s">
        <v>183</v>
      </c>
      <c r="B21" s="62">
        <v>17</v>
      </c>
      <c r="C21" s="62" t="s">
        <v>227</v>
      </c>
      <c r="D21" s="5">
        <v>0</v>
      </c>
      <c r="E21" s="59"/>
      <c r="F21" s="64">
        <v>8.051397133229024</v>
      </c>
      <c r="G21" s="15">
        <f t="shared" si="0"/>
        <v>8.051397133229024</v>
      </c>
      <c r="H21" s="7">
        <f t="shared" si="1"/>
        <v>0</v>
      </c>
      <c r="I21" s="59"/>
      <c r="J21" s="64">
        <v>3.2080100238725673</v>
      </c>
      <c r="K21" s="15">
        <f t="shared" si="2"/>
        <v>3.2080100238725673</v>
      </c>
      <c r="L21" s="7">
        <f t="shared" si="3"/>
        <v>0</v>
      </c>
      <c r="M21" s="59"/>
      <c r="N21" s="64">
        <v>3.679260311752476</v>
      </c>
      <c r="O21" s="15">
        <f t="shared" si="4"/>
        <v>3.679260311752476</v>
      </c>
      <c r="P21" s="7">
        <f t="shared" si="5"/>
        <v>0</v>
      </c>
      <c r="Q21" s="59"/>
      <c r="R21" s="64">
        <v>1.5151508084326388</v>
      </c>
      <c r="S21" s="15">
        <f t="shared" si="6"/>
        <v>1.5151508084326388</v>
      </c>
      <c r="T21" s="7">
        <f t="shared" si="7"/>
        <v>0</v>
      </c>
      <c r="U21" s="59"/>
      <c r="V21" s="64">
        <v>0.506012606466895</v>
      </c>
      <c r="W21" s="15">
        <f t="shared" si="8"/>
        <v>0.506012606466895</v>
      </c>
      <c r="X21" s="7">
        <f t="shared" si="9"/>
        <v>0</v>
      </c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</row>
    <row r="22" spans="1:42" s="62" customFormat="1" ht="12.75">
      <c r="A22" s="62" t="s">
        <v>183</v>
      </c>
      <c r="B22" s="62">
        <v>18</v>
      </c>
      <c r="C22" s="62" t="s">
        <v>228</v>
      </c>
      <c r="D22" s="5">
        <v>0</v>
      </c>
      <c r="E22" s="59"/>
      <c r="F22" s="64">
        <v>9.800389768911733</v>
      </c>
      <c r="G22" s="15">
        <f t="shared" si="0"/>
        <v>9.800389768911733</v>
      </c>
      <c r="H22" s="7">
        <f t="shared" si="1"/>
        <v>0</v>
      </c>
      <c r="I22" s="59"/>
      <c r="J22" s="64">
        <v>3.8833805552141603</v>
      </c>
      <c r="K22" s="15">
        <f t="shared" si="2"/>
        <v>3.8833805552141603</v>
      </c>
      <c r="L22" s="7">
        <f t="shared" si="3"/>
        <v>0</v>
      </c>
      <c r="M22" s="59"/>
      <c r="N22" s="64">
        <v>4.4968737143641375</v>
      </c>
      <c r="O22" s="15">
        <f t="shared" si="4"/>
        <v>4.4968737143641375</v>
      </c>
      <c r="P22" s="7">
        <f t="shared" si="5"/>
        <v>0</v>
      </c>
      <c r="Q22" s="59"/>
      <c r="R22" s="64">
        <v>1.90700015544108</v>
      </c>
      <c r="S22" s="15">
        <f t="shared" si="6"/>
        <v>1.90700015544108</v>
      </c>
      <c r="T22" s="7">
        <f t="shared" si="7"/>
        <v>0</v>
      </c>
      <c r="U22" s="59"/>
      <c r="V22" s="64">
        <v>0.6178060892909766</v>
      </c>
      <c r="W22" s="15">
        <f t="shared" si="8"/>
        <v>0.6178060892909766</v>
      </c>
      <c r="X22" s="7">
        <f t="shared" si="9"/>
        <v>0</v>
      </c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</row>
    <row r="23" spans="1:42" s="62" customFormat="1" ht="12.75">
      <c r="A23" s="62" t="s">
        <v>183</v>
      </c>
      <c r="B23" s="62">
        <v>19</v>
      </c>
      <c r="C23" s="62" t="s">
        <v>229</v>
      </c>
      <c r="D23" s="5">
        <v>0.05</v>
      </c>
      <c r="E23" s="59">
        <v>2</v>
      </c>
      <c r="F23" s="64">
        <v>0.25028687717528425</v>
      </c>
      <c r="G23" s="15">
        <f t="shared" si="0"/>
        <v>0.25028687717528425</v>
      </c>
      <c r="H23" s="7">
        <f t="shared" si="1"/>
        <v>0.012514343858764213</v>
      </c>
      <c r="I23" s="59">
        <v>2</v>
      </c>
      <c r="J23" s="64">
        <v>0.07597918477592923</v>
      </c>
      <c r="K23" s="15">
        <f t="shared" si="2"/>
        <v>0.07597918477592923</v>
      </c>
      <c r="L23" s="7">
        <f t="shared" si="3"/>
        <v>0.0037989592387964615</v>
      </c>
      <c r="M23" s="59">
        <v>2</v>
      </c>
      <c r="N23" s="64">
        <v>0.09266285229598831</v>
      </c>
      <c r="O23" s="15">
        <f t="shared" si="4"/>
        <v>0.09266285229598831</v>
      </c>
      <c r="P23" s="7">
        <f t="shared" si="5"/>
        <v>0.004633142614799415</v>
      </c>
      <c r="Q23" s="59">
        <v>2</v>
      </c>
      <c r="R23" s="64">
        <v>0.02351096082050647</v>
      </c>
      <c r="S23" s="15">
        <f t="shared" si="6"/>
        <v>0.02351096082050647</v>
      </c>
      <c r="T23" s="7">
        <f t="shared" si="7"/>
        <v>0.0011755480410253235</v>
      </c>
      <c r="U23" s="59">
        <v>2</v>
      </c>
      <c r="V23" s="64">
        <v>0.01176773503411384</v>
      </c>
      <c r="W23" s="15">
        <f t="shared" si="8"/>
        <v>0.01176773503411384</v>
      </c>
      <c r="X23" s="7">
        <f t="shared" si="9"/>
        <v>0.000588386751705692</v>
      </c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</row>
    <row r="24" spans="1:42" s="62" customFormat="1" ht="12.75">
      <c r="A24" s="62" t="s">
        <v>183</v>
      </c>
      <c r="B24" s="62">
        <v>20</v>
      </c>
      <c r="C24" s="62" t="s">
        <v>230</v>
      </c>
      <c r="D24" s="5">
        <v>0.5</v>
      </c>
      <c r="E24" s="59"/>
      <c r="F24" s="64">
        <v>0.7237210906273279</v>
      </c>
      <c r="G24" s="15">
        <f t="shared" si="0"/>
        <v>0.7237210906273279</v>
      </c>
      <c r="H24" s="7">
        <f t="shared" si="1"/>
        <v>0.36186054531366396</v>
      </c>
      <c r="I24" s="59">
        <v>2</v>
      </c>
      <c r="J24" s="64">
        <v>0.20261115940247787</v>
      </c>
      <c r="K24" s="15">
        <f t="shared" si="2"/>
        <v>0.20261115940247787</v>
      </c>
      <c r="L24" s="7">
        <f t="shared" si="3"/>
        <v>0.10130557970123893</v>
      </c>
      <c r="M24" s="59">
        <v>2</v>
      </c>
      <c r="N24" s="64">
        <v>0.24528402078349842</v>
      </c>
      <c r="O24" s="15">
        <f t="shared" si="4"/>
        <v>0.24528402078349842</v>
      </c>
      <c r="P24" s="7">
        <f t="shared" si="5"/>
        <v>0.12264201039174921</v>
      </c>
      <c r="Q24" s="59">
        <v>2</v>
      </c>
      <c r="R24" s="64">
        <v>0.09665617226208215</v>
      </c>
      <c r="S24" s="15">
        <f t="shared" si="6"/>
        <v>0.09665617226208215</v>
      </c>
      <c r="T24" s="7">
        <f t="shared" si="7"/>
        <v>0.04832808613104107</v>
      </c>
      <c r="U24" s="59">
        <v>2</v>
      </c>
      <c r="V24" s="64">
        <v>0.020593536309699217</v>
      </c>
      <c r="W24" s="15">
        <f t="shared" si="8"/>
        <v>0.020593536309699217</v>
      </c>
      <c r="X24" s="7">
        <f t="shared" si="9"/>
        <v>0.010296768154849608</v>
      </c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</row>
    <row r="25" spans="1:42" s="62" customFormat="1" ht="12.75">
      <c r="A25" s="62" t="s">
        <v>183</v>
      </c>
      <c r="B25" s="62">
        <v>21</v>
      </c>
      <c r="C25" s="62" t="s">
        <v>231</v>
      </c>
      <c r="D25" s="5">
        <v>0</v>
      </c>
      <c r="E25" s="59"/>
      <c r="F25" s="64">
        <v>4.272969939245516</v>
      </c>
      <c r="G25" s="15">
        <f t="shared" si="0"/>
        <v>4.272969939245516</v>
      </c>
      <c r="H25" s="7">
        <f t="shared" si="1"/>
        <v>0</v>
      </c>
      <c r="I25" s="59"/>
      <c r="J25" s="64">
        <v>0.7907463304457817</v>
      </c>
      <c r="K25" s="15">
        <f t="shared" si="2"/>
        <v>0.7907463304457817</v>
      </c>
      <c r="L25" s="7">
        <f t="shared" si="3"/>
        <v>0</v>
      </c>
      <c r="M25" s="59"/>
      <c r="N25" s="64">
        <v>0.9702345710991715</v>
      </c>
      <c r="O25" s="15">
        <f t="shared" si="4"/>
        <v>0.9702345710991715</v>
      </c>
      <c r="P25" s="7">
        <f t="shared" si="5"/>
        <v>0</v>
      </c>
      <c r="Q25" s="59"/>
      <c r="R25" s="64">
        <v>0.5590384017320428</v>
      </c>
      <c r="S25" s="15">
        <f t="shared" si="6"/>
        <v>0.5590384017320428</v>
      </c>
      <c r="T25" s="7">
        <f t="shared" si="7"/>
        <v>0</v>
      </c>
      <c r="U25" s="59"/>
      <c r="V25" s="64">
        <v>0.141212820409366</v>
      </c>
      <c r="W25" s="15">
        <f t="shared" si="8"/>
        <v>0.141212820409366</v>
      </c>
      <c r="X25" s="7">
        <f t="shared" si="9"/>
        <v>0</v>
      </c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</row>
    <row r="26" spans="1:42" s="62" customFormat="1" ht="12.75">
      <c r="A26" s="62" t="s">
        <v>183</v>
      </c>
      <c r="B26" s="62">
        <v>22</v>
      </c>
      <c r="C26" s="62" t="s">
        <v>232</v>
      </c>
      <c r="D26" s="5">
        <v>0</v>
      </c>
      <c r="E26" s="59"/>
      <c r="F26" s="64">
        <v>5.246977907048128</v>
      </c>
      <c r="G26" s="15">
        <f t="shared" si="0"/>
        <v>5.246977907048128</v>
      </c>
      <c r="H26" s="7">
        <f t="shared" si="1"/>
        <v>0</v>
      </c>
      <c r="I26" s="59"/>
      <c r="J26" s="64">
        <v>1.0693366746241888</v>
      </c>
      <c r="K26" s="15">
        <f t="shared" si="2"/>
        <v>1.0693366746241888</v>
      </c>
      <c r="L26" s="7">
        <f t="shared" si="3"/>
        <v>0</v>
      </c>
      <c r="M26" s="59"/>
      <c r="N26" s="64">
        <v>1.3081814441786581</v>
      </c>
      <c r="O26" s="15">
        <f t="shared" si="4"/>
        <v>1.3081814441786581</v>
      </c>
      <c r="P26" s="7">
        <f t="shared" si="5"/>
        <v>0</v>
      </c>
      <c r="Q26" s="59"/>
      <c r="R26" s="64">
        <v>0.6792055348146314</v>
      </c>
      <c r="S26" s="15">
        <f t="shared" si="6"/>
        <v>0.6792055348146314</v>
      </c>
      <c r="T26" s="7">
        <f t="shared" si="7"/>
        <v>0</v>
      </c>
      <c r="U26" s="59"/>
      <c r="V26" s="64">
        <v>0.17357409175318</v>
      </c>
      <c r="W26" s="15">
        <f t="shared" si="8"/>
        <v>0.17357409175318</v>
      </c>
      <c r="X26" s="7">
        <f t="shared" si="9"/>
        <v>0</v>
      </c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</row>
    <row r="27" spans="1:42" s="62" customFormat="1" ht="12.75">
      <c r="A27" s="62" t="s">
        <v>183</v>
      </c>
      <c r="B27" s="62">
        <v>23</v>
      </c>
      <c r="C27" s="62" t="s">
        <v>233</v>
      </c>
      <c r="D27" s="5">
        <v>0.1</v>
      </c>
      <c r="E27" s="59">
        <v>2</v>
      </c>
      <c r="F27" s="64">
        <v>0.3317054998708587</v>
      </c>
      <c r="G27" s="15">
        <f t="shared" si="0"/>
        <v>0.3317054998708587</v>
      </c>
      <c r="H27" s="7">
        <f t="shared" si="1"/>
        <v>0.03317054998708587</v>
      </c>
      <c r="I27" s="59">
        <v>2</v>
      </c>
      <c r="J27" s="64">
        <v>0.10130557970123893</v>
      </c>
      <c r="K27" s="15">
        <f t="shared" si="2"/>
        <v>0.10130557970123893</v>
      </c>
      <c r="L27" s="7">
        <f t="shared" si="3"/>
        <v>0.010130557970123895</v>
      </c>
      <c r="M27" s="59">
        <v>2</v>
      </c>
      <c r="N27" s="64">
        <v>0.15262116848751</v>
      </c>
      <c r="O27" s="15">
        <f t="shared" si="4"/>
        <v>0.15262116848751</v>
      </c>
      <c r="P27" s="7">
        <f t="shared" si="5"/>
        <v>0.015262116848751001</v>
      </c>
      <c r="Q27" s="59">
        <v>2</v>
      </c>
      <c r="R27" s="64">
        <v>0.06269589552135058</v>
      </c>
      <c r="S27" s="15">
        <f t="shared" si="6"/>
        <v>0.06269589552135058</v>
      </c>
      <c r="T27" s="7">
        <f t="shared" si="7"/>
        <v>0.006269589552135058</v>
      </c>
      <c r="U27" s="59">
        <v>2</v>
      </c>
      <c r="V27" s="64">
        <v>0.014709668792642298</v>
      </c>
      <c r="W27" s="15">
        <f t="shared" si="8"/>
        <v>0.014709668792642298</v>
      </c>
      <c r="X27" s="7">
        <f t="shared" si="9"/>
        <v>0.0014709668792642298</v>
      </c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</row>
    <row r="28" spans="1:42" s="62" customFormat="1" ht="12.75">
      <c r="A28" s="62" t="s">
        <v>183</v>
      </c>
      <c r="B28" s="62">
        <v>24</v>
      </c>
      <c r="C28" s="62" t="s">
        <v>234</v>
      </c>
      <c r="D28" s="5">
        <v>0.1</v>
      </c>
      <c r="E28" s="59"/>
      <c r="F28" s="64">
        <v>0.15077522721402667</v>
      </c>
      <c r="G28" s="15">
        <f t="shared" si="0"/>
        <v>0.15077522721402667</v>
      </c>
      <c r="H28" s="7">
        <f t="shared" si="1"/>
        <v>0.015077522721402668</v>
      </c>
      <c r="I28" s="59"/>
      <c r="J28" s="64">
        <v>0.036582570447669625</v>
      </c>
      <c r="K28" s="15">
        <f t="shared" si="2"/>
        <v>0.036582570447669625</v>
      </c>
      <c r="L28" s="7">
        <f t="shared" si="3"/>
        <v>0.0036582570447669625</v>
      </c>
      <c r="M28" s="59"/>
      <c r="N28" s="64">
        <v>0.046331426147994154</v>
      </c>
      <c r="O28" s="15">
        <f t="shared" si="4"/>
        <v>0.046331426147994154</v>
      </c>
      <c r="P28" s="7">
        <f t="shared" si="5"/>
        <v>0.004633142614799415</v>
      </c>
      <c r="Q28" s="59"/>
      <c r="R28" s="64">
        <v>0.018286302860394</v>
      </c>
      <c r="S28" s="15">
        <f t="shared" si="6"/>
        <v>0.018286302860394</v>
      </c>
      <c r="T28" s="7">
        <f t="shared" si="7"/>
        <v>0.0018286302860394</v>
      </c>
      <c r="U28" s="59">
        <v>2</v>
      </c>
      <c r="V28" s="64">
        <v>0.00588386751705692</v>
      </c>
      <c r="W28" s="15">
        <f t="shared" si="8"/>
        <v>0.00588386751705692</v>
      </c>
      <c r="X28" s="7">
        <f t="shared" si="9"/>
        <v>0.000588386751705692</v>
      </c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</row>
    <row r="29" spans="1:42" s="62" customFormat="1" ht="12.75">
      <c r="A29" s="62" t="s">
        <v>183</v>
      </c>
      <c r="B29" s="62">
        <v>25</v>
      </c>
      <c r="C29" s="62" t="s">
        <v>235</v>
      </c>
      <c r="D29" s="5">
        <v>0.1</v>
      </c>
      <c r="E29" s="59">
        <v>2</v>
      </c>
      <c r="F29" s="64">
        <v>0.051263577252769</v>
      </c>
      <c r="G29" s="15">
        <f t="shared" si="0"/>
        <v>0.051263577252769</v>
      </c>
      <c r="H29" s="7">
        <f t="shared" si="1"/>
        <v>0.0051263577252769</v>
      </c>
      <c r="I29" s="59">
        <v>1</v>
      </c>
      <c r="J29" s="64">
        <v>0.028140438805899705</v>
      </c>
      <c r="K29" s="15">
        <f t="shared" si="2"/>
        <v>0.014070219402949852</v>
      </c>
      <c r="L29" s="7">
        <f t="shared" si="3"/>
        <v>0.0014070219402949854</v>
      </c>
      <c r="M29" s="59">
        <v>2</v>
      </c>
      <c r="N29" s="64">
        <v>0.01907764606093877</v>
      </c>
      <c r="O29" s="15">
        <f t="shared" si="4"/>
        <v>0.01907764606093877</v>
      </c>
      <c r="P29" s="7">
        <f t="shared" si="5"/>
        <v>0.0019077646060938773</v>
      </c>
      <c r="Q29" s="59">
        <v>2</v>
      </c>
      <c r="R29" s="64">
        <v>0.007836986940168822</v>
      </c>
      <c r="S29" s="15">
        <f t="shared" si="6"/>
        <v>0.007836986940168822</v>
      </c>
      <c r="T29" s="7">
        <f t="shared" si="7"/>
        <v>0.0007836986940168823</v>
      </c>
      <c r="U29" s="59">
        <v>1</v>
      </c>
      <c r="V29" s="64">
        <v>0.001765160255117076</v>
      </c>
      <c r="W29" s="15">
        <f t="shared" si="8"/>
        <v>0.000882580127558538</v>
      </c>
      <c r="X29" s="7">
        <f t="shared" si="9"/>
        <v>8.82580127558538E-05</v>
      </c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</row>
    <row r="30" spans="1:42" s="62" customFormat="1" ht="12.75">
      <c r="A30" s="62" t="s">
        <v>183</v>
      </c>
      <c r="B30" s="62">
        <v>26</v>
      </c>
      <c r="C30" s="62" t="s">
        <v>236</v>
      </c>
      <c r="D30" s="5">
        <v>0.1</v>
      </c>
      <c r="E30" s="59">
        <v>2</v>
      </c>
      <c r="F30" s="64">
        <v>0.3317054998708587</v>
      </c>
      <c r="G30" s="15">
        <f t="shared" si="0"/>
        <v>0.3317054998708587</v>
      </c>
      <c r="H30" s="7">
        <f t="shared" si="1"/>
        <v>0.03317054998708587</v>
      </c>
      <c r="I30" s="59">
        <v>2</v>
      </c>
      <c r="J30" s="64">
        <v>0.06753705313415931</v>
      </c>
      <c r="K30" s="15">
        <f t="shared" si="2"/>
        <v>0.06753705313415931</v>
      </c>
      <c r="L30" s="7">
        <f t="shared" si="3"/>
        <v>0.006753705313415931</v>
      </c>
      <c r="M30" s="59">
        <v>2</v>
      </c>
      <c r="N30" s="64">
        <v>0.10628974233951599</v>
      </c>
      <c r="O30" s="15">
        <f t="shared" si="4"/>
        <v>0.10628974233951599</v>
      </c>
      <c r="P30" s="7">
        <f t="shared" si="5"/>
        <v>0.0106289742339516</v>
      </c>
      <c r="Q30" s="59">
        <v>2</v>
      </c>
      <c r="R30" s="64">
        <v>0.052246579601125484</v>
      </c>
      <c r="S30" s="15">
        <f t="shared" si="6"/>
        <v>0.052246579601125484</v>
      </c>
      <c r="T30" s="7">
        <f t="shared" si="7"/>
        <v>0.005224657960112549</v>
      </c>
      <c r="U30" s="59">
        <v>2</v>
      </c>
      <c r="V30" s="64">
        <v>0.020593536309699217</v>
      </c>
      <c r="W30" s="15">
        <f t="shared" si="8"/>
        <v>0.020593536309699217</v>
      </c>
      <c r="X30" s="7">
        <f t="shared" si="9"/>
        <v>0.0020593536309699216</v>
      </c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</row>
    <row r="31" spans="1:42" s="62" customFormat="1" ht="12.75">
      <c r="A31" s="62" t="s">
        <v>183</v>
      </c>
      <c r="B31" s="62">
        <v>27</v>
      </c>
      <c r="C31" s="62" t="s">
        <v>237</v>
      </c>
      <c r="D31" s="5">
        <v>0</v>
      </c>
      <c r="E31" s="59"/>
      <c r="F31" s="64">
        <v>0.9136978769170019</v>
      </c>
      <c r="G31" s="15">
        <f t="shared" si="0"/>
        <v>0.9136978769170019</v>
      </c>
      <c r="H31" s="7">
        <f t="shared" si="1"/>
        <v>0</v>
      </c>
      <c r="I31" s="59"/>
      <c r="J31" s="64">
        <v>0.1604005011936283</v>
      </c>
      <c r="K31" s="15">
        <f t="shared" si="2"/>
        <v>0.1604005011936283</v>
      </c>
      <c r="L31" s="7">
        <f t="shared" si="3"/>
        <v>0</v>
      </c>
      <c r="M31" s="59"/>
      <c r="N31" s="64">
        <v>0.22075561870514848</v>
      </c>
      <c r="O31" s="15">
        <f t="shared" si="4"/>
        <v>0.22075561870514848</v>
      </c>
      <c r="P31" s="7">
        <f t="shared" si="5"/>
        <v>0</v>
      </c>
      <c r="Q31" s="59"/>
      <c r="R31" s="64">
        <v>0.0339602767407316</v>
      </c>
      <c r="S31" s="15">
        <f t="shared" si="6"/>
        <v>0.0339602767407316</v>
      </c>
      <c r="T31" s="7">
        <f t="shared" si="7"/>
        <v>0</v>
      </c>
      <c r="U31" s="59"/>
      <c r="V31" s="64">
        <v>0.00411870726193985</v>
      </c>
      <c r="W31" s="15">
        <f t="shared" si="8"/>
        <v>0.00411870726193985</v>
      </c>
      <c r="X31" s="7">
        <f t="shared" si="9"/>
        <v>0</v>
      </c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</row>
    <row r="32" spans="1:42" s="62" customFormat="1" ht="12.75">
      <c r="A32" s="62" t="s">
        <v>183</v>
      </c>
      <c r="B32" s="62">
        <v>28</v>
      </c>
      <c r="C32" s="62" t="s">
        <v>238</v>
      </c>
      <c r="D32" s="5">
        <v>0</v>
      </c>
      <c r="E32" s="59"/>
      <c r="F32" s="64">
        <v>1.7791476811255147</v>
      </c>
      <c r="G32" s="15">
        <f t="shared" si="0"/>
        <v>1.7791476811255147</v>
      </c>
      <c r="H32" s="7">
        <f t="shared" si="1"/>
        <v>0</v>
      </c>
      <c r="I32" s="59"/>
      <c r="J32" s="64">
        <v>0.3939661432825959</v>
      </c>
      <c r="K32" s="15">
        <f t="shared" si="2"/>
        <v>0.3939661432825959</v>
      </c>
      <c r="L32" s="7">
        <f t="shared" si="3"/>
        <v>0</v>
      </c>
      <c r="M32" s="59"/>
      <c r="N32" s="64">
        <v>0.5450756017411076</v>
      </c>
      <c r="O32" s="15">
        <f t="shared" si="4"/>
        <v>0.5450756017411076</v>
      </c>
      <c r="P32" s="7">
        <f t="shared" si="5"/>
        <v>0</v>
      </c>
      <c r="Q32" s="59"/>
      <c r="R32" s="64">
        <v>0.17502604166377</v>
      </c>
      <c r="S32" s="15">
        <f t="shared" si="6"/>
        <v>0.17502604166377</v>
      </c>
      <c r="T32" s="7">
        <f t="shared" si="7"/>
        <v>0</v>
      </c>
      <c r="U32" s="59"/>
      <c r="V32" s="64">
        <v>0.04707094013645536</v>
      </c>
      <c r="W32" s="15">
        <f t="shared" si="8"/>
        <v>0.04707094013645536</v>
      </c>
      <c r="X32" s="7">
        <f t="shared" si="9"/>
        <v>0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</row>
    <row r="33" spans="1:42" s="62" customFormat="1" ht="12.75">
      <c r="A33" s="62" t="s">
        <v>183</v>
      </c>
      <c r="B33" s="62">
        <v>29</v>
      </c>
      <c r="C33" s="62" t="s">
        <v>239</v>
      </c>
      <c r="D33" s="5">
        <v>0.01</v>
      </c>
      <c r="E33" s="59"/>
      <c r="F33" s="64">
        <v>0.11157366813838</v>
      </c>
      <c r="G33" s="15">
        <f t="shared" si="0"/>
        <v>0.11157366813838</v>
      </c>
      <c r="H33" s="7">
        <f t="shared" si="1"/>
        <v>0.0011157366813838</v>
      </c>
      <c r="I33" s="59"/>
      <c r="J33" s="64">
        <v>0.04221065820884957</v>
      </c>
      <c r="K33" s="15">
        <f t="shared" si="2"/>
        <v>0.04221065820884957</v>
      </c>
      <c r="L33" s="7">
        <f t="shared" si="3"/>
        <v>0.0004221065820884957</v>
      </c>
      <c r="M33" s="59"/>
      <c r="N33" s="64">
        <v>0.040880670130583</v>
      </c>
      <c r="O33" s="15">
        <f t="shared" si="4"/>
        <v>0.040880670130583</v>
      </c>
      <c r="P33" s="7">
        <f t="shared" si="5"/>
        <v>0.00040880670130583</v>
      </c>
      <c r="Q33" s="59"/>
      <c r="R33" s="64">
        <v>0.028735618780619</v>
      </c>
      <c r="S33" s="15">
        <f t="shared" si="6"/>
        <v>0.028735618780619</v>
      </c>
      <c r="T33" s="7">
        <f t="shared" si="7"/>
        <v>0.00028735618780619004</v>
      </c>
      <c r="U33" s="59"/>
      <c r="V33" s="64">
        <v>0.017651602551170757</v>
      </c>
      <c r="W33" s="15">
        <f t="shared" si="8"/>
        <v>0.017651602551170757</v>
      </c>
      <c r="X33" s="7">
        <f t="shared" si="9"/>
        <v>0.00017651602551170756</v>
      </c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</row>
    <row r="34" spans="1:42" s="62" customFormat="1" ht="12.75">
      <c r="A34" s="62" t="s">
        <v>183</v>
      </c>
      <c r="B34" s="62">
        <v>30</v>
      </c>
      <c r="C34" s="62" t="s">
        <v>240</v>
      </c>
      <c r="D34" s="5">
        <v>0.01</v>
      </c>
      <c r="E34" s="59"/>
      <c r="F34" s="64">
        <v>0.05729458634133013</v>
      </c>
      <c r="G34" s="15">
        <f t="shared" si="0"/>
        <v>0.05729458634133013</v>
      </c>
      <c r="H34" s="7">
        <f t="shared" si="1"/>
        <v>0.0005729458634133013</v>
      </c>
      <c r="I34" s="59">
        <v>2</v>
      </c>
      <c r="J34" s="64">
        <v>0.008442131641769914</v>
      </c>
      <c r="K34" s="15">
        <f t="shared" si="2"/>
        <v>0.008442131641769914</v>
      </c>
      <c r="L34" s="7">
        <f t="shared" si="3"/>
        <v>8.442131641769914E-05</v>
      </c>
      <c r="M34" s="59">
        <v>2</v>
      </c>
      <c r="N34" s="64">
        <v>0.016352268052233228</v>
      </c>
      <c r="O34" s="15">
        <f t="shared" si="4"/>
        <v>0.016352268052233228</v>
      </c>
      <c r="P34" s="7">
        <f t="shared" si="5"/>
        <v>0.0001635226805223323</v>
      </c>
      <c r="Q34" s="59">
        <v>2</v>
      </c>
      <c r="R34" s="64">
        <v>0.007836986940168822</v>
      </c>
      <c r="S34" s="15">
        <f t="shared" si="6"/>
        <v>0.007836986940168822</v>
      </c>
      <c r="T34" s="7">
        <f t="shared" si="7"/>
        <v>7.836986940168822E-05</v>
      </c>
      <c r="U34" s="59">
        <v>1</v>
      </c>
      <c r="V34" s="64">
        <v>0.0005883867517056919</v>
      </c>
      <c r="W34" s="15">
        <f t="shared" si="8"/>
        <v>0.00029419337585284596</v>
      </c>
      <c r="X34" s="7">
        <f t="shared" si="9"/>
        <v>2.9419337585284596E-06</v>
      </c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</row>
    <row r="35" spans="1:42" s="62" customFormat="1" ht="12.75">
      <c r="A35" s="62" t="s">
        <v>183</v>
      </c>
      <c r="B35" s="62">
        <v>31</v>
      </c>
      <c r="C35" s="62" t="s">
        <v>241</v>
      </c>
      <c r="D35" s="5">
        <v>0</v>
      </c>
      <c r="E35" s="59"/>
      <c r="F35" s="64">
        <v>0.0150775227214027</v>
      </c>
      <c r="G35" s="15">
        <f t="shared" si="0"/>
        <v>0.0150775227214027</v>
      </c>
      <c r="H35" s="7">
        <f t="shared" si="1"/>
        <v>0</v>
      </c>
      <c r="I35" s="59"/>
      <c r="J35" s="64">
        <v>0.0056280877611799285</v>
      </c>
      <c r="K35" s="15">
        <f t="shared" si="2"/>
        <v>0.0056280877611799285</v>
      </c>
      <c r="L35" s="7">
        <f t="shared" si="3"/>
        <v>0</v>
      </c>
      <c r="M35" s="59"/>
      <c r="N35" s="64">
        <v>-0.00545075601741106</v>
      </c>
      <c r="O35" s="15">
        <f t="shared" si="4"/>
        <v>-0.00545075601741106</v>
      </c>
      <c r="P35" s="7">
        <f t="shared" si="5"/>
        <v>0</v>
      </c>
      <c r="Q35" s="59"/>
      <c r="R35" s="64">
        <v>3.46945E-18</v>
      </c>
      <c r="S35" s="15">
        <f t="shared" si="6"/>
        <v>3.46945E-18</v>
      </c>
      <c r="T35" s="7">
        <f t="shared" si="7"/>
        <v>0</v>
      </c>
      <c r="U35" s="59"/>
      <c r="V35" s="64">
        <v>0.005295480765351232</v>
      </c>
      <c r="W35" s="15">
        <f t="shared" si="8"/>
        <v>0.005295480765351232</v>
      </c>
      <c r="X35" s="7">
        <f t="shared" si="9"/>
        <v>0</v>
      </c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</row>
    <row r="36" spans="1:42" s="62" customFormat="1" ht="12.75">
      <c r="A36" s="62" t="s">
        <v>183</v>
      </c>
      <c r="B36" s="62">
        <v>32</v>
      </c>
      <c r="C36" s="62" t="s">
        <v>242</v>
      </c>
      <c r="D36" s="5">
        <v>0</v>
      </c>
      <c r="E36" s="59"/>
      <c r="F36" s="64">
        <v>0.18394577720111255</v>
      </c>
      <c r="G36" s="15">
        <f t="shared" si="0"/>
        <v>0.18394577720111255</v>
      </c>
      <c r="H36" s="7">
        <f t="shared" si="1"/>
        <v>0</v>
      </c>
      <c r="I36" s="59"/>
      <c r="J36" s="64">
        <v>0.05628087761179941</v>
      </c>
      <c r="K36" s="15">
        <f t="shared" si="2"/>
        <v>0.05628087761179941</v>
      </c>
      <c r="L36" s="7">
        <f t="shared" si="3"/>
        <v>0</v>
      </c>
      <c r="M36" s="59"/>
      <c r="N36" s="64">
        <v>0.051782182165405234</v>
      </c>
      <c r="O36" s="15">
        <f t="shared" si="4"/>
        <v>0.051782182165405234</v>
      </c>
      <c r="P36" s="7">
        <f t="shared" si="5"/>
        <v>0</v>
      </c>
      <c r="Q36" s="59"/>
      <c r="R36" s="64">
        <v>0.03657260572078784</v>
      </c>
      <c r="S36" s="15">
        <f t="shared" si="6"/>
        <v>0.03657260572078784</v>
      </c>
      <c r="T36" s="7">
        <f t="shared" si="7"/>
        <v>0</v>
      </c>
      <c r="U36" s="59"/>
      <c r="V36" s="64">
        <v>0.02353547006822768</v>
      </c>
      <c r="W36" s="15">
        <f t="shared" si="8"/>
        <v>0.02353547006822768</v>
      </c>
      <c r="X36" s="7">
        <f t="shared" si="9"/>
        <v>0</v>
      </c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</row>
    <row r="37" spans="1:42" s="62" customFormat="1" ht="12.75">
      <c r="A37" s="62" t="s">
        <v>183</v>
      </c>
      <c r="B37" s="62">
        <v>33</v>
      </c>
      <c r="C37" s="62" t="s">
        <v>243</v>
      </c>
      <c r="D37" s="5">
        <v>0.001</v>
      </c>
      <c r="E37" s="59">
        <v>2</v>
      </c>
      <c r="F37" s="64">
        <v>0.039201559075647</v>
      </c>
      <c r="G37" s="15">
        <f t="shared" si="0"/>
        <v>0.039201559075647</v>
      </c>
      <c r="H37" s="7">
        <f t="shared" si="1"/>
        <v>3.9201559075647003E-05</v>
      </c>
      <c r="I37" s="59">
        <v>2</v>
      </c>
      <c r="J37" s="64">
        <v>0.014070219402949852</v>
      </c>
      <c r="K37" s="15">
        <f t="shared" si="2"/>
        <v>0.014070219402949852</v>
      </c>
      <c r="L37" s="7">
        <f t="shared" si="3"/>
        <v>1.4070219402949853E-05</v>
      </c>
      <c r="M37" s="59">
        <v>2</v>
      </c>
      <c r="N37" s="64">
        <v>0.027253780087055382</v>
      </c>
      <c r="O37" s="15">
        <f t="shared" si="4"/>
        <v>0.027253780087055382</v>
      </c>
      <c r="P37" s="7">
        <f t="shared" si="5"/>
        <v>2.7253780087055382E-05</v>
      </c>
      <c r="Q37" s="59">
        <v>2</v>
      </c>
      <c r="R37" s="64">
        <v>0.013061644900281371</v>
      </c>
      <c r="S37" s="15">
        <f t="shared" si="6"/>
        <v>0.013061644900281371</v>
      </c>
      <c r="T37" s="7">
        <f t="shared" si="7"/>
        <v>1.3061644900281371E-05</v>
      </c>
      <c r="U37" s="59">
        <v>2</v>
      </c>
      <c r="V37" s="64">
        <v>0.008825801275585379</v>
      </c>
      <c r="W37" s="15">
        <f t="shared" si="8"/>
        <v>0.008825801275585379</v>
      </c>
      <c r="X37" s="7">
        <f t="shared" si="9"/>
        <v>8.825801275585378E-06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</row>
    <row r="38" spans="1:42" s="62" customFormat="1" ht="12.75">
      <c r="A38" s="62" t="s">
        <v>183</v>
      </c>
      <c r="B38" s="62">
        <v>34</v>
      </c>
      <c r="C38" s="62" t="s">
        <v>244</v>
      </c>
      <c r="D38" s="59"/>
      <c r="E38" s="59"/>
      <c r="F38" s="64">
        <v>118.43092547207367</v>
      </c>
      <c r="G38" s="67">
        <f>G37+G36+G32+G26+G22+G19+G18+G15+G10+G7</f>
        <v>118.43192547207369</v>
      </c>
      <c r="H38" s="59"/>
      <c r="I38" s="59"/>
      <c r="J38" s="64">
        <v>49.631291921965314</v>
      </c>
      <c r="K38" s="67">
        <f>K37+K36+K32+K26+K22+K19+K18+K15+K10+K7</f>
        <v>49.63129192196532</v>
      </c>
      <c r="L38" s="59"/>
      <c r="M38" s="59"/>
      <c r="N38" s="64">
        <v>75.25041219836862</v>
      </c>
      <c r="O38" s="67">
        <f>O37+O36+O32+O26+O22+O19+O18+O15+O10+O7</f>
        <v>75.25041219836866</v>
      </c>
      <c r="P38" s="59"/>
      <c r="Q38" s="59"/>
      <c r="R38" s="64">
        <v>28.9811777047443</v>
      </c>
      <c r="S38" s="67">
        <f>S37+S36+S32+S26+S22+S19+S18+S15+S10+S7</f>
        <v>28.981177704744304</v>
      </c>
      <c r="T38" s="59"/>
      <c r="U38" s="59"/>
      <c r="V38" s="64">
        <v>4.0510427854937</v>
      </c>
      <c r="W38" s="67">
        <f>W37+W36+W32+W26+W22+W19+W18+W15+W10+W7</f>
        <v>4.05104278549369</v>
      </c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</row>
    <row r="39" spans="1:42" s="62" customFormat="1" ht="12.75">
      <c r="A39" s="62" t="s">
        <v>183</v>
      </c>
      <c r="B39" s="62">
        <v>35</v>
      </c>
      <c r="C39" s="62" t="s">
        <v>33</v>
      </c>
      <c r="D39" s="59"/>
      <c r="E39" s="61">
        <f>(F39-H39)*2/F39*100</f>
        <v>-0.0002400230624725612</v>
      </c>
      <c r="F39" s="64">
        <v>0.83325326218923</v>
      </c>
      <c r="G39" s="59"/>
      <c r="H39" s="64">
        <f>SUM(H5:H37)</f>
        <v>0.833254262189229</v>
      </c>
      <c r="I39" s="61">
        <f>(J39-L39)*2/J39*100</f>
        <v>0.9190585164557268</v>
      </c>
      <c r="J39" s="64">
        <v>0.306187672515353</v>
      </c>
      <c r="K39" s="59"/>
      <c r="L39" s="64">
        <f>SUM(L5:L37)</f>
        <v>0.30478065057505804</v>
      </c>
      <c r="M39" s="61">
        <f>(N39-P39)*2/N39*100</f>
        <v>6.404502472880581E-14</v>
      </c>
      <c r="N39" s="64">
        <v>0.346700787243449</v>
      </c>
      <c r="O39" s="59"/>
      <c r="P39" s="64">
        <f>SUM(P5:P37)</f>
        <v>0.3467007872434489</v>
      </c>
      <c r="Q39" s="61">
        <f>(R39-T39)*2/R39*100</f>
        <v>-3.565801118068872E-14</v>
      </c>
      <c r="R39" s="64">
        <v>0.15567652090849352</v>
      </c>
      <c r="S39" s="59"/>
      <c r="T39" s="64">
        <f>SUM(T5:T37)</f>
        <v>0.15567652090849354</v>
      </c>
      <c r="U39" s="61">
        <f>(V39-X39)*2/V39*100</f>
        <v>0.309814111533052</v>
      </c>
      <c r="V39" s="64">
        <v>0.058873978375671536</v>
      </c>
      <c r="W39" s="59"/>
      <c r="X39" s="64">
        <f>SUM(X5:X37)</f>
        <v>0.05878277842915716</v>
      </c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</row>
  </sheetData>
  <mergeCells count="5">
    <mergeCell ref="V1:X1"/>
    <mergeCell ref="F1:H1"/>
    <mergeCell ref="J1:L1"/>
    <mergeCell ref="N1:P1"/>
    <mergeCell ref="R1:T1"/>
  </mergeCells>
  <printOptions headings="1" horizontalCentered="1"/>
  <pageMargins left="0.25" right="0.25" top="0.5" bottom="0.5" header="0.25" footer="0.25"/>
  <pageSetup horizontalDpi="300" verticalDpi="300" orientation="landscape" pageOrder="overThenDown" scale="75" r:id="rId1"/>
  <headerFooter alignWithMargins="0">
    <oddFooter>&amp;C&amp;P, &amp;A, 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J39"/>
  <sheetViews>
    <sheetView workbookViewId="0" topLeftCell="C1">
      <selection activeCell="C25" sqref="C25"/>
    </sheetView>
  </sheetViews>
  <sheetFormatPr defaultColWidth="9.140625" defaultRowHeight="12.75"/>
  <cols>
    <col min="1" max="1" width="9.140625" style="0" hidden="1" customWidth="1"/>
    <col min="2" max="2" width="5.00390625" style="0" hidden="1" customWidth="1"/>
    <col min="3" max="3" width="13.8515625" style="0" customWidth="1"/>
    <col min="5" max="5" width="4.57421875" style="0" customWidth="1"/>
    <col min="9" max="9" width="3.28125" style="0" customWidth="1"/>
  </cols>
  <sheetData>
    <row r="1" spans="3:12" ht="12.75">
      <c r="C1" s="2" t="s">
        <v>189</v>
      </c>
      <c r="D1" s="5" t="s">
        <v>26</v>
      </c>
      <c r="F1" s="84" t="s">
        <v>140</v>
      </c>
      <c r="G1" s="84"/>
      <c r="H1" s="84"/>
      <c r="J1" s="84" t="s">
        <v>141</v>
      </c>
      <c r="K1" s="84"/>
      <c r="L1" s="84"/>
    </row>
    <row r="2" spans="4:12" ht="12.75">
      <c r="D2" s="5" t="s">
        <v>30</v>
      </c>
      <c r="F2" s="3" t="s">
        <v>31</v>
      </c>
      <c r="G2" s="8" t="s">
        <v>31</v>
      </c>
      <c r="H2" s="11" t="s">
        <v>32</v>
      </c>
      <c r="J2" s="3" t="s">
        <v>31</v>
      </c>
      <c r="K2" s="8" t="s">
        <v>31</v>
      </c>
      <c r="L2" s="11" t="s">
        <v>32</v>
      </c>
    </row>
    <row r="3" spans="3:12" ht="12.75">
      <c r="C3" t="s">
        <v>80</v>
      </c>
      <c r="D3" s="5"/>
      <c r="F3" s="3" t="s">
        <v>210</v>
      </c>
      <c r="G3" s="8" t="s">
        <v>74</v>
      </c>
      <c r="H3" s="11" t="s">
        <v>74</v>
      </c>
      <c r="J3" s="3" t="s">
        <v>210</v>
      </c>
      <c r="K3" s="8" t="s">
        <v>74</v>
      </c>
      <c r="L3" s="11" t="s">
        <v>74</v>
      </c>
    </row>
    <row r="4" spans="4:12" ht="12.75">
      <c r="D4" s="4"/>
      <c r="G4" s="6"/>
      <c r="H4" s="7"/>
      <c r="K4" s="6"/>
      <c r="L4" s="7"/>
    </row>
    <row r="5" spans="1:36" s="62" customFormat="1" ht="12.75">
      <c r="A5" s="62" t="s">
        <v>189</v>
      </c>
      <c r="B5" s="62">
        <v>1</v>
      </c>
      <c r="C5" s="62" t="s">
        <v>211</v>
      </c>
      <c r="D5" s="5">
        <v>1</v>
      </c>
      <c r="E5" s="59">
        <v>1</v>
      </c>
      <c r="F5" s="59">
        <v>0.061</v>
      </c>
      <c r="G5" s="15">
        <f>IF(F5=0,"",IF(E5=1,F5/2,F5))</f>
        <v>0.0305</v>
      </c>
      <c r="H5" s="7">
        <f>IF(G5="","",G5*$D5)</f>
        <v>0.0305</v>
      </c>
      <c r="I5" s="59"/>
      <c r="J5" s="59">
        <v>0.041</v>
      </c>
      <c r="K5" s="15">
        <f>IF(J5=0,"",IF(I5=1,J5/2,J5))</f>
        <v>0.041</v>
      </c>
      <c r="L5" s="7">
        <f>IF(K5="","",K5*$D5)</f>
        <v>0.041</v>
      </c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</row>
    <row r="6" spans="1:36" s="62" customFormat="1" ht="12.75">
      <c r="A6" s="62" t="s">
        <v>189</v>
      </c>
      <c r="B6" s="62">
        <v>2</v>
      </c>
      <c r="C6" s="62" t="s">
        <v>212</v>
      </c>
      <c r="D6" s="5">
        <v>0</v>
      </c>
      <c r="E6" s="59"/>
      <c r="F6" s="59">
        <v>14.509</v>
      </c>
      <c r="G6" s="15">
        <f aca="true" t="shared" si="0" ref="G6:G37">IF(F6=0,"",IF(E6=1,F6/2,F6))</f>
        <v>14.509</v>
      </c>
      <c r="H6" s="7">
        <f aca="true" t="shared" si="1" ref="H6:H37">IF(G6="","",G6*$D6)</f>
        <v>0</v>
      </c>
      <c r="I6" s="59"/>
      <c r="J6" s="59">
        <v>10.565</v>
      </c>
      <c r="K6" s="15">
        <f aca="true" t="shared" si="2" ref="K6:K37">IF(J6=0,"",IF(I6=1,J6/2,J6))</f>
        <v>10.565</v>
      </c>
      <c r="L6" s="7">
        <f aca="true" t="shared" si="3" ref="L6:L37">IF(K6="","",K6*$D6)</f>
        <v>0</v>
      </c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</row>
    <row r="7" spans="1:36" s="62" customFormat="1" ht="12.75">
      <c r="A7" s="62" t="s">
        <v>189</v>
      </c>
      <c r="B7" s="62">
        <v>3</v>
      </c>
      <c r="C7" s="62" t="s">
        <v>213</v>
      </c>
      <c r="D7" s="5">
        <v>0</v>
      </c>
      <c r="E7" s="59"/>
      <c r="F7" s="59">
        <v>14.57</v>
      </c>
      <c r="G7" s="15">
        <f t="shared" si="0"/>
        <v>14.57</v>
      </c>
      <c r="H7" s="7">
        <f t="shared" si="1"/>
        <v>0</v>
      </c>
      <c r="I7" s="59"/>
      <c r="J7" s="59">
        <v>10.606</v>
      </c>
      <c r="K7" s="15">
        <f t="shared" si="2"/>
        <v>10.606</v>
      </c>
      <c r="L7" s="7">
        <f t="shared" si="3"/>
        <v>0</v>
      </c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</row>
    <row r="8" spans="1:36" s="62" customFormat="1" ht="12.75">
      <c r="A8" s="62" t="s">
        <v>189</v>
      </c>
      <c r="B8" s="62">
        <v>4</v>
      </c>
      <c r="C8" s="62" t="s">
        <v>214</v>
      </c>
      <c r="D8" s="5">
        <v>0.5</v>
      </c>
      <c r="E8" s="59"/>
      <c r="F8" s="59">
        <v>0.124</v>
      </c>
      <c r="G8" s="15">
        <f t="shared" si="0"/>
        <v>0.124</v>
      </c>
      <c r="H8" s="7">
        <f t="shared" si="1"/>
        <v>0.062</v>
      </c>
      <c r="I8" s="59"/>
      <c r="J8" s="59">
        <v>0.15</v>
      </c>
      <c r="K8" s="15">
        <f t="shared" si="2"/>
        <v>0.15</v>
      </c>
      <c r="L8" s="7">
        <f t="shared" si="3"/>
        <v>0.075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</row>
    <row r="9" spans="1:36" s="62" customFormat="1" ht="12.75">
      <c r="A9" s="62" t="s">
        <v>189</v>
      </c>
      <c r="B9" s="62">
        <v>5</v>
      </c>
      <c r="C9" s="62" t="s">
        <v>215</v>
      </c>
      <c r="D9" s="5">
        <v>0</v>
      </c>
      <c r="E9" s="59"/>
      <c r="F9" s="59">
        <v>18.333</v>
      </c>
      <c r="G9" s="15">
        <f t="shared" si="0"/>
        <v>18.333</v>
      </c>
      <c r="H9" s="7">
        <f t="shared" si="1"/>
        <v>0</v>
      </c>
      <c r="I9" s="59"/>
      <c r="J9" s="59">
        <v>13.469</v>
      </c>
      <c r="K9" s="15">
        <f t="shared" si="2"/>
        <v>13.469</v>
      </c>
      <c r="L9" s="7">
        <f t="shared" si="3"/>
        <v>0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</row>
    <row r="10" spans="1:36" s="62" customFormat="1" ht="12.75">
      <c r="A10" s="62" t="s">
        <v>189</v>
      </c>
      <c r="B10" s="62">
        <v>5</v>
      </c>
      <c r="C10" s="62" t="s">
        <v>216</v>
      </c>
      <c r="D10" s="5">
        <v>0</v>
      </c>
      <c r="E10" s="59"/>
      <c r="F10" s="59">
        <v>18.457</v>
      </c>
      <c r="G10" s="15">
        <f t="shared" si="0"/>
        <v>18.457</v>
      </c>
      <c r="H10" s="7">
        <f t="shared" si="1"/>
        <v>0</v>
      </c>
      <c r="I10" s="59"/>
      <c r="J10" s="59">
        <v>13.619</v>
      </c>
      <c r="K10" s="15">
        <f t="shared" si="2"/>
        <v>13.619</v>
      </c>
      <c r="L10" s="7">
        <f t="shared" si="3"/>
        <v>0</v>
      </c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s="62" customFormat="1" ht="12.75">
      <c r="A11" s="62" t="s">
        <v>189</v>
      </c>
      <c r="B11" s="62">
        <v>7</v>
      </c>
      <c r="C11" s="62" t="s">
        <v>217</v>
      </c>
      <c r="D11" s="5">
        <v>0.1</v>
      </c>
      <c r="E11" s="59"/>
      <c r="F11" s="59">
        <v>0.136</v>
      </c>
      <c r="G11" s="15">
        <f t="shared" si="0"/>
        <v>0.136</v>
      </c>
      <c r="H11" s="7">
        <f t="shared" si="1"/>
        <v>0.013600000000000001</v>
      </c>
      <c r="I11" s="59"/>
      <c r="J11" s="59">
        <v>0.141</v>
      </c>
      <c r="K11" s="15">
        <f t="shared" si="2"/>
        <v>0.141</v>
      </c>
      <c r="L11" s="7">
        <f t="shared" si="3"/>
        <v>0.0141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s="62" customFormat="1" ht="12.75">
      <c r="A12" s="62" t="s">
        <v>189</v>
      </c>
      <c r="B12" s="62">
        <v>8</v>
      </c>
      <c r="C12" s="62" t="s">
        <v>218</v>
      </c>
      <c r="D12" s="5">
        <v>0.1</v>
      </c>
      <c r="E12" s="59"/>
      <c r="F12" s="59">
        <v>0.189</v>
      </c>
      <c r="G12" s="15">
        <f t="shared" si="0"/>
        <v>0.189</v>
      </c>
      <c r="H12" s="7">
        <f t="shared" si="1"/>
        <v>0.0189</v>
      </c>
      <c r="I12" s="59"/>
      <c r="J12" s="59">
        <v>0.264</v>
      </c>
      <c r="K12" s="15">
        <f t="shared" si="2"/>
        <v>0.264</v>
      </c>
      <c r="L12" s="7">
        <f t="shared" si="3"/>
        <v>0.026400000000000003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s="62" customFormat="1" ht="12.75">
      <c r="A13" s="62" t="s">
        <v>189</v>
      </c>
      <c r="B13" s="62">
        <v>9</v>
      </c>
      <c r="C13" s="62" t="s">
        <v>219</v>
      </c>
      <c r="D13" s="5">
        <v>0.1</v>
      </c>
      <c r="E13" s="59"/>
      <c r="F13" s="59">
        <v>0.265</v>
      </c>
      <c r="G13" s="15">
        <f t="shared" si="0"/>
        <v>0.265</v>
      </c>
      <c r="H13" s="7">
        <f t="shared" si="1"/>
        <v>0.026500000000000003</v>
      </c>
      <c r="I13" s="59"/>
      <c r="J13" s="59">
        <v>0.148</v>
      </c>
      <c r="K13" s="15">
        <f t="shared" si="2"/>
        <v>0.148</v>
      </c>
      <c r="L13" s="7">
        <f t="shared" si="3"/>
        <v>0.0148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s="62" customFormat="1" ht="12.75">
      <c r="A14" s="62" t="s">
        <v>189</v>
      </c>
      <c r="B14" s="62">
        <v>10</v>
      </c>
      <c r="C14" s="62" t="s">
        <v>220</v>
      </c>
      <c r="D14" s="5">
        <v>0</v>
      </c>
      <c r="E14" s="59"/>
      <c r="F14" s="59">
        <v>38.074</v>
      </c>
      <c r="G14" s="15">
        <f t="shared" si="0"/>
        <v>38.074</v>
      </c>
      <c r="H14" s="7">
        <f t="shared" si="1"/>
        <v>0</v>
      </c>
      <c r="I14" s="59"/>
      <c r="J14" s="59">
        <v>21.999</v>
      </c>
      <c r="K14" s="15">
        <f t="shared" si="2"/>
        <v>21.999</v>
      </c>
      <c r="L14" s="7">
        <f t="shared" si="3"/>
        <v>0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</row>
    <row r="15" spans="1:36" s="62" customFormat="1" ht="12.75">
      <c r="A15" s="62" t="s">
        <v>189</v>
      </c>
      <c r="B15" s="62">
        <v>11</v>
      </c>
      <c r="C15" s="62" t="s">
        <v>221</v>
      </c>
      <c r="D15" s="5">
        <v>0</v>
      </c>
      <c r="E15" s="59"/>
      <c r="F15" s="59">
        <v>38.664</v>
      </c>
      <c r="G15" s="15">
        <f t="shared" si="0"/>
        <v>38.664</v>
      </c>
      <c r="H15" s="7">
        <f t="shared" si="1"/>
        <v>0</v>
      </c>
      <c r="I15" s="59"/>
      <c r="J15" s="59">
        <v>22.552</v>
      </c>
      <c r="K15" s="15">
        <f t="shared" si="2"/>
        <v>22.552</v>
      </c>
      <c r="L15" s="7">
        <f t="shared" si="3"/>
        <v>0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</row>
    <row r="16" spans="1:36" s="62" customFormat="1" ht="12.75">
      <c r="A16" s="62" t="s">
        <v>189</v>
      </c>
      <c r="B16" s="62">
        <v>12</v>
      </c>
      <c r="C16" s="62" t="s">
        <v>222</v>
      </c>
      <c r="D16" s="5">
        <v>0.01</v>
      </c>
      <c r="E16" s="59"/>
      <c r="F16" s="59">
        <v>0.936</v>
      </c>
      <c r="G16" s="15">
        <f t="shared" si="0"/>
        <v>0.936</v>
      </c>
      <c r="H16" s="7">
        <f t="shared" si="1"/>
        <v>0.00936</v>
      </c>
      <c r="I16" s="59"/>
      <c r="J16" s="59">
        <v>0.758</v>
      </c>
      <c r="K16" s="15">
        <f t="shared" si="2"/>
        <v>0.758</v>
      </c>
      <c r="L16" s="7">
        <f t="shared" si="3"/>
        <v>0.00758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</row>
    <row r="17" spans="1:36" s="62" customFormat="1" ht="12.75">
      <c r="A17" s="62" t="s">
        <v>189</v>
      </c>
      <c r="B17" s="62">
        <v>13</v>
      </c>
      <c r="C17" s="62" t="s">
        <v>223</v>
      </c>
      <c r="D17" s="5">
        <v>0</v>
      </c>
      <c r="E17" s="59"/>
      <c r="F17" s="59">
        <v>1.404</v>
      </c>
      <c r="G17" s="15">
        <f t="shared" si="0"/>
        <v>1.404</v>
      </c>
      <c r="H17" s="7">
        <f t="shared" si="1"/>
        <v>0</v>
      </c>
      <c r="I17" s="59"/>
      <c r="J17" s="59">
        <v>1.532</v>
      </c>
      <c r="K17" s="15">
        <f t="shared" si="2"/>
        <v>1.532</v>
      </c>
      <c r="L17" s="7">
        <f t="shared" si="3"/>
        <v>0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</row>
    <row r="18" spans="1:36" s="62" customFormat="1" ht="12.75">
      <c r="A18" s="62" t="s">
        <v>189</v>
      </c>
      <c r="B18" s="62">
        <v>14</v>
      </c>
      <c r="C18" s="62" t="s">
        <v>224</v>
      </c>
      <c r="D18" s="5">
        <v>0</v>
      </c>
      <c r="E18" s="59"/>
      <c r="F18" s="59">
        <v>2.34</v>
      </c>
      <c r="G18" s="15">
        <f t="shared" si="0"/>
        <v>2.34</v>
      </c>
      <c r="H18" s="7">
        <f t="shared" si="1"/>
        <v>0</v>
      </c>
      <c r="I18" s="59"/>
      <c r="J18" s="59">
        <v>2.29</v>
      </c>
      <c r="K18" s="15">
        <f t="shared" si="2"/>
        <v>2.29</v>
      </c>
      <c r="L18" s="7">
        <f t="shared" si="3"/>
        <v>0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</row>
    <row r="19" spans="1:36" s="62" customFormat="1" ht="12.75">
      <c r="A19" s="62" t="s">
        <v>189</v>
      </c>
      <c r="B19" s="62">
        <v>15</v>
      </c>
      <c r="C19" s="62" t="s">
        <v>225</v>
      </c>
      <c r="D19" s="5">
        <v>0.001</v>
      </c>
      <c r="E19" s="59">
        <v>2</v>
      </c>
      <c r="F19" s="59">
        <v>0.203</v>
      </c>
      <c r="G19" s="15">
        <f t="shared" si="0"/>
        <v>0.203</v>
      </c>
      <c r="H19" s="7">
        <f t="shared" si="1"/>
        <v>0.00020300000000000003</v>
      </c>
      <c r="I19" s="59"/>
      <c r="J19" s="59">
        <v>0.211</v>
      </c>
      <c r="K19" s="15">
        <f t="shared" si="2"/>
        <v>0.211</v>
      </c>
      <c r="L19" s="7">
        <f t="shared" si="3"/>
        <v>0.000211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</row>
    <row r="20" spans="1:36" s="62" customFormat="1" ht="12.75">
      <c r="A20" s="62" t="s">
        <v>189</v>
      </c>
      <c r="B20" s="62">
        <v>16</v>
      </c>
      <c r="C20" s="62" t="s">
        <v>226</v>
      </c>
      <c r="D20" s="5">
        <v>0.1</v>
      </c>
      <c r="E20" s="59"/>
      <c r="F20" s="59">
        <v>0.203</v>
      </c>
      <c r="G20" s="15">
        <f t="shared" si="0"/>
        <v>0.203</v>
      </c>
      <c r="H20" s="7">
        <f t="shared" si="1"/>
        <v>0.020300000000000002</v>
      </c>
      <c r="I20" s="59"/>
      <c r="J20" s="59">
        <v>0.388</v>
      </c>
      <c r="K20" s="15">
        <f t="shared" si="2"/>
        <v>0.388</v>
      </c>
      <c r="L20" s="7">
        <f t="shared" si="3"/>
        <v>0.0388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</row>
    <row r="21" spans="1:36" s="62" customFormat="1" ht="12.75">
      <c r="A21" s="62" t="s">
        <v>189</v>
      </c>
      <c r="B21" s="62">
        <v>17</v>
      </c>
      <c r="C21" s="62" t="s">
        <v>227</v>
      </c>
      <c r="D21" s="5">
        <v>0</v>
      </c>
      <c r="E21" s="59"/>
      <c r="F21" s="59">
        <v>9.707</v>
      </c>
      <c r="G21" s="15">
        <f t="shared" si="0"/>
        <v>9.707</v>
      </c>
      <c r="H21" s="7">
        <f t="shared" si="1"/>
        <v>0</v>
      </c>
      <c r="I21" s="59"/>
      <c r="J21" s="59">
        <v>14.024</v>
      </c>
      <c r="K21" s="15">
        <f t="shared" si="2"/>
        <v>14.024</v>
      </c>
      <c r="L21" s="7">
        <f t="shared" si="3"/>
        <v>0</v>
      </c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</row>
    <row r="22" spans="1:36" s="62" customFormat="1" ht="12.75">
      <c r="A22" s="62" t="s">
        <v>189</v>
      </c>
      <c r="B22" s="62">
        <v>18</v>
      </c>
      <c r="C22" s="62" t="s">
        <v>228</v>
      </c>
      <c r="D22" s="5">
        <v>0</v>
      </c>
      <c r="E22" s="59"/>
      <c r="F22" s="59">
        <v>9.91</v>
      </c>
      <c r="G22" s="15">
        <f t="shared" si="0"/>
        <v>9.91</v>
      </c>
      <c r="H22" s="7">
        <f t="shared" si="1"/>
        <v>0</v>
      </c>
      <c r="I22" s="59"/>
      <c r="J22" s="59">
        <v>14.412</v>
      </c>
      <c r="K22" s="15">
        <f t="shared" si="2"/>
        <v>14.412</v>
      </c>
      <c r="L22" s="7">
        <f t="shared" si="3"/>
        <v>0</v>
      </c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36" s="62" customFormat="1" ht="12.75">
      <c r="A23" s="62" t="s">
        <v>189</v>
      </c>
      <c r="B23" s="62">
        <v>19</v>
      </c>
      <c r="C23" s="62" t="s">
        <v>229</v>
      </c>
      <c r="D23" s="5">
        <v>0.05</v>
      </c>
      <c r="E23" s="59">
        <v>2</v>
      </c>
      <c r="F23" s="59">
        <v>0.165</v>
      </c>
      <c r="G23" s="15">
        <f t="shared" si="0"/>
        <v>0.165</v>
      </c>
      <c r="H23" s="7">
        <f t="shared" si="1"/>
        <v>0.00825</v>
      </c>
      <c r="I23" s="59"/>
      <c r="J23" s="59">
        <v>0.335</v>
      </c>
      <c r="K23" s="15">
        <f t="shared" si="2"/>
        <v>0.335</v>
      </c>
      <c r="L23" s="7">
        <f t="shared" si="3"/>
        <v>0.01675</v>
      </c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</row>
    <row r="24" spans="1:36" s="62" customFormat="1" ht="12.75">
      <c r="A24" s="62" t="s">
        <v>189</v>
      </c>
      <c r="B24" s="62">
        <v>20</v>
      </c>
      <c r="C24" s="62" t="s">
        <v>230</v>
      </c>
      <c r="D24" s="5">
        <v>0.5</v>
      </c>
      <c r="E24" s="59"/>
      <c r="F24" s="59">
        <v>0.427</v>
      </c>
      <c r="G24" s="15">
        <f t="shared" si="0"/>
        <v>0.427</v>
      </c>
      <c r="H24" s="7">
        <f t="shared" si="1"/>
        <v>0.2135</v>
      </c>
      <c r="I24" s="59"/>
      <c r="J24" s="59">
        <v>0.687</v>
      </c>
      <c r="K24" s="15">
        <f t="shared" si="2"/>
        <v>0.687</v>
      </c>
      <c r="L24" s="7">
        <f t="shared" si="3"/>
        <v>0.3435</v>
      </c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</row>
    <row r="25" spans="1:36" s="62" customFormat="1" ht="12.75">
      <c r="A25" s="62" t="s">
        <v>189</v>
      </c>
      <c r="B25" s="62">
        <v>21</v>
      </c>
      <c r="C25" s="62" t="s">
        <v>231</v>
      </c>
      <c r="D25" s="5">
        <v>0</v>
      </c>
      <c r="E25" s="59"/>
      <c r="F25" s="59">
        <v>2.013</v>
      </c>
      <c r="G25" s="15">
        <f t="shared" si="0"/>
        <v>2.013</v>
      </c>
      <c r="H25" s="7">
        <f t="shared" si="1"/>
        <v>0</v>
      </c>
      <c r="I25" s="59"/>
      <c r="J25" s="59">
        <v>4.651</v>
      </c>
      <c r="K25" s="15">
        <f t="shared" si="2"/>
        <v>4.651</v>
      </c>
      <c r="L25" s="7">
        <f t="shared" si="3"/>
        <v>0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</row>
    <row r="26" spans="1:36" s="62" customFormat="1" ht="12.75">
      <c r="A26" s="62" t="s">
        <v>189</v>
      </c>
      <c r="B26" s="62">
        <v>22</v>
      </c>
      <c r="C26" s="62" t="s">
        <v>232</v>
      </c>
      <c r="D26" s="5">
        <v>0</v>
      </c>
      <c r="E26" s="59"/>
      <c r="F26" s="59">
        <v>2.605</v>
      </c>
      <c r="G26" s="15">
        <f t="shared" si="0"/>
        <v>2.605</v>
      </c>
      <c r="H26" s="7">
        <f t="shared" si="1"/>
        <v>0</v>
      </c>
      <c r="I26" s="59"/>
      <c r="J26" s="59">
        <v>5.673</v>
      </c>
      <c r="K26" s="15">
        <f t="shared" si="2"/>
        <v>5.673</v>
      </c>
      <c r="L26" s="7">
        <f t="shared" si="3"/>
        <v>0</v>
      </c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</row>
    <row r="27" spans="1:36" s="62" customFormat="1" ht="12.75">
      <c r="A27" s="62" t="s">
        <v>189</v>
      </c>
      <c r="B27" s="62">
        <v>23</v>
      </c>
      <c r="C27" s="62" t="s">
        <v>233</v>
      </c>
      <c r="D27" s="5">
        <v>0.1</v>
      </c>
      <c r="E27" s="59"/>
      <c r="F27" s="59">
        <v>0.173</v>
      </c>
      <c r="G27" s="15">
        <f t="shared" si="0"/>
        <v>0.173</v>
      </c>
      <c r="H27" s="7">
        <f t="shared" si="1"/>
        <v>0.0173</v>
      </c>
      <c r="I27" s="59"/>
      <c r="J27" s="59">
        <v>0.493</v>
      </c>
      <c r="K27" s="15">
        <f t="shared" si="2"/>
        <v>0.493</v>
      </c>
      <c r="L27" s="7">
        <f t="shared" si="3"/>
        <v>0.049300000000000004</v>
      </c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</row>
    <row r="28" spans="1:36" s="62" customFormat="1" ht="12.75">
      <c r="A28" s="62" t="s">
        <v>189</v>
      </c>
      <c r="B28" s="62">
        <v>24</v>
      </c>
      <c r="C28" s="62" t="s">
        <v>234</v>
      </c>
      <c r="D28" s="5">
        <v>0.1</v>
      </c>
      <c r="E28" s="59">
        <v>2</v>
      </c>
      <c r="F28" s="59">
        <v>0.073</v>
      </c>
      <c r="G28" s="15">
        <f t="shared" si="0"/>
        <v>0.073</v>
      </c>
      <c r="H28" s="7">
        <f t="shared" si="1"/>
        <v>0.0073</v>
      </c>
      <c r="I28" s="59"/>
      <c r="J28" s="59">
        <v>0.211</v>
      </c>
      <c r="K28" s="15">
        <f t="shared" si="2"/>
        <v>0.211</v>
      </c>
      <c r="L28" s="7">
        <f t="shared" si="3"/>
        <v>0.0211</v>
      </c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</row>
    <row r="29" spans="1:36" s="62" customFormat="1" ht="12.75">
      <c r="A29" s="62" t="s">
        <v>189</v>
      </c>
      <c r="B29" s="62">
        <v>25</v>
      </c>
      <c r="C29" s="62" t="s">
        <v>235</v>
      </c>
      <c r="D29" s="5">
        <v>0.1</v>
      </c>
      <c r="E29" s="59">
        <v>1</v>
      </c>
      <c r="F29" s="59">
        <v>0.061</v>
      </c>
      <c r="G29" s="15">
        <f t="shared" si="0"/>
        <v>0.0305</v>
      </c>
      <c r="H29" s="7">
        <f t="shared" si="1"/>
        <v>0.00305</v>
      </c>
      <c r="I29" s="59"/>
      <c r="J29" s="59">
        <v>0.028</v>
      </c>
      <c r="K29" s="15">
        <f t="shared" si="2"/>
        <v>0.028</v>
      </c>
      <c r="L29" s="7">
        <f t="shared" si="3"/>
        <v>0.0028000000000000004</v>
      </c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</row>
    <row r="30" spans="1:36" s="62" customFormat="1" ht="12.75">
      <c r="A30" s="62" t="s">
        <v>189</v>
      </c>
      <c r="B30" s="62">
        <v>26</v>
      </c>
      <c r="C30" s="62" t="s">
        <v>236</v>
      </c>
      <c r="D30" s="5">
        <v>0.1</v>
      </c>
      <c r="E30" s="59"/>
      <c r="F30" s="59">
        <v>0.134</v>
      </c>
      <c r="G30" s="15">
        <f t="shared" si="0"/>
        <v>0.134</v>
      </c>
      <c r="H30" s="7">
        <f t="shared" si="1"/>
        <v>0.013400000000000002</v>
      </c>
      <c r="I30" s="59"/>
      <c r="J30" s="59">
        <v>0.194</v>
      </c>
      <c r="K30" s="15">
        <f t="shared" si="2"/>
        <v>0.194</v>
      </c>
      <c r="L30" s="7">
        <f t="shared" si="3"/>
        <v>0.0194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</row>
    <row r="31" spans="1:36" s="62" customFormat="1" ht="12.75">
      <c r="A31" s="62" t="s">
        <v>189</v>
      </c>
      <c r="B31" s="62">
        <v>27</v>
      </c>
      <c r="C31" s="62" t="s">
        <v>237</v>
      </c>
      <c r="D31" s="5">
        <v>0</v>
      </c>
      <c r="E31" s="59"/>
      <c r="F31" s="59">
        <v>0.353</v>
      </c>
      <c r="G31" s="15">
        <f t="shared" si="0"/>
        <v>0.353</v>
      </c>
      <c r="H31" s="7">
        <f t="shared" si="1"/>
        <v>0</v>
      </c>
      <c r="I31" s="59"/>
      <c r="J31" s="59">
        <v>1.435</v>
      </c>
      <c r="K31" s="15">
        <f t="shared" si="2"/>
        <v>1.435</v>
      </c>
      <c r="L31" s="7">
        <f t="shared" si="3"/>
        <v>0</v>
      </c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</row>
    <row r="32" spans="1:36" s="62" customFormat="1" ht="12.75">
      <c r="A32" s="62" t="s">
        <v>189</v>
      </c>
      <c r="B32" s="62">
        <v>28</v>
      </c>
      <c r="C32" s="62" t="s">
        <v>238</v>
      </c>
      <c r="D32" s="5">
        <v>0</v>
      </c>
      <c r="E32" s="59"/>
      <c r="F32" s="59">
        <v>0.794</v>
      </c>
      <c r="G32" s="15">
        <f t="shared" si="0"/>
        <v>0.794</v>
      </c>
      <c r="H32" s="7">
        <f t="shared" si="1"/>
        <v>0</v>
      </c>
      <c r="I32" s="59"/>
      <c r="J32" s="59">
        <v>2.361</v>
      </c>
      <c r="K32" s="15">
        <f t="shared" si="2"/>
        <v>2.361</v>
      </c>
      <c r="L32" s="7">
        <f t="shared" si="3"/>
        <v>0</v>
      </c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</row>
    <row r="33" spans="1:36" s="62" customFormat="1" ht="12.75">
      <c r="A33" s="62" t="s">
        <v>189</v>
      </c>
      <c r="B33" s="62">
        <v>29</v>
      </c>
      <c r="C33" s="62" t="s">
        <v>239</v>
      </c>
      <c r="D33" s="5">
        <v>0.01</v>
      </c>
      <c r="E33" s="59"/>
      <c r="F33" s="59">
        <v>0.088</v>
      </c>
      <c r="G33" s="15">
        <f t="shared" si="0"/>
        <v>0.088</v>
      </c>
      <c r="H33" s="7">
        <f t="shared" si="1"/>
        <v>0.0008799999999999999</v>
      </c>
      <c r="I33" s="59"/>
      <c r="J33" s="59">
        <v>0.211</v>
      </c>
      <c r="K33" s="15">
        <f t="shared" si="2"/>
        <v>0.211</v>
      </c>
      <c r="L33" s="7">
        <f t="shared" si="3"/>
        <v>0.00211</v>
      </c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</row>
    <row r="34" spans="1:36" s="62" customFormat="1" ht="12.75">
      <c r="A34" s="62" t="s">
        <v>189</v>
      </c>
      <c r="B34" s="62">
        <v>30</v>
      </c>
      <c r="C34" s="62" t="s">
        <v>240</v>
      </c>
      <c r="D34" s="5">
        <v>0.01</v>
      </c>
      <c r="E34" s="59">
        <v>1</v>
      </c>
      <c r="F34" s="59">
        <v>0.102</v>
      </c>
      <c r="G34" s="15">
        <f t="shared" si="0"/>
        <v>0.051</v>
      </c>
      <c r="H34" s="7">
        <f t="shared" si="1"/>
        <v>0.0005099999999999999</v>
      </c>
      <c r="I34" s="59"/>
      <c r="J34" s="59">
        <v>0.085</v>
      </c>
      <c r="K34" s="15">
        <f t="shared" si="2"/>
        <v>0.085</v>
      </c>
      <c r="L34" s="7">
        <f t="shared" si="3"/>
        <v>0.0008500000000000001</v>
      </c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</row>
    <row r="35" spans="1:36" s="62" customFormat="1" ht="12.75">
      <c r="A35" s="62" t="s">
        <v>189</v>
      </c>
      <c r="B35" s="62">
        <v>31</v>
      </c>
      <c r="C35" s="62" t="s">
        <v>241</v>
      </c>
      <c r="D35" s="5">
        <v>0</v>
      </c>
      <c r="E35" s="59"/>
      <c r="F35" s="59">
        <v>-0.102</v>
      </c>
      <c r="G35" s="15">
        <f t="shared" si="0"/>
        <v>-0.102</v>
      </c>
      <c r="H35" s="7">
        <f t="shared" si="1"/>
        <v>0</v>
      </c>
      <c r="I35" s="59"/>
      <c r="J35" s="59">
        <v>0.074</v>
      </c>
      <c r="K35" s="15">
        <f t="shared" si="2"/>
        <v>0.074</v>
      </c>
      <c r="L35" s="7">
        <f t="shared" si="3"/>
        <v>0</v>
      </c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</row>
    <row r="36" spans="1:36" s="62" customFormat="1" ht="12.75">
      <c r="A36" s="62" t="s">
        <v>189</v>
      </c>
      <c r="B36" s="62">
        <v>32</v>
      </c>
      <c r="C36" s="62" t="s">
        <v>242</v>
      </c>
      <c r="D36" s="5">
        <v>0</v>
      </c>
      <c r="E36" s="59"/>
      <c r="F36" s="59">
        <v>0.088</v>
      </c>
      <c r="G36" s="15">
        <f t="shared" si="0"/>
        <v>0.088</v>
      </c>
      <c r="H36" s="7">
        <f t="shared" si="1"/>
        <v>0</v>
      </c>
      <c r="I36" s="59"/>
      <c r="J36" s="59">
        <v>0.37</v>
      </c>
      <c r="K36" s="15">
        <f t="shared" si="2"/>
        <v>0.37</v>
      </c>
      <c r="L36" s="7">
        <f t="shared" si="3"/>
        <v>0</v>
      </c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</row>
    <row r="37" spans="1:36" s="62" customFormat="1" ht="12.75">
      <c r="A37" s="62" t="s">
        <v>189</v>
      </c>
      <c r="B37" s="62">
        <v>33</v>
      </c>
      <c r="C37" s="62" t="s">
        <v>243</v>
      </c>
      <c r="D37" s="5">
        <v>0.001</v>
      </c>
      <c r="E37" s="59">
        <v>1</v>
      </c>
      <c r="F37" s="59">
        <v>0.142</v>
      </c>
      <c r="G37" s="15">
        <f t="shared" si="0"/>
        <v>0.071</v>
      </c>
      <c r="H37" s="7">
        <f t="shared" si="1"/>
        <v>7.099999999999999E-05</v>
      </c>
      <c r="I37" s="59">
        <v>2</v>
      </c>
      <c r="J37" s="59">
        <v>0.048</v>
      </c>
      <c r="K37" s="15">
        <f t="shared" si="2"/>
        <v>0.048</v>
      </c>
      <c r="L37" s="7">
        <f t="shared" si="3"/>
        <v>4.8E-05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</row>
    <row r="38" spans="1:36" s="62" customFormat="1" ht="12.75">
      <c r="A38" s="62" t="s">
        <v>189</v>
      </c>
      <c r="B38" s="62">
        <v>34</v>
      </c>
      <c r="C38" s="62" t="s">
        <v>244</v>
      </c>
      <c r="D38" s="59"/>
      <c r="E38" s="59"/>
      <c r="F38" s="59">
        <v>87.773</v>
      </c>
      <c r="G38" s="67">
        <f>G37+G36+G32+G26+G22+G19+G18+G15+G10+G7</f>
        <v>87.702</v>
      </c>
      <c r="H38" s="59"/>
      <c r="I38" s="59"/>
      <c r="J38" s="59">
        <v>72.142</v>
      </c>
      <c r="K38" s="67">
        <f>K37+K36+K32+K26+K22+K19+K18+K15+K10+K7</f>
        <v>72.142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</row>
    <row r="39" spans="1:36" s="62" customFormat="1" ht="12.75">
      <c r="A39" s="62" t="s">
        <v>189</v>
      </c>
      <c r="B39" s="62">
        <v>35</v>
      </c>
      <c r="C39" s="62" t="s">
        <v>33</v>
      </c>
      <c r="D39" s="59"/>
      <c r="E39" s="61">
        <f>(F39-H39)*2/F39*100</f>
        <v>14.228512469906502</v>
      </c>
      <c r="F39" s="64">
        <v>0.479755</v>
      </c>
      <c r="G39" s="59"/>
      <c r="H39" s="64">
        <f>SUM(H5:H37)</f>
        <v>0.445624</v>
      </c>
      <c r="I39" s="61">
        <f>(J39-L39)*2/J39*100</f>
        <v>0</v>
      </c>
      <c r="J39" s="64">
        <v>0.673749</v>
      </c>
      <c r="K39" s="59"/>
      <c r="L39" s="64">
        <f>SUM(L5:L37)</f>
        <v>0.673749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</row>
  </sheetData>
  <mergeCells count="2">
    <mergeCell ref="F1:H1"/>
    <mergeCell ref="J1:L1"/>
  </mergeCells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J39"/>
  <sheetViews>
    <sheetView workbookViewId="0" topLeftCell="C1">
      <selection activeCell="C25" sqref="C25"/>
    </sheetView>
  </sheetViews>
  <sheetFormatPr defaultColWidth="9.140625" defaultRowHeight="12.75"/>
  <cols>
    <col min="1" max="1" width="9.140625" style="0" hidden="1" customWidth="1"/>
    <col min="2" max="2" width="3.7109375" style="0" hidden="1" customWidth="1"/>
    <col min="3" max="3" width="13.8515625" style="0" customWidth="1"/>
    <col min="5" max="5" width="5.00390625" style="0" customWidth="1"/>
    <col min="9" max="9" width="5.57421875" style="0" customWidth="1"/>
    <col min="13" max="13" width="2.57421875" style="0" customWidth="1"/>
  </cols>
  <sheetData>
    <row r="1" spans="3:12" ht="12.75">
      <c r="C1" s="2" t="s">
        <v>191</v>
      </c>
      <c r="D1" s="5" t="s">
        <v>26</v>
      </c>
      <c r="F1" s="84" t="s">
        <v>140</v>
      </c>
      <c r="G1" s="84"/>
      <c r="H1" s="84"/>
      <c r="J1" s="84" t="s">
        <v>141</v>
      </c>
      <c r="K1" s="84"/>
      <c r="L1" s="84"/>
    </row>
    <row r="2" spans="4:12" ht="12.75">
      <c r="D2" s="5" t="s">
        <v>30</v>
      </c>
      <c r="F2" s="3" t="s">
        <v>31</v>
      </c>
      <c r="G2" s="8" t="s">
        <v>31</v>
      </c>
      <c r="H2" s="11" t="s">
        <v>32</v>
      </c>
      <c r="J2" s="3" t="s">
        <v>31</v>
      </c>
      <c r="K2" s="8" t="s">
        <v>31</v>
      </c>
      <c r="L2" s="11" t="s">
        <v>32</v>
      </c>
    </row>
    <row r="3" spans="3:12" ht="12.75">
      <c r="C3" t="s">
        <v>80</v>
      </c>
      <c r="D3" s="5"/>
      <c r="F3" s="3" t="s">
        <v>210</v>
      </c>
      <c r="G3" s="8" t="s">
        <v>74</v>
      </c>
      <c r="H3" s="11" t="s">
        <v>74</v>
      </c>
      <c r="J3" s="3" t="s">
        <v>210</v>
      </c>
      <c r="K3" s="8" t="s">
        <v>74</v>
      </c>
      <c r="L3" s="11" t="s">
        <v>74</v>
      </c>
    </row>
    <row r="4" spans="4:12" ht="12.75">
      <c r="D4" s="4"/>
      <c r="G4" s="6"/>
      <c r="H4" s="7"/>
      <c r="K4" s="6"/>
      <c r="L4" s="7"/>
    </row>
    <row r="5" spans="1:36" s="62" customFormat="1" ht="12.75">
      <c r="A5" s="62" t="s">
        <v>191</v>
      </c>
      <c r="B5" s="62">
        <v>1</v>
      </c>
      <c r="C5" s="62" t="s">
        <v>211</v>
      </c>
      <c r="D5" s="5">
        <v>1</v>
      </c>
      <c r="E5" s="59"/>
      <c r="F5" s="59">
        <v>0.025</v>
      </c>
      <c r="G5" s="15">
        <f>IF(F5=0,"",IF(E5=1,F5/2,F5))</f>
        <v>0.025</v>
      </c>
      <c r="H5" s="7">
        <f>IF(G5="","",G5*$D5)</f>
        <v>0.025</v>
      </c>
      <c r="I5" s="59"/>
      <c r="J5" s="59">
        <v>0.035</v>
      </c>
      <c r="K5" s="15">
        <f>IF(J5=0,"",IF(I5=1,J5/2,J5))</f>
        <v>0.035</v>
      </c>
      <c r="L5" s="7">
        <f>IF(K5="","",K5*$D5)</f>
        <v>0.035</v>
      </c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</row>
    <row r="6" spans="1:36" s="62" customFormat="1" ht="12.75">
      <c r="A6" s="62" t="s">
        <v>191</v>
      </c>
      <c r="B6" s="62">
        <v>2</v>
      </c>
      <c r="C6" s="62" t="s">
        <v>212</v>
      </c>
      <c r="D6" s="5">
        <v>0</v>
      </c>
      <c r="E6" s="59"/>
      <c r="F6" s="59">
        <v>1.184</v>
      </c>
      <c r="G6" s="15">
        <f aca="true" t="shared" si="0" ref="G6:G37">IF(F6=0,"",IF(E6=1,F6/2,F6))</f>
        <v>1.184</v>
      </c>
      <c r="H6" s="7">
        <f aca="true" t="shared" si="1" ref="H6:H37">IF(G6="","",G6*$D6)</f>
        <v>0</v>
      </c>
      <c r="I6" s="59"/>
      <c r="J6" s="59">
        <v>1.029</v>
      </c>
      <c r="K6" s="15">
        <f aca="true" t="shared" si="2" ref="K6:K37">IF(J6=0,"",IF(I6=1,J6/2,J6))</f>
        <v>1.029</v>
      </c>
      <c r="L6" s="7">
        <f aca="true" t="shared" si="3" ref="L6:L37">IF(K6="","",K6*$D6)</f>
        <v>0</v>
      </c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</row>
    <row r="7" spans="1:36" s="62" customFormat="1" ht="12.75">
      <c r="A7" s="62" t="s">
        <v>191</v>
      </c>
      <c r="B7" s="62">
        <v>3</v>
      </c>
      <c r="C7" s="62" t="s">
        <v>213</v>
      </c>
      <c r="D7" s="5">
        <v>0</v>
      </c>
      <c r="E7" s="59"/>
      <c r="F7" s="59">
        <v>1.209</v>
      </c>
      <c r="G7" s="15">
        <f t="shared" si="0"/>
        <v>1.209</v>
      </c>
      <c r="H7" s="7">
        <f t="shared" si="1"/>
        <v>0</v>
      </c>
      <c r="I7" s="59"/>
      <c r="J7" s="59">
        <v>1.064</v>
      </c>
      <c r="K7" s="15">
        <f t="shared" si="2"/>
        <v>1.064</v>
      </c>
      <c r="L7" s="7">
        <f t="shared" si="3"/>
        <v>0</v>
      </c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</row>
    <row r="8" spans="1:36" s="62" customFormat="1" ht="12.75">
      <c r="A8" s="62" t="s">
        <v>191</v>
      </c>
      <c r="B8" s="62">
        <v>4</v>
      </c>
      <c r="C8" s="62" t="s">
        <v>214</v>
      </c>
      <c r="D8" s="5">
        <v>0.5</v>
      </c>
      <c r="E8" s="59"/>
      <c r="F8" s="59">
        <v>0.028</v>
      </c>
      <c r="G8" s="15">
        <f t="shared" si="0"/>
        <v>0.028</v>
      </c>
      <c r="H8" s="7">
        <f t="shared" si="1"/>
        <v>0.014</v>
      </c>
      <c r="I8" s="59">
        <v>1</v>
      </c>
      <c r="J8" s="59">
        <v>0.041</v>
      </c>
      <c r="K8" s="15">
        <f t="shared" si="2"/>
        <v>0.0205</v>
      </c>
      <c r="L8" s="7">
        <f t="shared" si="3"/>
        <v>0.01025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</row>
    <row r="9" spans="1:36" s="62" customFormat="1" ht="12.75">
      <c r="A9" s="62" t="s">
        <v>191</v>
      </c>
      <c r="B9" s="62">
        <v>5</v>
      </c>
      <c r="C9" s="62" t="s">
        <v>215</v>
      </c>
      <c r="D9" s="5">
        <v>0</v>
      </c>
      <c r="E9" s="59"/>
      <c r="F9" s="59">
        <v>0.822</v>
      </c>
      <c r="G9" s="15">
        <f t="shared" si="0"/>
        <v>0.822</v>
      </c>
      <c r="H9" s="7">
        <f t="shared" si="1"/>
        <v>0</v>
      </c>
      <c r="I9" s="59"/>
      <c r="J9" s="59">
        <v>1.33</v>
      </c>
      <c r="K9" s="15">
        <f t="shared" si="2"/>
        <v>1.33</v>
      </c>
      <c r="L9" s="7">
        <f t="shared" si="3"/>
        <v>0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</row>
    <row r="10" spans="1:36" s="62" customFormat="1" ht="12.75">
      <c r="A10" s="62" t="s">
        <v>191</v>
      </c>
      <c r="B10" s="62">
        <v>5</v>
      </c>
      <c r="C10" s="62" t="s">
        <v>216</v>
      </c>
      <c r="D10" s="5">
        <v>0</v>
      </c>
      <c r="E10" s="59"/>
      <c r="F10" s="59">
        <v>0.85</v>
      </c>
      <c r="G10" s="15">
        <f t="shared" si="0"/>
        <v>0.85</v>
      </c>
      <c r="H10" s="7">
        <f t="shared" si="1"/>
        <v>0</v>
      </c>
      <c r="I10" s="59"/>
      <c r="J10" s="59">
        <v>1.371</v>
      </c>
      <c r="K10" s="15">
        <f t="shared" si="2"/>
        <v>1.371</v>
      </c>
      <c r="L10" s="7">
        <f t="shared" si="3"/>
        <v>0</v>
      </c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s="62" customFormat="1" ht="12.75">
      <c r="A11" s="62" t="s">
        <v>191</v>
      </c>
      <c r="B11" s="62">
        <v>7</v>
      </c>
      <c r="C11" s="62" t="s">
        <v>217</v>
      </c>
      <c r="D11" s="5">
        <v>0.1</v>
      </c>
      <c r="E11" s="59"/>
      <c r="F11" s="59">
        <v>0.017</v>
      </c>
      <c r="G11" s="15">
        <f t="shared" si="0"/>
        <v>0.017</v>
      </c>
      <c r="H11" s="7">
        <f t="shared" si="1"/>
        <v>0.0017000000000000001</v>
      </c>
      <c r="I11" s="59">
        <v>1</v>
      </c>
      <c r="J11" s="59">
        <v>0.061</v>
      </c>
      <c r="K11" s="15">
        <f t="shared" si="2"/>
        <v>0.0305</v>
      </c>
      <c r="L11" s="7">
        <f t="shared" si="3"/>
        <v>0.00305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s="62" customFormat="1" ht="12.75">
      <c r="A12" s="62" t="s">
        <v>191</v>
      </c>
      <c r="B12" s="62">
        <v>8</v>
      </c>
      <c r="C12" s="62" t="s">
        <v>218</v>
      </c>
      <c r="D12" s="5">
        <v>0.1</v>
      </c>
      <c r="E12" s="59"/>
      <c r="F12" s="59">
        <v>0.032</v>
      </c>
      <c r="G12" s="15">
        <f t="shared" si="0"/>
        <v>0.032</v>
      </c>
      <c r="H12" s="7">
        <f t="shared" si="1"/>
        <v>0.0032</v>
      </c>
      <c r="I12" s="59">
        <v>2</v>
      </c>
      <c r="J12" s="59">
        <v>0.035</v>
      </c>
      <c r="K12" s="15">
        <f t="shared" si="2"/>
        <v>0.035</v>
      </c>
      <c r="L12" s="7">
        <f t="shared" si="3"/>
        <v>0.0035000000000000005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s="62" customFormat="1" ht="12.75">
      <c r="A13" s="62" t="s">
        <v>191</v>
      </c>
      <c r="B13" s="62">
        <v>9</v>
      </c>
      <c r="C13" s="62" t="s">
        <v>219</v>
      </c>
      <c r="D13" s="5">
        <v>0.1</v>
      </c>
      <c r="E13" s="59"/>
      <c r="F13" s="59">
        <v>0.019</v>
      </c>
      <c r="G13" s="15">
        <f t="shared" si="0"/>
        <v>0.019</v>
      </c>
      <c r="H13" s="7">
        <f t="shared" si="1"/>
        <v>0.0019</v>
      </c>
      <c r="I13" s="59">
        <v>1</v>
      </c>
      <c r="J13" s="59">
        <v>0.061</v>
      </c>
      <c r="K13" s="15">
        <f t="shared" si="2"/>
        <v>0.0305</v>
      </c>
      <c r="L13" s="7">
        <f t="shared" si="3"/>
        <v>0.00305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s="62" customFormat="1" ht="12.75">
      <c r="A14" s="62" t="s">
        <v>191</v>
      </c>
      <c r="B14" s="62">
        <v>10</v>
      </c>
      <c r="C14" s="62" t="s">
        <v>220</v>
      </c>
      <c r="D14" s="5">
        <v>0</v>
      </c>
      <c r="E14" s="59"/>
      <c r="F14" s="59">
        <v>2.237</v>
      </c>
      <c r="G14" s="15">
        <f t="shared" si="0"/>
        <v>2.237</v>
      </c>
      <c r="H14" s="7">
        <f t="shared" si="1"/>
        <v>0</v>
      </c>
      <c r="I14" s="59"/>
      <c r="J14" s="59">
        <v>2.278</v>
      </c>
      <c r="K14" s="15">
        <f t="shared" si="2"/>
        <v>2.278</v>
      </c>
      <c r="L14" s="7">
        <f t="shared" si="3"/>
        <v>0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</row>
    <row r="15" spans="1:36" s="62" customFormat="1" ht="12.75">
      <c r="A15" s="62" t="s">
        <v>191</v>
      </c>
      <c r="B15" s="62">
        <v>11</v>
      </c>
      <c r="C15" s="62" t="s">
        <v>221</v>
      </c>
      <c r="D15" s="5">
        <v>0</v>
      </c>
      <c r="E15" s="59"/>
      <c r="F15" s="59">
        <v>2.305</v>
      </c>
      <c r="G15" s="15">
        <f t="shared" si="0"/>
        <v>2.305</v>
      </c>
      <c r="H15" s="7">
        <f t="shared" si="1"/>
        <v>0</v>
      </c>
      <c r="I15" s="59"/>
      <c r="J15" s="59">
        <v>2.435</v>
      </c>
      <c r="K15" s="15">
        <f t="shared" si="2"/>
        <v>2.435</v>
      </c>
      <c r="L15" s="7">
        <f t="shared" si="3"/>
        <v>0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</row>
    <row r="16" spans="1:36" s="62" customFormat="1" ht="12.75">
      <c r="A16" s="62" t="s">
        <v>191</v>
      </c>
      <c r="B16" s="62">
        <v>12</v>
      </c>
      <c r="C16" s="62" t="s">
        <v>222</v>
      </c>
      <c r="D16" s="5">
        <v>0.01</v>
      </c>
      <c r="E16" s="59"/>
      <c r="F16" s="59">
        <v>0.185</v>
      </c>
      <c r="G16" s="15">
        <f t="shared" si="0"/>
        <v>0.185</v>
      </c>
      <c r="H16" s="7">
        <f t="shared" si="1"/>
        <v>0.00185</v>
      </c>
      <c r="I16" s="59">
        <v>2</v>
      </c>
      <c r="J16" s="59">
        <v>0.131</v>
      </c>
      <c r="K16" s="15">
        <f t="shared" si="2"/>
        <v>0.131</v>
      </c>
      <c r="L16" s="7">
        <f t="shared" si="3"/>
        <v>0.0013100000000000002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</row>
    <row r="17" spans="1:36" s="62" customFormat="1" ht="12.75">
      <c r="A17" s="62" t="s">
        <v>191</v>
      </c>
      <c r="B17" s="62">
        <v>13</v>
      </c>
      <c r="C17" s="62" t="s">
        <v>223</v>
      </c>
      <c r="D17" s="5">
        <v>0</v>
      </c>
      <c r="E17" s="59"/>
      <c r="F17" s="59">
        <v>0.382</v>
      </c>
      <c r="G17" s="15">
        <f t="shared" si="0"/>
        <v>0.382</v>
      </c>
      <c r="H17" s="7">
        <f t="shared" si="1"/>
        <v>0</v>
      </c>
      <c r="I17" s="59"/>
      <c r="J17" s="59">
        <v>0.36</v>
      </c>
      <c r="K17" s="15">
        <f t="shared" si="2"/>
        <v>0.36</v>
      </c>
      <c r="L17" s="7">
        <f t="shared" si="3"/>
        <v>0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</row>
    <row r="18" spans="1:36" s="62" customFormat="1" ht="12.75">
      <c r="A18" s="62" t="s">
        <v>191</v>
      </c>
      <c r="B18" s="62">
        <v>14</v>
      </c>
      <c r="C18" s="62" t="s">
        <v>224</v>
      </c>
      <c r="D18" s="5">
        <v>0</v>
      </c>
      <c r="E18" s="59"/>
      <c r="F18" s="59">
        <v>0.567</v>
      </c>
      <c r="G18" s="15">
        <f t="shared" si="0"/>
        <v>0.567</v>
      </c>
      <c r="H18" s="7">
        <f t="shared" si="1"/>
        <v>0</v>
      </c>
      <c r="I18" s="59">
        <v>2</v>
      </c>
      <c r="J18" s="59">
        <v>0.491</v>
      </c>
      <c r="K18" s="15">
        <f t="shared" si="2"/>
        <v>0.491</v>
      </c>
      <c r="L18" s="7">
        <f t="shared" si="3"/>
        <v>0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</row>
    <row r="19" spans="1:36" s="62" customFormat="1" ht="12.75">
      <c r="A19" s="62" t="s">
        <v>191</v>
      </c>
      <c r="B19" s="62">
        <v>15</v>
      </c>
      <c r="C19" s="62" t="s">
        <v>225</v>
      </c>
      <c r="D19" s="5">
        <v>0.001</v>
      </c>
      <c r="E19" s="59"/>
      <c r="F19" s="59">
        <v>0.085</v>
      </c>
      <c r="G19" s="15">
        <f t="shared" si="0"/>
        <v>0.085</v>
      </c>
      <c r="H19" s="7">
        <f t="shared" si="1"/>
        <v>8.5E-05</v>
      </c>
      <c r="I19" s="59"/>
      <c r="J19" s="59">
        <v>0.127</v>
      </c>
      <c r="K19" s="15">
        <f t="shared" si="2"/>
        <v>0.127</v>
      </c>
      <c r="L19" s="7">
        <f t="shared" si="3"/>
        <v>0.000127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</row>
    <row r="20" spans="1:36" s="62" customFormat="1" ht="12.75">
      <c r="A20" s="62" t="s">
        <v>191</v>
      </c>
      <c r="B20" s="62">
        <v>16</v>
      </c>
      <c r="C20" s="62" t="s">
        <v>226</v>
      </c>
      <c r="D20" s="5">
        <v>0.1</v>
      </c>
      <c r="E20" s="59"/>
      <c r="F20" s="59">
        <v>0.102</v>
      </c>
      <c r="G20" s="15">
        <f t="shared" si="0"/>
        <v>0.102</v>
      </c>
      <c r="H20" s="7">
        <f t="shared" si="1"/>
        <v>0.0102</v>
      </c>
      <c r="I20" s="59"/>
      <c r="J20" s="59">
        <v>0.065</v>
      </c>
      <c r="K20" s="15">
        <f t="shared" si="2"/>
        <v>0.065</v>
      </c>
      <c r="L20" s="7">
        <f t="shared" si="3"/>
        <v>0.006500000000000001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</row>
    <row r="21" spans="1:36" s="62" customFormat="1" ht="12.75">
      <c r="A21" s="62" t="s">
        <v>191</v>
      </c>
      <c r="B21" s="62">
        <v>17</v>
      </c>
      <c r="C21" s="62" t="s">
        <v>227</v>
      </c>
      <c r="D21" s="5">
        <v>0</v>
      </c>
      <c r="E21" s="59"/>
      <c r="F21" s="59">
        <v>3.205</v>
      </c>
      <c r="G21" s="15">
        <f t="shared" si="0"/>
        <v>3.205</v>
      </c>
      <c r="H21" s="7">
        <f t="shared" si="1"/>
        <v>0</v>
      </c>
      <c r="I21" s="59"/>
      <c r="J21" s="59">
        <v>1.817</v>
      </c>
      <c r="K21" s="15">
        <f t="shared" si="2"/>
        <v>1.817</v>
      </c>
      <c r="L21" s="7">
        <f t="shared" si="3"/>
        <v>0</v>
      </c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</row>
    <row r="22" spans="1:36" s="62" customFormat="1" ht="12.75">
      <c r="A22" s="62" t="s">
        <v>191</v>
      </c>
      <c r="B22" s="62">
        <v>18</v>
      </c>
      <c r="C22" s="62" t="s">
        <v>228</v>
      </c>
      <c r="D22" s="5">
        <v>0</v>
      </c>
      <c r="E22" s="59"/>
      <c r="F22" s="59">
        <v>3.307</v>
      </c>
      <c r="G22" s="15">
        <f t="shared" si="0"/>
        <v>3.307</v>
      </c>
      <c r="H22" s="7">
        <f t="shared" si="1"/>
        <v>0</v>
      </c>
      <c r="I22" s="59"/>
      <c r="J22" s="59">
        <v>1.882</v>
      </c>
      <c r="K22" s="15">
        <f t="shared" si="2"/>
        <v>1.882</v>
      </c>
      <c r="L22" s="7">
        <f t="shared" si="3"/>
        <v>0</v>
      </c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36" s="62" customFormat="1" ht="12.75">
      <c r="A23" s="62" t="s">
        <v>191</v>
      </c>
      <c r="B23" s="62">
        <v>19</v>
      </c>
      <c r="C23" s="62" t="s">
        <v>229</v>
      </c>
      <c r="D23" s="5">
        <v>0.05</v>
      </c>
      <c r="E23" s="59"/>
      <c r="F23" s="59">
        <v>0.038</v>
      </c>
      <c r="G23" s="15">
        <f t="shared" si="0"/>
        <v>0.038</v>
      </c>
      <c r="H23" s="7">
        <f t="shared" si="1"/>
        <v>0.0019</v>
      </c>
      <c r="I23" s="59"/>
      <c r="J23" s="59">
        <v>0.045</v>
      </c>
      <c r="K23" s="15">
        <f t="shared" si="2"/>
        <v>0.045</v>
      </c>
      <c r="L23" s="7">
        <f t="shared" si="3"/>
        <v>0.00225</v>
      </c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</row>
    <row r="24" spans="1:36" s="62" customFormat="1" ht="12.75">
      <c r="A24" s="62" t="s">
        <v>191</v>
      </c>
      <c r="B24" s="62">
        <v>20</v>
      </c>
      <c r="C24" s="62" t="s">
        <v>230</v>
      </c>
      <c r="D24" s="5">
        <v>0.5</v>
      </c>
      <c r="E24" s="59"/>
      <c r="F24" s="59">
        <v>0.119</v>
      </c>
      <c r="G24" s="15">
        <f t="shared" si="0"/>
        <v>0.119</v>
      </c>
      <c r="H24" s="7">
        <f t="shared" si="1"/>
        <v>0.0595</v>
      </c>
      <c r="I24" s="59">
        <v>2</v>
      </c>
      <c r="J24" s="59">
        <v>0.049</v>
      </c>
      <c r="K24" s="15">
        <f t="shared" si="2"/>
        <v>0.049</v>
      </c>
      <c r="L24" s="7">
        <f t="shared" si="3"/>
        <v>0.0245</v>
      </c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</row>
    <row r="25" spans="1:36" s="62" customFormat="1" ht="12.75">
      <c r="A25" s="62" t="s">
        <v>191</v>
      </c>
      <c r="B25" s="62">
        <v>21</v>
      </c>
      <c r="C25" s="62" t="s">
        <v>231</v>
      </c>
      <c r="D25" s="5">
        <v>0</v>
      </c>
      <c r="E25" s="59"/>
      <c r="F25" s="59">
        <v>0.75</v>
      </c>
      <c r="G25" s="15">
        <f t="shared" si="0"/>
        <v>0.75</v>
      </c>
      <c r="H25" s="7">
        <f t="shared" si="1"/>
        <v>0</v>
      </c>
      <c r="I25" s="59"/>
      <c r="J25" s="59">
        <v>0.315</v>
      </c>
      <c r="K25" s="15">
        <f t="shared" si="2"/>
        <v>0.315</v>
      </c>
      <c r="L25" s="7">
        <f t="shared" si="3"/>
        <v>0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</row>
    <row r="26" spans="1:36" s="62" customFormat="1" ht="12.75">
      <c r="A26" s="62" t="s">
        <v>191</v>
      </c>
      <c r="B26" s="62">
        <v>22</v>
      </c>
      <c r="C26" s="62" t="s">
        <v>232</v>
      </c>
      <c r="D26" s="5">
        <v>0</v>
      </c>
      <c r="E26" s="59"/>
      <c r="F26" s="59">
        <v>0.907</v>
      </c>
      <c r="G26" s="15">
        <f t="shared" si="0"/>
        <v>0.907</v>
      </c>
      <c r="H26" s="7">
        <f t="shared" si="1"/>
        <v>0</v>
      </c>
      <c r="I26" s="59"/>
      <c r="J26" s="59">
        <v>0.409</v>
      </c>
      <c r="K26" s="15">
        <f t="shared" si="2"/>
        <v>0.409</v>
      </c>
      <c r="L26" s="7">
        <f t="shared" si="3"/>
        <v>0</v>
      </c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</row>
    <row r="27" spans="1:36" s="62" customFormat="1" ht="12.75">
      <c r="A27" s="62" t="s">
        <v>191</v>
      </c>
      <c r="B27" s="62">
        <v>23</v>
      </c>
      <c r="C27" s="62" t="s">
        <v>233</v>
      </c>
      <c r="D27" s="5">
        <v>0.1</v>
      </c>
      <c r="E27" s="59"/>
      <c r="F27" s="59">
        <v>0.049</v>
      </c>
      <c r="G27" s="15">
        <f t="shared" si="0"/>
        <v>0.049</v>
      </c>
      <c r="H27" s="7">
        <f t="shared" si="1"/>
        <v>0.004900000000000001</v>
      </c>
      <c r="I27" s="59"/>
      <c r="J27" s="59">
        <v>0.055</v>
      </c>
      <c r="K27" s="15">
        <f t="shared" si="2"/>
        <v>0.055</v>
      </c>
      <c r="L27" s="7">
        <f t="shared" si="3"/>
        <v>0.0055000000000000005</v>
      </c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</row>
    <row r="28" spans="1:36" s="62" customFormat="1" ht="12.75">
      <c r="A28" s="62" t="s">
        <v>191</v>
      </c>
      <c r="B28" s="62">
        <v>24</v>
      </c>
      <c r="C28" s="62" t="s">
        <v>234</v>
      </c>
      <c r="D28" s="5">
        <v>0.1</v>
      </c>
      <c r="E28" s="59"/>
      <c r="F28" s="59">
        <v>0.026</v>
      </c>
      <c r="G28" s="15">
        <f t="shared" si="0"/>
        <v>0.026</v>
      </c>
      <c r="H28" s="7">
        <f t="shared" si="1"/>
        <v>0.0026</v>
      </c>
      <c r="I28" s="59"/>
      <c r="J28" s="59">
        <v>0.031</v>
      </c>
      <c r="K28" s="15">
        <f t="shared" si="2"/>
        <v>0.031</v>
      </c>
      <c r="L28" s="7">
        <f t="shared" si="3"/>
        <v>0.0031000000000000003</v>
      </c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</row>
    <row r="29" spans="1:36" s="62" customFormat="1" ht="12.75">
      <c r="A29" s="62" t="s">
        <v>191</v>
      </c>
      <c r="B29" s="62">
        <v>25</v>
      </c>
      <c r="C29" s="62" t="s">
        <v>235</v>
      </c>
      <c r="D29" s="5">
        <v>0.1</v>
      </c>
      <c r="E29" s="59"/>
      <c r="F29" s="59">
        <v>0.008</v>
      </c>
      <c r="G29" s="15">
        <f t="shared" si="0"/>
        <v>0.008</v>
      </c>
      <c r="H29" s="7">
        <f t="shared" si="1"/>
        <v>0.0008</v>
      </c>
      <c r="I29" s="59">
        <v>1</v>
      </c>
      <c r="J29" s="59">
        <v>0.041</v>
      </c>
      <c r="K29" s="15">
        <f t="shared" si="2"/>
        <v>0.0205</v>
      </c>
      <c r="L29" s="7">
        <f t="shared" si="3"/>
        <v>0.00205</v>
      </c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</row>
    <row r="30" spans="1:36" s="62" customFormat="1" ht="12.75">
      <c r="A30" s="62" t="s">
        <v>191</v>
      </c>
      <c r="B30" s="62">
        <v>26</v>
      </c>
      <c r="C30" s="62" t="s">
        <v>236</v>
      </c>
      <c r="D30" s="5">
        <v>0.1</v>
      </c>
      <c r="E30" s="59"/>
      <c r="F30" s="59">
        <v>0.032</v>
      </c>
      <c r="G30" s="15">
        <f t="shared" si="0"/>
        <v>0.032</v>
      </c>
      <c r="H30" s="7">
        <f t="shared" si="1"/>
        <v>0.0032</v>
      </c>
      <c r="I30" s="59"/>
      <c r="J30" s="59">
        <v>0.047</v>
      </c>
      <c r="K30" s="15">
        <f t="shared" si="2"/>
        <v>0.047</v>
      </c>
      <c r="L30" s="7">
        <f t="shared" si="3"/>
        <v>0.0047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</row>
    <row r="31" spans="1:36" s="62" customFormat="1" ht="12.75">
      <c r="A31" s="62" t="s">
        <v>191</v>
      </c>
      <c r="B31" s="62">
        <v>27</v>
      </c>
      <c r="C31" s="62" t="s">
        <v>237</v>
      </c>
      <c r="D31" s="5">
        <v>0</v>
      </c>
      <c r="E31" s="59"/>
      <c r="F31" s="59">
        <v>0.187</v>
      </c>
      <c r="G31" s="15">
        <f t="shared" si="0"/>
        <v>0.187</v>
      </c>
      <c r="H31" s="7">
        <f t="shared" si="1"/>
        <v>0</v>
      </c>
      <c r="I31" s="59"/>
      <c r="J31" s="59">
        <v>-0.014</v>
      </c>
      <c r="K31" s="15">
        <f t="shared" si="2"/>
        <v>-0.014</v>
      </c>
      <c r="L31" s="7">
        <f t="shared" si="3"/>
        <v>0</v>
      </c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</row>
    <row r="32" spans="1:36" s="62" customFormat="1" ht="12.75">
      <c r="A32" s="62" t="s">
        <v>191</v>
      </c>
      <c r="B32" s="62">
        <v>28</v>
      </c>
      <c r="C32" s="62" t="s">
        <v>238</v>
      </c>
      <c r="D32" s="5">
        <v>0</v>
      </c>
      <c r="E32" s="59"/>
      <c r="F32" s="59">
        <v>0.302</v>
      </c>
      <c r="G32" s="15">
        <f t="shared" si="0"/>
        <v>0.302</v>
      </c>
      <c r="H32" s="7">
        <f t="shared" si="1"/>
        <v>0</v>
      </c>
      <c r="I32" s="59"/>
      <c r="J32" s="59">
        <v>0.16</v>
      </c>
      <c r="K32" s="15">
        <f t="shared" si="2"/>
        <v>0.16</v>
      </c>
      <c r="L32" s="7">
        <f t="shared" si="3"/>
        <v>0</v>
      </c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</row>
    <row r="33" spans="1:36" s="62" customFormat="1" ht="12.75">
      <c r="A33" s="62" t="s">
        <v>191</v>
      </c>
      <c r="B33" s="62">
        <v>29</v>
      </c>
      <c r="C33" s="62" t="s">
        <v>239</v>
      </c>
      <c r="D33" s="5">
        <v>0.01</v>
      </c>
      <c r="E33" s="59"/>
      <c r="F33" s="59">
        <v>0.026</v>
      </c>
      <c r="G33" s="15">
        <f t="shared" si="0"/>
        <v>0.026</v>
      </c>
      <c r="H33" s="7">
        <f t="shared" si="1"/>
        <v>0.00026</v>
      </c>
      <c r="I33" s="59"/>
      <c r="J33" s="59">
        <v>0.035</v>
      </c>
      <c r="K33" s="15">
        <f t="shared" si="2"/>
        <v>0.035</v>
      </c>
      <c r="L33" s="7">
        <f t="shared" si="3"/>
        <v>0.00035000000000000005</v>
      </c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</row>
    <row r="34" spans="1:36" s="62" customFormat="1" ht="12.75">
      <c r="A34" s="62" t="s">
        <v>191</v>
      </c>
      <c r="B34" s="62">
        <v>30</v>
      </c>
      <c r="C34" s="62" t="s">
        <v>240</v>
      </c>
      <c r="D34" s="5">
        <v>0.01</v>
      </c>
      <c r="E34" s="59"/>
      <c r="F34" s="59">
        <v>0.011</v>
      </c>
      <c r="G34" s="15">
        <f t="shared" si="0"/>
        <v>0.011</v>
      </c>
      <c r="H34" s="7">
        <f t="shared" si="1"/>
        <v>0.00010999999999999999</v>
      </c>
      <c r="I34" s="59">
        <v>1</v>
      </c>
      <c r="J34" s="59">
        <v>0.061</v>
      </c>
      <c r="K34" s="15">
        <f t="shared" si="2"/>
        <v>0.0305</v>
      </c>
      <c r="L34" s="7">
        <f t="shared" si="3"/>
        <v>0.000305</v>
      </c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</row>
    <row r="35" spans="1:36" s="62" customFormat="1" ht="12.75">
      <c r="A35" s="62" t="s">
        <v>191</v>
      </c>
      <c r="B35" s="62">
        <v>31</v>
      </c>
      <c r="C35" s="62" t="s">
        <v>241</v>
      </c>
      <c r="D35" s="5">
        <v>0</v>
      </c>
      <c r="E35" s="59"/>
      <c r="F35" s="59">
        <v>0.027</v>
      </c>
      <c r="G35" s="15">
        <f t="shared" si="0"/>
        <v>0.027</v>
      </c>
      <c r="H35" s="7">
        <f t="shared" si="1"/>
        <v>0</v>
      </c>
      <c r="I35" s="59"/>
      <c r="J35" s="59">
        <v>-0.061</v>
      </c>
      <c r="K35" s="15">
        <f t="shared" si="2"/>
        <v>-0.061</v>
      </c>
      <c r="L35" s="7">
        <f t="shared" si="3"/>
        <v>0</v>
      </c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</row>
    <row r="36" spans="1:36" s="62" customFormat="1" ht="12.75">
      <c r="A36" s="62" t="s">
        <v>191</v>
      </c>
      <c r="B36" s="62">
        <v>32</v>
      </c>
      <c r="C36" s="62" t="s">
        <v>242</v>
      </c>
      <c r="D36" s="5">
        <v>0</v>
      </c>
      <c r="E36" s="59"/>
      <c r="F36" s="59">
        <v>0.064</v>
      </c>
      <c r="G36" s="15">
        <f t="shared" si="0"/>
        <v>0.064</v>
      </c>
      <c r="H36" s="7">
        <f t="shared" si="1"/>
        <v>0</v>
      </c>
      <c r="I36" s="59"/>
      <c r="J36" s="59">
        <v>0.035</v>
      </c>
      <c r="K36" s="15">
        <f t="shared" si="2"/>
        <v>0.035</v>
      </c>
      <c r="L36" s="7">
        <f t="shared" si="3"/>
        <v>0</v>
      </c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</row>
    <row r="37" spans="1:36" s="62" customFormat="1" ht="12.75">
      <c r="A37" s="62" t="s">
        <v>191</v>
      </c>
      <c r="B37" s="62">
        <v>33</v>
      </c>
      <c r="C37" s="62" t="s">
        <v>243</v>
      </c>
      <c r="D37" s="5">
        <v>0.001</v>
      </c>
      <c r="E37" s="59">
        <v>2</v>
      </c>
      <c r="F37" s="59">
        <v>0.009</v>
      </c>
      <c r="G37" s="15">
        <f t="shared" si="0"/>
        <v>0.009</v>
      </c>
      <c r="H37" s="7">
        <f t="shared" si="1"/>
        <v>9E-06</v>
      </c>
      <c r="I37" s="59">
        <v>1</v>
      </c>
      <c r="J37" s="59">
        <v>0.082</v>
      </c>
      <c r="K37" s="15">
        <f t="shared" si="2"/>
        <v>0.041</v>
      </c>
      <c r="L37" s="7">
        <f t="shared" si="3"/>
        <v>4.1E-05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</row>
    <row r="38" spans="1:36" s="62" customFormat="1" ht="12.75">
      <c r="A38" s="62" t="s">
        <v>191</v>
      </c>
      <c r="B38" s="62">
        <v>34</v>
      </c>
      <c r="C38" s="62" t="s">
        <v>244</v>
      </c>
      <c r="D38" s="59"/>
      <c r="E38" s="59"/>
      <c r="F38" s="59">
        <v>9.605</v>
      </c>
      <c r="G38" s="67">
        <f>G37+G36+G32+G26+G22+G19+G18+G15+G10+G7</f>
        <v>9.605</v>
      </c>
      <c r="H38" s="59"/>
      <c r="I38" s="59"/>
      <c r="J38" s="59">
        <v>8.056</v>
      </c>
      <c r="K38" s="67">
        <f>K37+K36+K32+K26+K22+K19+K18+K15+K10+K7</f>
        <v>8.015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</row>
    <row r="39" spans="1:36" s="62" customFormat="1" ht="12.75">
      <c r="A39" s="62" t="s">
        <v>191</v>
      </c>
      <c r="B39" s="62">
        <v>35</v>
      </c>
      <c r="C39" s="62" t="s">
        <v>33</v>
      </c>
      <c r="D39" s="59"/>
      <c r="E39" s="61">
        <f>(F39-H39)*2/F39*100</f>
        <v>-4.230581434241608E-14</v>
      </c>
      <c r="F39" s="64">
        <v>0.131214</v>
      </c>
      <c r="G39" s="59"/>
      <c r="H39" s="64">
        <f>SUM(H5:H37)</f>
        <v>0.13121400000000003</v>
      </c>
      <c r="I39" s="61">
        <f>(J39-L39)*2/J39*100</f>
        <v>30.15547458758614</v>
      </c>
      <c r="J39" s="64">
        <v>0.124329</v>
      </c>
      <c r="K39" s="59"/>
      <c r="L39" s="64">
        <f>SUM(L5:L37)</f>
        <v>0.10558300000000001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</row>
  </sheetData>
  <mergeCells count="2">
    <mergeCell ref="F1:H1"/>
    <mergeCell ref="J1:L1"/>
  </mergeCells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30"/>
  <sheetViews>
    <sheetView workbookViewId="0" topLeftCell="B1">
      <selection activeCell="C25" sqref="C25"/>
    </sheetView>
  </sheetViews>
  <sheetFormatPr defaultColWidth="9.140625" defaultRowHeight="12.75"/>
  <cols>
    <col min="1" max="1" width="1.57421875" style="16" hidden="1" customWidth="1"/>
    <col min="2" max="2" width="30.140625" style="16" customWidth="1"/>
    <col min="3" max="3" width="60.140625" style="16" customWidth="1"/>
    <col min="4" max="16384" width="8.8515625" style="16" customWidth="1"/>
  </cols>
  <sheetData>
    <row r="1" ht="12.75">
      <c r="B1" s="2" t="s">
        <v>90</v>
      </c>
    </row>
    <row r="3" spans="2:3" ht="12.75">
      <c r="B3" s="16" t="s">
        <v>115</v>
      </c>
      <c r="C3" s="26">
        <v>404</v>
      </c>
    </row>
    <row r="4" spans="2:3" ht="12.75">
      <c r="B4" s="16" t="s">
        <v>0</v>
      </c>
      <c r="C4" s="16" t="s">
        <v>117</v>
      </c>
    </row>
    <row r="5" spans="2:3" ht="12.75">
      <c r="B5" s="16" t="s">
        <v>1</v>
      </c>
      <c r="C5" s="16" t="s">
        <v>116</v>
      </c>
    </row>
    <row r="6" ht="12.75">
      <c r="B6" s="16" t="s">
        <v>2</v>
      </c>
    </row>
    <row r="7" spans="2:3" ht="12.75">
      <c r="B7" s="16" t="s">
        <v>3</v>
      </c>
      <c r="C7" s="16" t="s">
        <v>118</v>
      </c>
    </row>
    <row r="8" spans="2:3" ht="12.75">
      <c r="B8" s="16" t="s">
        <v>4</v>
      </c>
      <c r="C8" s="16" t="s">
        <v>119</v>
      </c>
    </row>
    <row r="9" spans="2:3" ht="12.75">
      <c r="B9" s="16" t="s">
        <v>5</v>
      </c>
      <c r="C9" s="16" t="s">
        <v>156</v>
      </c>
    </row>
    <row r="10" ht="12.75">
      <c r="B10" s="16" t="s">
        <v>6</v>
      </c>
    </row>
    <row r="11" spans="2:3" ht="12.75">
      <c r="B11" s="16" t="s">
        <v>287</v>
      </c>
      <c r="C11" s="26">
        <v>0</v>
      </c>
    </row>
    <row r="12" spans="2:3" ht="12.75">
      <c r="B12" s="16" t="s">
        <v>266</v>
      </c>
      <c r="C12" s="16" t="s">
        <v>307</v>
      </c>
    </row>
    <row r="13" spans="2:3" ht="12.75">
      <c r="B13" s="16" t="s">
        <v>265</v>
      </c>
      <c r="C13" s="16" t="s">
        <v>120</v>
      </c>
    </row>
    <row r="14" ht="12.75">
      <c r="B14" s="16" t="s">
        <v>65</v>
      </c>
    </row>
    <row r="15" spans="2:3" ht="12.75">
      <c r="B15" s="16" t="s">
        <v>83</v>
      </c>
      <c r="C15" s="26"/>
    </row>
    <row r="16" spans="2:3" ht="12.75">
      <c r="B16" s="16" t="s">
        <v>288</v>
      </c>
      <c r="C16" s="16" t="s">
        <v>121</v>
      </c>
    </row>
    <row r="17" spans="2:3" ht="12.75">
      <c r="B17" s="16" t="s">
        <v>289</v>
      </c>
      <c r="C17" s="16" t="s">
        <v>121</v>
      </c>
    </row>
    <row r="18" spans="2:3" ht="12.75">
      <c r="B18" s="16" t="s">
        <v>7</v>
      </c>
      <c r="C18" s="16" t="s">
        <v>276</v>
      </c>
    </row>
    <row r="19" spans="2:3" ht="12.75">
      <c r="B19" s="16" t="s">
        <v>91</v>
      </c>
      <c r="C19" s="16" t="s">
        <v>290</v>
      </c>
    </row>
    <row r="20" spans="2:3" s="46" customFormat="1" ht="12.75">
      <c r="B20" s="46" t="s">
        <v>86</v>
      </c>
      <c r="C20" s="46" t="s">
        <v>123</v>
      </c>
    </row>
    <row r="21" spans="2:3" ht="12.75">
      <c r="B21" s="16" t="s">
        <v>85</v>
      </c>
      <c r="C21" s="16" t="s">
        <v>122</v>
      </c>
    </row>
    <row r="22" ht="12.75" customHeight="1">
      <c r="C22" s="16" t="s">
        <v>327</v>
      </c>
    </row>
    <row r="23" ht="12.75">
      <c r="B23" s="16" t="s">
        <v>8</v>
      </c>
    </row>
    <row r="24" spans="2:3" ht="12.75">
      <c r="B24" s="16" t="s">
        <v>9</v>
      </c>
      <c r="C24" s="27">
        <v>11.499438827395013</v>
      </c>
    </row>
    <row r="25" spans="2:3" ht="12.75">
      <c r="B25" s="16" t="s">
        <v>10</v>
      </c>
      <c r="C25" s="27">
        <v>149.99268035728343</v>
      </c>
    </row>
    <row r="26" spans="2:3" ht="12.75">
      <c r="B26" s="16" t="s">
        <v>87</v>
      </c>
      <c r="C26" s="27">
        <v>13.217474284289517</v>
      </c>
    </row>
    <row r="27" spans="2:3" ht="12.75">
      <c r="B27" s="16" t="s">
        <v>88</v>
      </c>
      <c r="C27" s="27">
        <v>489.05</v>
      </c>
    </row>
    <row r="28" ht="12.75" customHeight="1"/>
    <row r="29" spans="2:3" ht="12.75">
      <c r="B29" s="16" t="s">
        <v>11</v>
      </c>
      <c r="C29" s="16" t="s">
        <v>130</v>
      </c>
    </row>
    <row r="30" spans="2:3" ht="12.75">
      <c r="B30" s="16" t="s">
        <v>114</v>
      </c>
      <c r="C30" s="16" t="s">
        <v>124</v>
      </c>
    </row>
    <row r="31" ht="12.75" customHeight="1"/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11"/>
  <sheetViews>
    <sheetView workbookViewId="0" topLeftCell="B20">
      <selection activeCell="C25" sqref="C25"/>
    </sheetView>
  </sheetViews>
  <sheetFormatPr defaultColWidth="9.140625" defaultRowHeight="12.75"/>
  <cols>
    <col min="1" max="1" width="2.00390625" style="0" hidden="1" customWidth="1"/>
    <col min="2" max="2" width="20.00390625" style="0" customWidth="1"/>
    <col min="3" max="3" width="70.140625" style="23" customWidth="1"/>
  </cols>
  <sheetData>
    <row r="1" ht="12.75">
      <c r="B1" s="2" t="s">
        <v>267</v>
      </c>
    </row>
    <row r="3" spans="1:2" s="16" customFormat="1" ht="12.75">
      <c r="A3" s="16">
        <v>10</v>
      </c>
      <c r="B3" s="2" t="s">
        <v>162</v>
      </c>
    </row>
    <row r="4" s="16" customFormat="1" ht="12.75"/>
    <row r="5" spans="2:3" s="46" customFormat="1" ht="12.75">
      <c r="B5" s="46" t="s">
        <v>168</v>
      </c>
      <c r="C5" s="46" t="s">
        <v>157</v>
      </c>
    </row>
    <row r="6" spans="2:3" s="16" customFormat="1" ht="12.75">
      <c r="B6" s="16" t="s">
        <v>169</v>
      </c>
      <c r="C6" s="16" t="s">
        <v>125</v>
      </c>
    </row>
    <row r="7" spans="2:3" s="16" customFormat="1" ht="12.75">
      <c r="B7" s="16" t="s">
        <v>170</v>
      </c>
      <c r="C7" s="16" t="s">
        <v>126</v>
      </c>
    </row>
    <row r="8" spans="2:3" s="16" customFormat="1" ht="12.75">
      <c r="B8" s="16" t="s">
        <v>171</v>
      </c>
      <c r="C8" s="28" t="s">
        <v>283</v>
      </c>
    </row>
    <row r="9" spans="2:3" s="16" customFormat="1" ht="12.75">
      <c r="B9" s="16" t="s">
        <v>284</v>
      </c>
      <c r="C9" s="75">
        <v>35796</v>
      </c>
    </row>
    <row r="10" spans="2:3" s="16" customFormat="1" ht="25.5">
      <c r="B10" s="55" t="s">
        <v>172</v>
      </c>
      <c r="C10" s="53" t="s">
        <v>166</v>
      </c>
    </row>
    <row r="11" spans="2:3" s="16" customFormat="1" ht="12.75">
      <c r="B11" s="16" t="s">
        <v>173</v>
      </c>
      <c r="C11" s="16" t="s">
        <v>127</v>
      </c>
    </row>
    <row r="12" s="16" customFormat="1" ht="12.75"/>
    <row r="13" spans="1:2" s="16" customFormat="1" ht="12.75">
      <c r="A13" s="16">
        <v>11</v>
      </c>
      <c r="B13" s="2" t="s">
        <v>163</v>
      </c>
    </row>
    <row r="14" s="16" customFormat="1" ht="12.75"/>
    <row r="15" spans="2:3" s="46" customFormat="1" ht="12.75">
      <c r="B15" s="46" t="s">
        <v>168</v>
      </c>
      <c r="C15" s="46" t="s">
        <v>157</v>
      </c>
    </row>
    <row r="16" spans="2:3" s="16" customFormat="1" ht="12.75">
      <c r="B16" s="16" t="s">
        <v>169</v>
      </c>
      <c r="C16" s="16" t="s">
        <v>125</v>
      </c>
    </row>
    <row r="17" spans="2:3" s="16" customFormat="1" ht="12.75">
      <c r="B17" s="16" t="s">
        <v>170</v>
      </c>
      <c r="C17" s="16" t="s">
        <v>126</v>
      </c>
    </row>
    <row r="18" spans="2:3" s="16" customFormat="1" ht="12.75">
      <c r="B18" s="16" t="s">
        <v>171</v>
      </c>
      <c r="C18" s="28">
        <v>35812</v>
      </c>
    </row>
    <row r="19" spans="2:3" s="16" customFormat="1" ht="12.75">
      <c r="B19" s="16" t="s">
        <v>284</v>
      </c>
      <c r="C19" s="75">
        <v>35796</v>
      </c>
    </row>
    <row r="20" spans="2:3" s="16" customFormat="1" ht="12.75">
      <c r="B20" s="16" t="s">
        <v>172</v>
      </c>
      <c r="C20" s="16" t="s">
        <v>158</v>
      </c>
    </row>
    <row r="21" spans="2:3" s="16" customFormat="1" ht="12.75">
      <c r="B21" s="16" t="s">
        <v>173</v>
      </c>
      <c r="C21" s="16" t="s">
        <v>159</v>
      </c>
    </row>
    <row r="23" ht="12.75">
      <c r="B23" s="2" t="s">
        <v>174</v>
      </c>
    </row>
    <row r="25" spans="2:3" ht="25.5">
      <c r="B25" s="56" t="s">
        <v>168</v>
      </c>
      <c r="C25" s="68" t="s">
        <v>250</v>
      </c>
    </row>
    <row r="26" spans="2:3" ht="12.75">
      <c r="B26" s="56" t="s">
        <v>169</v>
      </c>
      <c r="C26" s="68" t="s">
        <v>251</v>
      </c>
    </row>
    <row r="27" spans="2:3" ht="12.75">
      <c r="B27" s="56" t="s">
        <v>170</v>
      </c>
      <c r="C27" s="68" t="s">
        <v>252</v>
      </c>
    </row>
    <row r="28" spans="1:3" ht="12.75">
      <c r="A28" t="s">
        <v>174</v>
      </c>
      <c r="B28" t="s">
        <v>175</v>
      </c>
      <c r="C28" s="23" t="s">
        <v>253</v>
      </c>
    </row>
    <row r="29" spans="2:3" ht="12.75">
      <c r="B29" s="16" t="s">
        <v>171</v>
      </c>
      <c r="C29" s="23" t="s">
        <v>256</v>
      </c>
    </row>
    <row r="30" spans="2:3" ht="12.75">
      <c r="B30" s="16" t="s">
        <v>284</v>
      </c>
      <c r="C30" s="57">
        <v>33786</v>
      </c>
    </row>
    <row r="32" ht="12.75">
      <c r="B32" s="2" t="s">
        <v>176</v>
      </c>
    </row>
    <row r="34" spans="2:3" ht="25.5">
      <c r="B34" s="56" t="s">
        <v>168</v>
      </c>
      <c r="C34" s="68" t="s">
        <v>250</v>
      </c>
    </row>
    <row r="35" spans="2:3" ht="12.75">
      <c r="B35" s="56" t="s">
        <v>169</v>
      </c>
      <c r="C35" s="68" t="s">
        <v>251</v>
      </c>
    </row>
    <row r="36" spans="2:3" ht="12.75">
      <c r="B36" s="56" t="s">
        <v>170</v>
      </c>
      <c r="C36" s="68" t="s">
        <v>252</v>
      </c>
    </row>
    <row r="37" spans="1:3" ht="12.75">
      <c r="A37" t="s">
        <v>176</v>
      </c>
      <c r="B37" t="s">
        <v>175</v>
      </c>
      <c r="C37" s="23" t="s">
        <v>254</v>
      </c>
    </row>
    <row r="38" spans="2:3" ht="12.75">
      <c r="B38" s="16" t="s">
        <v>171</v>
      </c>
      <c r="C38" s="23" t="s">
        <v>255</v>
      </c>
    </row>
    <row r="39" spans="2:3" ht="12.75">
      <c r="B39" s="16" t="s">
        <v>284</v>
      </c>
      <c r="C39" s="57">
        <v>33786</v>
      </c>
    </row>
    <row r="41" ht="12.75">
      <c r="B41" s="2" t="s">
        <v>177</v>
      </c>
    </row>
    <row r="43" spans="2:3" ht="25.5">
      <c r="B43" s="56" t="s">
        <v>168</v>
      </c>
      <c r="C43" s="69" t="s">
        <v>257</v>
      </c>
    </row>
    <row r="44" spans="2:3" ht="12.75">
      <c r="B44" s="70" t="s">
        <v>169</v>
      </c>
      <c r="C44" s="69" t="s">
        <v>251</v>
      </c>
    </row>
    <row r="45" spans="2:3" ht="12.75">
      <c r="B45" s="70" t="s">
        <v>170</v>
      </c>
      <c r="C45" s="69" t="s">
        <v>252</v>
      </c>
    </row>
    <row r="46" spans="1:3" ht="12.75">
      <c r="A46" t="s">
        <v>177</v>
      </c>
      <c r="B46" t="s">
        <v>175</v>
      </c>
      <c r="C46" s="23" t="s">
        <v>258</v>
      </c>
    </row>
    <row r="47" spans="1:3" ht="12.75">
      <c r="A47" t="s">
        <v>177</v>
      </c>
      <c r="B47" s="16" t="s">
        <v>171</v>
      </c>
      <c r="C47" s="23" t="s">
        <v>178</v>
      </c>
    </row>
    <row r="48" spans="2:3" ht="12.75">
      <c r="B48" s="16" t="s">
        <v>284</v>
      </c>
      <c r="C48" s="57">
        <v>34716</v>
      </c>
    </row>
    <row r="50" ht="12.75">
      <c r="B50" s="2" t="s">
        <v>179</v>
      </c>
    </row>
    <row r="52" spans="2:3" ht="25.5">
      <c r="B52" s="56" t="s">
        <v>168</v>
      </c>
      <c r="C52" s="69" t="s">
        <v>257</v>
      </c>
    </row>
    <row r="53" spans="2:3" ht="12.75">
      <c r="B53" s="70" t="s">
        <v>169</v>
      </c>
      <c r="C53" s="69" t="s">
        <v>251</v>
      </c>
    </row>
    <row r="54" spans="2:3" ht="12.75">
      <c r="B54" s="70" t="s">
        <v>170</v>
      </c>
      <c r="C54" s="69" t="s">
        <v>252</v>
      </c>
    </row>
    <row r="55" spans="1:3" ht="12.75">
      <c r="A55" t="s">
        <v>179</v>
      </c>
      <c r="B55" t="s">
        <v>175</v>
      </c>
      <c r="C55" s="23" t="s">
        <v>259</v>
      </c>
    </row>
    <row r="56" spans="1:3" ht="12.75">
      <c r="A56" t="s">
        <v>179</v>
      </c>
      <c r="B56" s="16" t="s">
        <v>171</v>
      </c>
      <c r="C56" s="23" t="s">
        <v>180</v>
      </c>
    </row>
    <row r="57" spans="1:3" ht="12.75">
      <c r="A57" t="s">
        <v>179</v>
      </c>
      <c r="B57" s="16" t="s">
        <v>284</v>
      </c>
      <c r="C57" s="57">
        <v>34716</v>
      </c>
    </row>
    <row r="59" ht="12.75">
      <c r="B59" s="2" t="s">
        <v>181</v>
      </c>
    </row>
    <row r="61" spans="2:3" ht="25.5">
      <c r="B61" s="56" t="s">
        <v>168</v>
      </c>
      <c r="C61" s="69" t="s">
        <v>257</v>
      </c>
    </row>
    <row r="62" spans="2:3" ht="12.75">
      <c r="B62" s="70" t="s">
        <v>169</v>
      </c>
      <c r="C62" s="69" t="s">
        <v>251</v>
      </c>
    </row>
    <row r="63" spans="2:3" ht="12.75">
      <c r="B63" s="70" t="s">
        <v>170</v>
      </c>
      <c r="C63" s="69" t="s">
        <v>252</v>
      </c>
    </row>
    <row r="64" spans="1:3" ht="12.75">
      <c r="A64" t="s">
        <v>181</v>
      </c>
      <c r="B64" t="s">
        <v>175</v>
      </c>
      <c r="C64" s="23" t="s">
        <v>260</v>
      </c>
    </row>
    <row r="65" spans="1:3" ht="12.75">
      <c r="A65" t="s">
        <v>181</v>
      </c>
      <c r="B65" s="16" t="s">
        <v>171</v>
      </c>
      <c r="C65" s="23" t="s">
        <v>182</v>
      </c>
    </row>
    <row r="66" spans="2:3" ht="12.75">
      <c r="B66" s="16" t="s">
        <v>284</v>
      </c>
      <c r="C66" s="57">
        <v>34716</v>
      </c>
    </row>
    <row r="68" ht="12.75">
      <c r="B68" s="2" t="s">
        <v>183</v>
      </c>
    </row>
    <row r="70" spans="2:3" ht="25.5">
      <c r="B70" s="56" t="s">
        <v>168</v>
      </c>
      <c r="C70" s="68" t="s">
        <v>264</v>
      </c>
    </row>
    <row r="71" spans="2:3" ht="12.75">
      <c r="B71" t="s">
        <v>169</v>
      </c>
      <c r="C71" s="23" t="s">
        <v>251</v>
      </c>
    </row>
    <row r="72" ht="12.75">
      <c r="B72" t="s">
        <v>170</v>
      </c>
    </row>
    <row r="73" spans="2:3" ht="12.75">
      <c r="B73" s="71" t="s">
        <v>175</v>
      </c>
      <c r="C73" s="68" t="s">
        <v>263</v>
      </c>
    </row>
    <row r="74" spans="2:3" ht="12.75">
      <c r="B74" s="16" t="s">
        <v>171</v>
      </c>
      <c r="C74" s="76">
        <v>34243</v>
      </c>
    </row>
    <row r="75" spans="2:3" ht="12.75">
      <c r="B75" s="16" t="s">
        <v>284</v>
      </c>
      <c r="C75" s="57">
        <v>34243</v>
      </c>
    </row>
    <row r="77" ht="12.75">
      <c r="B77" s="2" t="s">
        <v>184</v>
      </c>
    </row>
    <row r="79" spans="2:3" ht="38.25">
      <c r="B79" s="56" t="s">
        <v>168</v>
      </c>
      <c r="C79" s="68" t="s">
        <v>261</v>
      </c>
    </row>
    <row r="80" spans="2:3" ht="12.75">
      <c r="B80" t="s">
        <v>169</v>
      </c>
      <c r="C80" s="23" t="s">
        <v>262</v>
      </c>
    </row>
    <row r="81" spans="2:3" ht="12.75">
      <c r="B81" t="s">
        <v>170</v>
      </c>
      <c r="C81" s="23" t="s">
        <v>262</v>
      </c>
    </row>
    <row r="82" spans="1:3" ht="12.75">
      <c r="A82" t="s">
        <v>184</v>
      </c>
      <c r="B82" t="s">
        <v>175</v>
      </c>
      <c r="C82" s="23" t="s">
        <v>185</v>
      </c>
    </row>
    <row r="83" spans="2:3" ht="12.75">
      <c r="B83" s="16" t="s">
        <v>171</v>
      </c>
      <c r="C83" s="23" t="s">
        <v>285</v>
      </c>
    </row>
    <row r="84" spans="2:3" ht="12.75">
      <c r="B84" s="16" t="s">
        <v>284</v>
      </c>
      <c r="C84" s="57">
        <v>34700</v>
      </c>
    </row>
    <row r="86" ht="12.75">
      <c r="B86" s="2" t="s">
        <v>186</v>
      </c>
    </row>
    <row r="88" spans="2:3" ht="38.25">
      <c r="B88" s="56" t="s">
        <v>168</v>
      </c>
      <c r="C88" s="68" t="s">
        <v>261</v>
      </c>
    </row>
    <row r="89" spans="2:3" ht="12.75">
      <c r="B89" t="s">
        <v>169</v>
      </c>
      <c r="C89" s="23" t="s">
        <v>262</v>
      </c>
    </row>
    <row r="90" spans="2:3" ht="12.75">
      <c r="B90" t="s">
        <v>170</v>
      </c>
      <c r="C90" s="23" t="s">
        <v>262</v>
      </c>
    </row>
    <row r="91" spans="1:3" ht="12.75">
      <c r="A91" t="s">
        <v>186</v>
      </c>
      <c r="B91" t="s">
        <v>175</v>
      </c>
      <c r="C91" s="23" t="s">
        <v>187</v>
      </c>
    </row>
    <row r="92" spans="1:3" ht="12.75">
      <c r="A92" t="s">
        <v>186</v>
      </c>
      <c r="B92" s="16" t="s">
        <v>171</v>
      </c>
      <c r="C92" s="23" t="s">
        <v>188</v>
      </c>
    </row>
    <row r="93" spans="1:3" ht="12.75">
      <c r="A93" t="s">
        <v>186</v>
      </c>
      <c r="B93" s="16" t="s">
        <v>284</v>
      </c>
      <c r="C93" s="57">
        <v>34700</v>
      </c>
    </row>
    <row r="95" ht="12.75">
      <c r="B95" s="2" t="s">
        <v>189</v>
      </c>
    </row>
    <row r="97" spans="2:3" ht="38.25">
      <c r="B97" s="56" t="s">
        <v>168</v>
      </c>
      <c r="C97" s="68" t="s">
        <v>261</v>
      </c>
    </row>
    <row r="98" spans="2:3" ht="12.75">
      <c r="B98" t="s">
        <v>169</v>
      </c>
      <c r="C98" s="23" t="s">
        <v>262</v>
      </c>
    </row>
    <row r="99" spans="2:3" ht="12.75">
      <c r="B99" t="s">
        <v>170</v>
      </c>
      <c r="C99" s="23" t="s">
        <v>262</v>
      </c>
    </row>
    <row r="100" spans="1:3" ht="12.75">
      <c r="A100" t="s">
        <v>189</v>
      </c>
      <c r="B100" t="s">
        <v>175</v>
      </c>
      <c r="C100" s="23" t="s">
        <v>190</v>
      </c>
    </row>
    <row r="101" spans="1:3" ht="12.75">
      <c r="A101" t="s">
        <v>189</v>
      </c>
      <c r="B101" s="16" t="s">
        <v>171</v>
      </c>
      <c r="C101" s="23" t="s">
        <v>286</v>
      </c>
    </row>
    <row r="102" spans="2:3" ht="12.75">
      <c r="B102" s="16" t="s">
        <v>284</v>
      </c>
      <c r="C102" s="57">
        <v>34700</v>
      </c>
    </row>
    <row r="104" ht="12.75">
      <c r="B104" s="2" t="s">
        <v>191</v>
      </c>
    </row>
    <row r="106" spans="2:3" ht="38.25">
      <c r="B106" s="56" t="s">
        <v>168</v>
      </c>
      <c r="C106" s="68" t="s">
        <v>261</v>
      </c>
    </row>
    <row r="107" spans="2:3" ht="12.75">
      <c r="B107" t="s">
        <v>169</v>
      </c>
      <c r="C107" s="23" t="s">
        <v>262</v>
      </c>
    </row>
    <row r="108" spans="2:3" ht="12.75">
      <c r="B108" t="s">
        <v>170</v>
      </c>
      <c r="C108" s="23" t="s">
        <v>262</v>
      </c>
    </row>
    <row r="109" spans="1:3" ht="12.75">
      <c r="A109" t="s">
        <v>191</v>
      </c>
      <c r="B109" t="s">
        <v>175</v>
      </c>
      <c r="C109" s="23" t="s">
        <v>192</v>
      </c>
    </row>
    <row r="110" spans="2:3" ht="12.75">
      <c r="B110" s="16" t="s">
        <v>171</v>
      </c>
      <c r="C110" s="76">
        <v>34725</v>
      </c>
    </row>
    <row r="111" spans="2:3" ht="12.75">
      <c r="B111" s="16" t="s">
        <v>284</v>
      </c>
      <c r="C111" s="57">
        <v>34700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4"/>
  <sheetViews>
    <sheetView workbookViewId="0" topLeftCell="B2">
      <selection activeCell="B60" sqref="A60:IV60"/>
    </sheetView>
  </sheetViews>
  <sheetFormatPr defaultColWidth="9.140625" defaultRowHeight="12.75"/>
  <cols>
    <col min="1" max="1" width="1.28515625" style="32" hidden="1" customWidth="1"/>
    <col min="2" max="2" width="20.7109375" style="32" customWidth="1"/>
    <col min="3" max="3" width="7.140625" style="32" customWidth="1"/>
    <col min="4" max="4" width="8.8515625" style="30" customWidth="1"/>
    <col min="5" max="5" width="5.421875" style="30" customWidth="1"/>
    <col min="6" max="6" width="3.28125" style="31" customWidth="1"/>
    <col min="7" max="7" width="8.8515625" style="32" customWidth="1"/>
    <col min="8" max="8" width="3.00390625" style="31" customWidth="1"/>
    <col min="9" max="9" width="8.8515625" style="32" customWidth="1"/>
    <col min="10" max="10" width="3.28125" style="31" customWidth="1"/>
    <col min="11" max="11" width="9.7109375" style="32" customWidth="1"/>
    <col min="12" max="12" width="2.00390625" style="32" customWidth="1"/>
    <col min="13" max="13" width="8.8515625" style="32" customWidth="1"/>
    <col min="14" max="14" width="2.140625" style="32" customWidth="1"/>
    <col min="15" max="15" width="8.57421875" style="32" customWidth="1"/>
    <col min="16" max="16384" width="8.8515625" style="32" customWidth="1"/>
  </cols>
  <sheetData>
    <row r="1" spans="2:3" ht="12.75">
      <c r="B1" s="29" t="s">
        <v>268</v>
      </c>
      <c r="C1" s="29"/>
    </row>
    <row r="2" spans="2:3" ht="12.75">
      <c r="B2" s="16"/>
      <c r="C2" s="16"/>
    </row>
    <row r="3" spans="2:3" ht="12.75">
      <c r="B3" s="16"/>
      <c r="C3" s="16"/>
    </row>
    <row r="4" spans="1:15" ht="12.75">
      <c r="A4" s="32">
        <v>10</v>
      </c>
      <c r="B4" s="33" t="s">
        <v>162</v>
      </c>
      <c r="C4" s="30" t="s">
        <v>128</v>
      </c>
      <c r="G4" s="31" t="s">
        <v>140</v>
      </c>
      <c r="I4" s="31" t="s">
        <v>141</v>
      </c>
      <c r="K4" s="31" t="s">
        <v>142</v>
      </c>
      <c r="L4" s="31"/>
      <c r="M4" s="31" t="s">
        <v>143</v>
      </c>
      <c r="N4" s="31"/>
      <c r="O4" s="31" t="s">
        <v>71</v>
      </c>
    </row>
    <row r="5" spans="2:13" ht="12.75">
      <c r="B5" s="33"/>
      <c r="C5" s="30"/>
      <c r="G5" s="34"/>
      <c r="I5" s="34"/>
      <c r="K5" s="34"/>
      <c r="L5" s="34"/>
      <c r="M5" s="34"/>
    </row>
    <row r="6" spans="2:15" ht="12.75">
      <c r="B6" s="30" t="s">
        <v>19</v>
      </c>
      <c r="C6" s="30" t="s">
        <v>277</v>
      </c>
      <c r="D6" s="30" t="s">
        <v>20</v>
      </c>
      <c r="E6" s="30" t="s">
        <v>15</v>
      </c>
      <c r="G6">
        <v>0.0086</v>
      </c>
      <c r="H6"/>
      <c r="I6">
        <v>0.023</v>
      </c>
      <c r="J6"/>
      <c r="K6">
        <v>0.0074</v>
      </c>
      <c r="L6"/>
      <c r="M6">
        <v>0.0055</v>
      </c>
      <c r="O6" s="37">
        <f>AVERAGE(M6,K6,I6,G6)</f>
        <v>0.011125</v>
      </c>
    </row>
    <row r="7" spans="2:13" ht="12.75">
      <c r="B7" s="30"/>
      <c r="C7" s="30"/>
      <c r="G7"/>
      <c r="H7"/>
      <c r="I7"/>
      <c r="J7"/>
      <c r="K7"/>
      <c r="L7"/>
      <c r="M7"/>
    </row>
    <row r="8" spans="2:15" ht="12.75">
      <c r="B8" s="30" t="s">
        <v>97</v>
      </c>
      <c r="C8" s="30" t="s">
        <v>277</v>
      </c>
      <c r="D8" s="30" t="s">
        <v>66</v>
      </c>
      <c r="E8" s="30" t="s">
        <v>15</v>
      </c>
      <c r="G8">
        <v>337</v>
      </c>
      <c r="H8"/>
      <c r="I8">
        <v>427</v>
      </c>
      <c r="J8"/>
      <c r="K8">
        <v>443</v>
      </c>
      <c r="L8"/>
      <c r="M8">
        <v>404</v>
      </c>
      <c r="O8" s="41">
        <f>AVERAGE(M8,K8,I8,G8)</f>
        <v>402.75</v>
      </c>
    </row>
    <row r="9" spans="2:15" ht="12.75">
      <c r="B9" s="30" t="s">
        <v>131</v>
      </c>
      <c r="C9" s="30" t="s">
        <v>277</v>
      </c>
      <c r="D9" s="30" t="s">
        <v>66</v>
      </c>
      <c r="E9" s="30" t="s">
        <v>15</v>
      </c>
      <c r="G9">
        <v>608</v>
      </c>
      <c r="H9"/>
      <c r="I9">
        <v>576</v>
      </c>
      <c r="J9"/>
      <c r="K9">
        <v>659</v>
      </c>
      <c r="L9"/>
      <c r="M9">
        <v>451</v>
      </c>
      <c r="O9" s="41">
        <f>AVERAGE(M9,K9,I9,G9)</f>
        <v>573.5</v>
      </c>
    </row>
    <row r="10" spans="2:15" ht="12.75">
      <c r="B10" s="30" t="s">
        <v>132</v>
      </c>
      <c r="C10" s="30" t="s">
        <v>277</v>
      </c>
      <c r="D10" s="30" t="s">
        <v>66</v>
      </c>
      <c r="E10" s="30" t="s">
        <v>15</v>
      </c>
      <c r="G10">
        <v>10.9</v>
      </c>
      <c r="H10"/>
      <c r="I10">
        <v>15.2</v>
      </c>
      <c r="J10"/>
      <c r="K10">
        <v>14.4</v>
      </c>
      <c r="L10"/>
      <c r="M10">
        <v>15</v>
      </c>
      <c r="O10" s="41">
        <f>AVERAGE(M10,K10,I10,G10)</f>
        <v>13.874999999999998</v>
      </c>
    </row>
    <row r="11" spans="2:15" ht="12.75">
      <c r="B11" s="30" t="s">
        <v>133</v>
      </c>
      <c r="C11" s="30" t="s">
        <v>277</v>
      </c>
      <c r="D11" s="30" t="s">
        <v>66</v>
      </c>
      <c r="E11" s="30" t="s">
        <v>15</v>
      </c>
      <c r="G11">
        <v>16.6</v>
      </c>
      <c r="H11"/>
      <c r="I11">
        <v>17.8</v>
      </c>
      <c r="J11"/>
      <c r="K11">
        <v>20.7</v>
      </c>
      <c r="L11"/>
      <c r="M11">
        <v>16.3</v>
      </c>
      <c r="O11" s="41">
        <f>AVERAGE(M11,K11,I11,G11)</f>
        <v>17.85</v>
      </c>
    </row>
    <row r="12" spans="2:13" ht="12.75">
      <c r="B12" s="30"/>
      <c r="C12" s="30"/>
      <c r="G12"/>
      <c r="H12"/>
      <c r="I12"/>
      <c r="J12"/>
      <c r="K12"/>
      <c r="L12"/>
      <c r="M12"/>
    </row>
    <row r="13" spans="2:13" ht="12.75">
      <c r="B13" s="30" t="s">
        <v>21</v>
      </c>
      <c r="C13" s="30"/>
      <c r="D13" s="30" t="s">
        <v>134</v>
      </c>
      <c r="G13">
        <v>6865</v>
      </c>
      <c r="H13"/>
      <c r="I13">
        <v>5761</v>
      </c>
      <c r="J13"/>
      <c r="K13">
        <v>8456</v>
      </c>
      <c r="L13"/>
      <c r="M13">
        <v>13944</v>
      </c>
    </row>
    <row r="14" spans="2:13" ht="12.75">
      <c r="B14" s="30" t="s">
        <v>69</v>
      </c>
      <c r="C14" s="30"/>
      <c r="D14" s="30" t="s">
        <v>134</v>
      </c>
      <c r="G14">
        <v>548</v>
      </c>
      <c r="H14"/>
      <c r="I14">
        <v>782</v>
      </c>
      <c r="J14"/>
      <c r="K14">
        <v>780</v>
      </c>
      <c r="L14"/>
      <c r="M14">
        <v>312</v>
      </c>
    </row>
    <row r="15" spans="2:14" ht="12.75">
      <c r="B15" s="30"/>
      <c r="C15" s="30"/>
      <c r="G15" s="42"/>
      <c r="H15" s="51"/>
      <c r="I15" s="42"/>
      <c r="J15" s="51"/>
      <c r="K15" s="42"/>
      <c r="L15" s="34"/>
      <c r="M15" s="34"/>
      <c r="N15" s="34"/>
    </row>
    <row r="16" spans="2:15" ht="12.75">
      <c r="B16" s="30" t="s">
        <v>21</v>
      </c>
      <c r="C16" s="30" t="s">
        <v>277</v>
      </c>
      <c r="D16" s="30" t="s">
        <v>66</v>
      </c>
      <c r="E16" s="30" t="s">
        <v>15</v>
      </c>
      <c r="G16" s="42">
        <f>G13*1000000/60/G$36/0.0283/1516*(21-7)/(21-G$37)</f>
        <v>27.626631288967015</v>
      </c>
      <c r="H16" s="51"/>
      <c r="I16" s="42">
        <f>I13*1000000/60/I$36/0.0283/1516*(21-7)/(21-I$37)</f>
        <v>21.643945821544904</v>
      </c>
      <c r="J16" s="51"/>
      <c r="K16" s="42">
        <f>K13*1000000/60/K$36/0.0283/1516*(21-7)/(21-K$37)</f>
        <v>31.123610820288597</v>
      </c>
      <c r="L16" s="34"/>
      <c r="M16" s="42">
        <f>M13*1000000/60/M$36/0.0283/1516*(21-7)/(21-M$37)</f>
        <v>54.65042343478232</v>
      </c>
      <c r="N16" s="34"/>
      <c r="O16" s="41">
        <f>AVERAGE(M16,K16,I16,G16)</f>
        <v>33.761152841395706</v>
      </c>
    </row>
    <row r="17" spans="2:15" ht="12.75">
      <c r="B17" s="30" t="s">
        <v>69</v>
      </c>
      <c r="C17" s="30" t="s">
        <v>277</v>
      </c>
      <c r="D17" s="30" t="s">
        <v>66</v>
      </c>
      <c r="E17" s="30" t="s">
        <v>15</v>
      </c>
      <c r="G17" s="42">
        <f>G14*1000000/60/G$36/0.0283/2948*(21-7)/(21-G$37)</f>
        <v>1.1340695000139613</v>
      </c>
      <c r="H17" s="51"/>
      <c r="I17" s="42">
        <f>I14*1000000/60/I$36/0.0283/2948*(21-7)/(21-I$37)</f>
        <v>1.510835003321552</v>
      </c>
      <c r="J17" s="51"/>
      <c r="K17" s="42">
        <f>K14*1000000/60/K$36/0.0283/2948*(21-7)/(21-K$37)</f>
        <v>1.4763567928441323</v>
      </c>
      <c r="L17" s="34"/>
      <c r="M17" s="42">
        <f>M14*1000000/60/M$36/0.0283/2948*(21-7)/(21-M$37)</f>
        <v>0.6288288714380823</v>
      </c>
      <c r="N17" s="34"/>
      <c r="O17" s="39">
        <f>AVERAGE(M17,K17,I17,G17)</f>
        <v>1.187522541904432</v>
      </c>
    </row>
    <row r="18" spans="2:15" ht="12.75">
      <c r="B18" s="30" t="s">
        <v>278</v>
      </c>
      <c r="C18" s="30" t="s">
        <v>277</v>
      </c>
      <c r="D18" s="30" t="s">
        <v>66</v>
      </c>
      <c r="E18" s="30" t="s">
        <v>15</v>
      </c>
      <c r="G18" s="42">
        <f>G16+2*G17</f>
        <v>29.894770288994938</v>
      </c>
      <c r="H18" s="51"/>
      <c r="I18" s="42">
        <f>I16+2*I17</f>
        <v>24.66561582818801</v>
      </c>
      <c r="J18" s="51"/>
      <c r="K18" s="42">
        <f>K16+2*K17</f>
        <v>34.07632440597686</v>
      </c>
      <c r="L18" s="34"/>
      <c r="M18" s="42">
        <f>M16+2*M17</f>
        <v>55.90808117765848</v>
      </c>
      <c r="N18" s="34"/>
      <c r="O18" s="41">
        <f>AVERAGE(M18,K18,I18,G18)</f>
        <v>36.13619792520458</v>
      </c>
    </row>
    <row r="19" spans="2:13" ht="12.75">
      <c r="B19" s="30"/>
      <c r="C19" s="30"/>
      <c r="G19" s="34"/>
      <c r="I19" s="34"/>
      <c r="K19" s="34"/>
      <c r="L19" s="34"/>
      <c r="M19" s="34"/>
    </row>
    <row r="20" spans="2:13" ht="12.75">
      <c r="B20" s="30" t="s">
        <v>103</v>
      </c>
      <c r="C20" s="30"/>
      <c r="D20" s="30" t="s">
        <v>70</v>
      </c>
      <c r="E20" s="30" t="s">
        <v>12</v>
      </c>
      <c r="G20">
        <v>2.3</v>
      </c>
      <c r="H20"/>
      <c r="I20">
        <v>2.6</v>
      </c>
      <c r="J20"/>
      <c r="K20">
        <v>2.6</v>
      </c>
      <c r="L20"/>
      <c r="M20">
        <v>2</v>
      </c>
    </row>
    <row r="21" spans="2:14" ht="12.75">
      <c r="B21" s="32" t="s">
        <v>99</v>
      </c>
      <c r="C21" s="30"/>
      <c r="D21" s="30" t="s">
        <v>70</v>
      </c>
      <c r="E21" s="30" t="s">
        <v>12</v>
      </c>
      <c r="G21">
        <v>1.5</v>
      </c>
      <c r="H21"/>
      <c r="I21">
        <v>1.5</v>
      </c>
      <c r="J21"/>
      <c r="K21">
        <v>1.2</v>
      </c>
      <c r="L21"/>
      <c r="M21">
        <v>0.9</v>
      </c>
      <c r="N21" s="31"/>
    </row>
    <row r="22" spans="2:15" ht="12.75">
      <c r="B22" s="32" t="s">
        <v>100</v>
      </c>
      <c r="D22" s="30" t="s">
        <v>70</v>
      </c>
      <c r="E22" s="30" t="s">
        <v>12</v>
      </c>
      <c r="G22">
        <v>14.4</v>
      </c>
      <c r="H22"/>
      <c r="I22">
        <v>11.4</v>
      </c>
      <c r="J22"/>
      <c r="K22">
        <v>10.2</v>
      </c>
      <c r="L22"/>
      <c r="M22">
        <v>9</v>
      </c>
      <c r="N22" s="36"/>
      <c r="O22" s="37"/>
    </row>
    <row r="23" spans="2:15" ht="12.75">
      <c r="B23" s="32" t="s">
        <v>101</v>
      </c>
      <c r="D23" s="30" t="s">
        <v>70</v>
      </c>
      <c r="E23" s="30" t="s">
        <v>12</v>
      </c>
      <c r="G23">
        <v>0.1</v>
      </c>
      <c r="H23"/>
      <c r="I23">
        <v>0.2</v>
      </c>
      <c r="J23"/>
      <c r="K23">
        <v>0.2</v>
      </c>
      <c r="L23"/>
      <c r="M23">
        <v>0.2</v>
      </c>
      <c r="N23" s="36"/>
      <c r="O23" s="37"/>
    </row>
    <row r="24" spans="2:15" ht="12.75">
      <c r="B24" s="32" t="s">
        <v>106</v>
      </c>
      <c r="D24" s="30" t="s">
        <v>70</v>
      </c>
      <c r="E24" s="30" t="s">
        <v>12</v>
      </c>
      <c r="G24">
        <v>8.3</v>
      </c>
      <c r="H24"/>
      <c r="I24">
        <v>9.4</v>
      </c>
      <c r="J24"/>
      <c r="K24">
        <v>9.8</v>
      </c>
      <c r="L24"/>
      <c r="M24">
        <v>9.8</v>
      </c>
      <c r="N24" s="38"/>
      <c r="O24" s="39"/>
    </row>
    <row r="25" spans="2:15" ht="12.75">
      <c r="B25" s="32" t="s">
        <v>108</v>
      </c>
      <c r="D25" s="30" t="s">
        <v>70</v>
      </c>
      <c r="E25" s="30" t="s">
        <v>12</v>
      </c>
      <c r="G25">
        <v>10.6</v>
      </c>
      <c r="H25"/>
      <c r="I25">
        <v>12.6</v>
      </c>
      <c r="J25"/>
      <c r="K25">
        <v>9.5</v>
      </c>
      <c r="L25"/>
      <c r="M25">
        <v>7.5</v>
      </c>
      <c r="N25" s="38"/>
      <c r="O25" s="39"/>
    </row>
    <row r="26" spans="2:15" ht="12.75">
      <c r="B26" s="32" t="s">
        <v>104</v>
      </c>
      <c r="D26" s="30" t="s">
        <v>70</v>
      </c>
      <c r="E26" s="30" t="s">
        <v>12</v>
      </c>
      <c r="G26">
        <v>121.9</v>
      </c>
      <c r="H26"/>
      <c r="I26">
        <v>132.3</v>
      </c>
      <c r="J26"/>
      <c r="K26">
        <v>138</v>
      </c>
      <c r="L26"/>
      <c r="M26">
        <v>146</v>
      </c>
      <c r="N26" s="38"/>
      <c r="O26" s="39"/>
    </row>
    <row r="27" spans="2:15" ht="12.75">
      <c r="B27" s="32" t="s">
        <v>112</v>
      </c>
      <c r="D27" s="30" t="s">
        <v>70</v>
      </c>
      <c r="E27" s="30" t="s">
        <v>12</v>
      </c>
      <c r="G27">
        <v>14.2</v>
      </c>
      <c r="H27"/>
      <c r="I27">
        <v>12.6</v>
      </c>
      <c r="J27"/>
      <c r="K27">
        <v>14.7</v>
      </c>
      <c r="L27"/>
      <c r="M27">
        <v>16.8</v>
      </c>
      <c r="N27" s="38"/>
      <c r="O27" s="39"/>
    </row>
    <row r="28" spans="2:15" ht="12.75">
      <c r="B28" s="32" t="s">
        <v>105</v>
      </c>
      <c r="D28" s="30" t="s">
        <v>70</v>
      </c>
      <c r="E28" s="30" t="s">
        <v>12</v>
      </c>
      <c r="G28">
        <v>5.4</v>
      </c>
      <c r="H28"/>
      <c r="I28">
        <v>6.1</v>
      </c>
      <c r="J28"/>
      <c r="K28">
        <v>5.6</v>
      </c>
      <c r="L28"/>
      <c r="M28">
        <v>4</v>
      </c>
      <c r="N28" s="38"/>
      <c r="O28" s="39"/>
    </row>
    <row r="29" spans="2:15" ht="12.75">
      <c r="B29" s="32" t="s">
        <v>107</v>
      </c>
      <c r="D29" s="30" t="s">
        <v>70</v>
      </c>
      <c r="E29" s="30" t="s">
        <v>12</v>
      </c>
      <c r="G29">
        <v>0.5</v>
      </c>
      <c r="H29"/>
      <c r="I29">
        <v>0.3</v>
      </c>
      <c r="J29"/>
      <c r="K29">
        <v>2.4</v>
      </c>
      <c r="L29"/>
      <c r="M29">
        <v>0.5</v>
      </c>
      <c r="N29" s="38"/>
      <c r="O29" s="39"/>
    </row>
    <row r="30" spans="2:15" ht="12.75">
      <c r="B30" s="32" t="s">
        <v>282</v>
      </c>
      <c r="D30" s="30" t="s">
        <v>70</v>
      </c>
      <c r="E30" s="30" t="s">
        <v>12</v>
      </c>
      <c r="G30">
        <v>12.7</v>
      </c>
      <c r="H30"/>
      <c r="I30">
        <v>14.4</v>
      </c>
      <c r="J30"/>
      <c r="K30">
        <v>19.8</v>
      </c>
      <c r="L30"/>
      <c r="M30">
        <v>17.5</v>
      </c>
      <c r="N30" s="38"/>
      <c r="O30" s="39"/>
    </row>
    <row r="31" spans="2:14" ht="12.75">
      <c r="B31" s="32" t="s">
        <v>102</v>
      </c>
      <c r="D31" s="30" t="s">
        <v>70</v>
      </c>
      <c r="E31" s="30" t="s">
        <v>12</v>
      </c>
      <c r="G31">
        <v>0.8</v>
      </c>
      <c r="H31"/>
      <c r="I31">
        <v>0.6</v>
      </c>
      <c r="J31"/>
      <c r="K31">
        <v>0.9</v>
      </c>
      <c r="L31"/>
      <c r="M31">
        <v>0.6</v>
      </c>
      <c r="N31" s="38"/>
    </row>
    <row r="32" spans="2:14" ht="12.75">
      <c r="B32" s="32" t="s">
        <v>139</v>
      </c>
      <c r="D32" s="30" t="s">
        <v>70</v>
      </c>
      <c r="E32" s="30" t="s">
        <v>12</v>
      </c>
      <c r="G32">
        <v>74</v>
      </c>
      <c r="H32"/>
      <c r="I32">
        <v>54.5</v>
      </c>
      <c r="J32"/>
      <c r="K32">
        <v>61.4</v>
      </c>
      <c r="L32"/>
      <c r="M32">
        <v>58.9</v>
      </c>
      <c r="N32" s="38"/>
    </row>
    <row r="33" spans="2:14" ht="12.75">
      <c r="B33" s="60" t="s">
        <v>194</v>
      </c>
      <c r="D33" s="30" t="s">
        <v>70</v>
      </c>
      <c r="E33" s="30" t="s">
        <v>12</v>
      </c>
      <c r="G33" s="1">
        <f>21.4/2.32</f>
        <v>9.224137931034482</v>
      </c>
      <c r="H33"/>
      <c r="I33" s="24">
        <f>38.2/2.212</f>
        <v>17.269439421338156</v>
      </c>
      <c r="J33"/>
      <c r="K33" s="1">
        <f>29.9/2.202</f>
        <v>13.57856494096276</v>
      </c>
      <c r="L33"/>
      <c r="M33" s="1">
        <f>26.8/2.189</f>
        <v>12.243033348560987</v>
      </c>
      <c r="N33" s="38"/>
    </row>
    <row r="34" spans="7:14" ht="12.75">
      <c r="G34" s="50"/>
      <c r="I34" s="50"/>
      <c r="K34" s="50"/>
      <c r="L34" s="40"/>
      <c r="M34" s="50"/>
      <c r="N34" s="38"/>
    </row>
    <row r="35" spans="2:14" ht="12.75">
      <c r="B35" s="30" t="s">
        <v>98</v>
      </c>
      <c r="C35" s="30" t="s">
        <v>94</v>
      </c>
      <c r="D35" s="30" t="s">
        <v>277</v>
      </c>
      <c r="G35" s="35"/>
      <c r="I35" s="35"/>
      <c r="K35" s="35"/>
      <c r="L35" s="35"/>
      <c r="M35" s="35"/>
      <c r="N35" s="34"/>
    </row>
    <row r="36" spans="2:15" ht="12.75">
      <c r="B36" s="30" t="s">
        <v>93</v>
      </c>
      <c r="C36" s="30"/>
      <c r="D36" s="30" t="s">
        <v>16</v>
      </c>
      <c r="G36">
        <v>105997</v>
      </c>
      <c r="H36"/>
      <c r="I36">
        <v>109419</v>
      </c>
      <c r="J36"/>
      <c r="K36">
        <v>108014</v>
      </c>
      <c r="L36"/>
      <c r="M36">
        <v>102714</v>
      </c>
      <c r="N36" s="34"/>
      <c r="O36" s="49">
        <f>AVERAGE(G36,I36,K36,M36)</f>
        <v>106536</v>
      </c>
    </row>
    <row r="37" spans="2:15" ht="12.75">
      <c r="B37" s="30" t="s">
        <v>95</v>
      </c>
      <c r="C37" s="30"/>
      <c r="D37" s="30" t="s">
        <v>14</v>
      </c>
      <c r="F37" s="31" t="s">
        <v>17</v>
      </c>
      <c r="G37">
        <v>8.25</v>
      </c>
      <c r="H37"/>
      <c r="I37">
        <v>7.77</v>
      </c>
      <c r="J37"/>
      <c r="K37">
        <v>7.32</v>
      </c>
      <c r="L37"/>
      <c r="M37">
        <v>7.49</v>
      </c>
      <c r="N37" s="34"/>
      <c r="O37" s="41">
        <f>AVERAGE(G37,I37,K37,M37)</f>
        <v>7.7075</v>
      </c>
    </row>
    <row r="38" spans="2:15" ht="12.75">
      <c r="B38" s="30" t="s">
        <v>96</v>
      </c>
      <c r="C38" s="30"/>
      <c r="D38" s="30" t="s">
        <v>14</v>
      </c>
      <c r="G38">
        <v>34.24</v>
      </c>
      <c r="H38"/>
      <c r="I38">
        <v>35.09</v>
      </c>
      <c r="J38"/>
      <c r="K38">
        <v>36.14</v>
      </c>
      <c r="L38"/>
      <c r="M38">
        <v>35.47</v>
      </c>
      <c r="N38" s="34"/>
      <c r="O38" s="49">
        <f>AVERAGE(G38,I38,K38,M38)</f>
        <v>35.235</v>
      </c>
    </row>
    <row r="39" spans="2:15" ht="12.75">
      <c r="B39" s="30" t="s">
        <v>92</v>
      </c>
      <c r="C39" s="30"/>
      <c r="D39" s="30" t="s">
        <v>18</v>
      </c>
      <c r="G39">
        <v>431</v>
      </c>
      <c r="H39"/>
      <c r="I39">
        <v>425</v>
      </c>
      <c r="J39"/>
      <c r="K39">
        <v>416</v>
      </c>
      <c r="L39"/>
      <c r="M39">
        <v>436</v>
      </c>
      <c r="N39" s="34"/>
      <c r="O39" s="49">
        <f>AVERAGE(G39,I39,K39,M39)</f>
        <v>427</v>
      </c>
    </row>
    <row r="40" spans="7:14" ht="12.75">
      <c r="G40"/>
      <c r="H40"/>
      <c r="I40"/>
      <c r="J40"/>
      <c r="K40"/>
      <c r="L40"/>
      <c r="M40"/>
      <c r="N40" s="38"/>
    </row>
    <row r="41" spans="2:14" ht="12.75">
      <c r="B41" s="30" t="s">
        <v>98</v>
      </c>
      <c r="C41" s="30" t="s">
        <v>129</v>
      </c>
      <c r="D41" s="30" t="s">
        <v>279</v>
      </c>
      <c r="G41"/>
      <c r="H41"/>
      <c r="I41"/>
      <c r="J41"/>
      <c r="K41"/>
      <c r="L41"/>
      <c r="M41"/>
      <c r="N41" s="34"/>
    </row>
    <row r="42" spans="2:15" ht="12.75">
      <c r="B42" s="30" t="s">
        <v>93</v>
      </c>
      <c r="C42" s="30"/>
      <c r="D42" s="30" t="s">
        <v>16</v>
      </c>
      <c r="G42">
        <v>106459</v>
      </c>
      <c r="H42"/>
      <c r="I42">
        <v>107356</v>
      </c>
      <c r="J42"/>
      <c r="K42">
        <v>108117</v>
      </c>
      <c r="L42"/>
      <c r="M42">
        <v>104915</v>
      </c>
      <c r="N42" s="34"/>
      <c r="O42" s="49">
        <f>AVERAGE(G42,I42,K42,M42)</f>
        <v>106711.75</v>
      </c>
    </row>
    <row r="43" spans="2:15" ht="12.75">
      <c r="B43" s="30" t="s">
        <v>95</v>
      </c>
      <c r="C43" s="30"/>
      <c r="D43" s="30" t="s">
        <v>14</v>
      </c>
      <c r="F43" s="31" t="s">
        <v>17</v>
      </c>
      <c r="G43">
        <v>7.88</v>
      </c>
      <c r="H43"/>
      <c r="I43">
        <v>7.84</v>
      </c>
      <c r="J43"/>
      <c r="K43">
        <v>7.71</v>
      </c>
      <c r="L43"/>
      <c r="M43">
        <v>7.72</v>
      </c>
      <c r="N43" s="34"/>
      <c r="O43" s="41">
        <f>AVERAGE(G43,I43,K43,M43)</f>
        <v>7.7875</v>
      </c>
    </row>
    <row r="44" spans="2:15" ht="12.75">
      <c r="B44" s="30" t="s">
        <v>96</v>
      </c>
      <c r="C44" s="30"/>
      <c r="D44" s="30" t="s">
        <v>14</v>
      </c>
      <c r="G44">
        <v>35.11</v>
      </c>
      <c r="H44"/>
      <c r="I44">
        <v>35.8</v>
      </c>
      <c r="J44"/>
      <c r="K44">
        <v>36.02</v>
      </c>
      <c r="L44"/>
      <c r="M44">
        <v>35.58</v>
      </c>
      <c r="N44" s="34"/>
      <c r="O44" s="49">
        <f>AVERAGE(G44,I44,K44,M44)</f>
        <v>35.6275</v>
      </c>
    </row>
    <row r="45" spans="2:15" ht="12.75">
      <c r="B45" s="30" t="s">
        <v>92</v>
      </c>
      <c r="C45" s="30"/>
      <c r="D45" s="30" t="s">
        <v>18</v>
      </c>
      <c r="G45">
        <v>436</v>
      </c>
      <c r="H45"/>
      <c r="I45">
        <v>423</v>
      </c>
      <c r="J45"/>
      <c r="K45">
        <v>419</v>
      </c>
      <c r="L45"/>
      <c r="M45">
        <v>432</v>
      </c>
      <c r="N45" s="34"/>
      <c r="O45" s="49">
        <f>AVERAGE(G45,I45,K45,M45)</f>
        <v>427.5</v>
      </c>
    </row>
    <row r="46" spans="2:15" ht="12.75">
      <c r="B46" s="30"/>
      <c r="C46" s="30"/>
      <c r="G46"/>
      <c r="H46"/>
      <c r="I46"/>
      <c r="J46"/>
      <c r="K46"/>
      <c r="L46"/>
      <c r="M46"/>
      <c r="N46" s="34"/>
      <c r="O46" s="49"/>
    </row>
    <row r="47" spans="2:14" ht="12.75">
      <c r="B47" s="30" t="s">
        <v>98</v>
      </c>
      <c r="C47" s="30" t="s">
        <v>84</v>
      </c>
      <c r="D47" s="30" t="s">
        <v>280</v>
      </c>
      <c r="G47" s="35"/>
      <c r="I47" s="35"/>
      <c r="K47" s="35"/>
      <c r="L47" s="35"/>
      <c r="M47" s="35"/>
      <c r="N47" s="34"/>
    </row>
    <row r="48" spans="2:15" ht="12.75">
      <c r="B48" s="30" t="s">
        <v>93</v>
      </c>
      <c r="C48" s="30"/>
      <c r="D48" s="30" t="s">
        <v>16</v>
      </c>
      <c r="G48">
        <v>103125</v>
      </c>
      <c r="H48"/>
      <c r="I48">
        <v>111288</v>
      </c>
      <c r="J48"/>
      <c r="K48">
        <v>107487</v>
      </c>
      <c r="L48"/>
      <c r="M48">
        <v>110781</v>
      </c>
      <c r="N48" s="34"/>
      <c r="O48" s="49">
        <f>AVERAGE(G48,I48,K48,M48)</f>
        <v>108170.25</v>
      </c>
    </row>
    <row r="49" spans="2:15" ht="12.75">
      <c r="B49" s="30" t="s">
        <v>95</v>
      </c>
      <c r="C49" s="30"/>
      <c r="D49" s="30" t="s">
        <v>14</v>
      </c>
      <c r="F49" s="31" t="s">
        <v>17</v>
      </c>
      <c r="G49">
        <v>7.81</v>
      </c>
      <c r="H49"/>
      <c r="I49">
        <v>7.69</v>
      </c>
      <c r="J49"/>
      <c r="K49">
        <v>7.71</v>
      </c>
      <c r="L49"/>
      <c r="M49">
        <v>8.02</v>
      </c>
      <c r="N49" s="34"/>
      <c r="O49" s="41">
        <f>AVERAGE(G49,I49,K49,M49)</f>
        <v>7.8075</v>
      </c>
    </row>
    <row r="50" spans="2:15" ht="12.75">
      <c r="B50" s="30" t="s">
        <v>96</v>
      </c>
      <c r="C50" s="30"/>
      <c r="D50" s="30" t="s">
        <v>14</v>
      </c>
      <c r="G50">
        <v>34.14</v>
      </c>
      <c r="H50"/>
      <c r="I50">
        <v>34.76</v>
      </c>
      <c r="J50"/>
      <c r="K50">
        <v>35.61</v>
      </c>
      <c r="L50"/>
      <c r="M50">
        <v>35.31</v>
      </c>
      <c r="N50" s="34"/>
      <c r="O50" s="49">
        <f>AVERAGE(G50,I50,K50,M50)</f>
        <v>34.955</v>
      </c>
    </row>
    <row r="51" spans="2:15" ht="12.75">
      <c r="B51" s="30" t="s">
        <v>92</v>
      </c>
      <c r="C51" s="30"/>
      <c r="D51" s="30" t="s">
        <v>18</v>
      </c>
      <c r="G51">
        <v>431</v>
      </c>
      <c r="H51"/>
      <c r="I51">
        <v>422</v>
      </c>
      <c r="J51"/>
      <c r="K51">
        <v>413</v>
      </c>
      <c r="L51"/>
      <c r="M51">
        <v>429</v>
      </c>
      <c r="N51" s="34"/>
      <c r="O51" s="49">
        <f>AVERAGE(G51,I51,K51,M51)</f>
        <v>423.75</v>
      </c>
    </row>
    <row r="52" spans="2:15" ht="12.75">
      <c r="B52" s="30"/>
      <c r="C52" s="30"/>
      <c r="N52" s="34"/>
      <c r="O52" s="41"/>
    </row>
    <row r="53" spans="2:15" ht="12.75">
      <c r="B53" s="30" t="s">
        <v>103</v>
      </c>
      <c r="C53" s="30" t="s">
        <v>279</v>
      </c>
      <c r="D53" s="30" t="s">
        <v>70</v>
      </c>
      <c r="E53" s="30" t="s">
        <v>15</v>
      </c>
      <c r="G53" s="1">
        <f aca="true" t="shared" si="0" ref="G53:G66">G20*(21-7)/(21-G$43)</f>
        <v>2.4542682926829262</v>
      </c>
      <c r="H53"/>
      <c r="I53" s="1">
        <f aca="true" t="shared" si="1" ref="I53:I66">I20*(21-7)/(21-I$43)</f>
        <v>2.7659574468085104</v>
      </c>
      <c r="J53"/>
      <c r="K53" s="1">
        <f aca="true" t="shared" si="2" ref="K53:K66">K20*(21-7)/(21-K$43)</f>
        <v>2.7389014296463507</v>
      </c>
      <c r="L53"/>
      <c r="M53" s="1">
        <f aca="true" t="shared" si="3" ref="M53:M66">M20*(21-7)/(21-M$43)</f>
        <v>2.108433734939759</v>
      </c>
      <c r="O53" s="41">
        <f aca="true" t="shared" si="4" ref="O53:O59">AVERAGE(M53,K53,I53,G53)</f>
        <v>2.5168902260193864</v>
      </c>
    </row>
    <row r="54" spans="2:15" ht="12.75">
      <c r="B54" s="32" t="s">
        <v>99</v>
      </c>
      <c r="C54" s="30" t="s">
        <v>279</v>
      </c>
      <c r="D54" s="30" t="s">
        <v>70</v>
      </c>
      <c r="E54" s="30" t="s">
        <v>15</v>
      </c>
      <c r="G54" s="1">
        <f t="shared" si="0"/>
        <v>1.600609756097561</v>
      </c>
      <c r="H54"/>
      <c r="I54" s="1">
        <f t="shared" si="1"/>
        <v>1.5957446808510638</v>
      </c>
      <c r="J54"/>
      <c r="K54" s="1">
        <f t="shared" si="2"/>
        <v>1.2641083521444696</v>
      </c>
      <c r="L54"/>
      <c r="M54" s="1">
        <f t="shared" si="3"/>
        <v>0.9487951807228915</v>
      </c>
      <c r="N54" s="31"/>
      <c r="O54" s="41">
        <f t="shared" si="4"/>
        <v>1.3523144924539965</v>
      </c>
    </row>
    <row r="55" spans="2:15" ht="12.75">
      <c r="B55" s="32" t="s">
        <v>100</v>
      </c>
      <c r="C55" s="30" t="s">
        <v>279</v>
      </c>
      <c r="D55" s="30" t="s">
        <v>70</v>
      </c>
      <c r="E55" s="30" t="s">
        <v>15</v>
      </c>
      <c r="G55" s="1">
        <f t="shared" si="0"/>
        <v>15.365853658536583</v>
      </c>
      <c r="H55"/>
      <c r="I55" s="1">
        <f t="shared" si="1"/>
        <v>12.127659574468085</v>
      </c>
      <c r="J55"/>
      <c r="K55" s="1">
        <f t="shared" si="2"/>
        <v>10.744920993227991</v>
      </c>
      <c r="L55"/>
      <c r="M55" s="1">
        <f t="shared" si="3"/>
        <v>9.487951807228916</v>
      </c>
      <c r="N55" s="36"/>
      <c r="O55" s="41">
        <f t="shared" si="4"/>
        <v>11.931596508365395</v>
      </c>
    </row>
    <row r="56" spans="2:15" ht="12.75">
      <c r="B56" s="32" t="s">
        <v>101</v>
      </c>
      <c r="C56" s="30" t="s">
        <v>279</v>
      </c>
      <c r="D56" s="30" t="s">
        <v>70</v>
      </c>
      <c r="E56" s="30" t="s">
        <v>15</v>
      </c>
      <c r="G56" s="1">
        <f t="shared" si="0"/>
        <v>0.10670731707317073</v>
      </c>
      <c r="H56"/>
      <c r="I56" s="1">
        <f t="shared" si="1"/>
        <v>0.21276595744680854</v>
      </c>
      <c r="J56"/>
      <c r="K56" s="1">
        <f t="shared" si="2"/>
        <v>0.21068472535741162</v>
      </c>
      <c r="L56"/>
      <c r="M56" s="1">
        <f t="shared" si="3"/>
        <v>0.21084337349397592</v>
      </c>
      <c r="N56" s="36"/>
      <c r="O56" s="41">
        <f t="shared" si="4"/>
        <v>0.18525034334284168</v>
      </c>
    </row>
    <row r="57" spans="2:15" ht="12.75">
      <c r="B57" s="32" t="s">
        <v>106</v>
      </c>
      <c r="C57" s="30" t="s">
        <v>279</v>
      </c>
      <c r="D57" s="30" t="s">
        <v>70</v>
      </c>
      <c r="E57" s="30" t="s">
        <v>15</v>
      </c>
      <c r="G57" s="1">
        <f t="shared" si="0"/>
        <v>8.856707317073171</v>
      </c>
      <c r="H57"/>
      <c r="I57" s="1">
        <f t="shared" si="1"/>
        <v>10</v>
      </c>
      <c r="J57"/>
      <c r="K57" s="1">
        <f t="shared" si="2"/>
        <v>10.32355154251317</v>
      </c>
      <c r="L57"/>
      <c r="M57" s="1">
        <f t="shared" si="3"/>
        <v>10.331325301204819</v>
      </c>
      <c r="N57" s="38"/>
      <c r="O57" s="41">
        <f t="shared" si="4"/>
        <v>9.87789604019779</v>
      </c>
    </row>
    <row r="58" spans="2:15" ht="12.75">
      <c r="B58" s="32" t="s">
        <v>108</v>
      </c>
      <c r="C58" s="30" t="s">
        <v>279</v>
      </c>
      <c r="D58" s="30" t="s">
        <v>70</v>
      </c>
      <c r="E58" s="30" t="s">
        <v>15</v>
      </c>
      <c r="G58" s="1">
        <f t="shared" si="0"/>
        <v>11.310975609756097</v>
      </c>
      <c r="H58"/>
      <c r="I58" s="1">
        <f t="shared" si="1"/>
        <v>13.404255319148936</v>
      </c>
      <c r="J58"/>
      <c r="K58" s="1">
        <f t="shared" si="2"/>
        <v>10.007524454477052</v>
      </c>
      <c r="L58"/>
      <c r="M58" s="1">
        <f t="shared" si="3"/>
        <v>7.906626506024096</v>
      </c>
      <c r="N58" s="38"/>
      <c r="O58" s="41">
        <f t="shared" si="4"/>
        <v>10.657345472351546</v>
      </c>
    </row>
    <row r="59" spans="2:15" ht="12.75">
      <c r="B59" s="32" t="s">
        <v>104</v>
      </c>
      <c r="C59" s="30" t="s">
        <v>279</v>
      </c>
      <c r="D59" s="30" t="s">
        <v>70</v>
      </c>
      <c r="E59" s="30" t="s">
        <v>15</v>
      </c>
      <c r="G59" s="1">
        <f t="shared" si="0"/>
        <v>130.0762195121951</v>
      </c>
      <c r="H59"/>
      <c r="I59" s="1">
        <f t="shared" si="1"/>
        <v>140.74468085106386</v>
      </c>
      <c r="J59"/>
      <c r="K59" s="1">
        <f t="shared" si="2"/>
        <v>145.372460496614</v>
      </c>
      <c r="L59"/>
      <c r="M59" s="1">
        <f t="shared" si="3"/>
        <v>153.9156626506024</v>
      </c>
      <c r="N59" s="38"/>
      <c r="O59" s="41">
        <f t="shared" si="4"/>
        <v>142.52725587761887</v>
      </c>
    </row>
    <row r="60" spans="2:15" ht="12.75">
      <c r="B60" s="32" t="s">
        <v>112</v>
      </c>
      <c r="C60" s="30" t="s">
        <v>279</v>
      </c>
      <c r="D60" s="30" t="s">
        <v>70</v>
      </c>
      <c r="E60" s="30" t="s">
        <v>15</v>
      </c>
      <c r="G60" s="1">
        <f t="shared" si="0"/>
        <v>15.152439024390242</v>
      </c>
      <c r="H60"/>
      <c r="I60" s="1">
        <f t="shared" si="1"/>
        <v>13.404255319148936</v>
      </c>
      <c r="J60"/>
      <c r="K60" s="1">
        <f t="shared" si="2"/>
        <v>15.485327313769751</v>
      </c>
      <c r="L60"/>
      <c r="M60" s="1">
        <f t="shared" si="3"/>
        <v>17.710843373493976</v>
      </c>
      <c r="N60" s="38"/>
      <c r="O60" s="41">
        <f>AVERAGE(M60,K60,I60,G60)</f>
        <v>15.438216257700727</v>
      </c>
    </row>
    <row r="61" spans="2:15" ht="12.75">
      <c r="B61" s="32" t="s">
        <v>105</v>
      </c>
      <c r="C61" s="30" t="s">
        <v>279</v>
      </c>
      <c r="D61" s="30" t="s">
        <v>70</v>
      </c>
      <c r="E61" s="30" t="s">
        <v>15</v>
      </c>
      <c r="G61" s="1">
        <f t="shared" si="0"/>
        <v>5.76219512195122</v>
      </c>
      <c r="H61"/>
      <c r="I61" s="1">
        <f t="shared" si="1"/>
        <v>6.489361702127659</v>
      </c>
      <c r="J61"/>
      <c r="K61" s="1">
        <f t="shared" si="2"/>
        <v>5.899172310007525</v>
      </c>
      <c r="L61"/>
      <c r="M61" s="1">
        <f t="shared" si="3"/>
        <v>4.216867469879518</v>
      </c>
      <c r="N61" s="38"/>
      <c r="O61" s="41">
        <f aca="true" t="shared" si="5" ref="O61:O66">AVERAGE(M61,K61,I61,G61)</f>
        <v>5.59189915099148</v>
      </c>
    </row>
    <row r="62" spans="2:15" ht="12.75">
      <c r="B62" s="32" t="s">
        <v>107</v>
      </c>
      <c r="C62" s="30" t="s">
        <v>279</v>
      </c>
      <c r="D62" s="30" t="s">
        <v>70</v>
      </c>
      <c r="E62" s="30" t="s">
        <v>15</v>
      </c>
      <c r="G62" s="1">
        <f t="shared" si="0"/>
        <v>0.5335365853658536</v>
      </c>
      <c r="H62"/>
      <c r="I62" s="1">
        <f t="shared" si="1"/>
        <v>0.3191489361702128</v>
      </c>
      <c r="J62"/>
      <c r="K62" s="1">
        <f t="shared" si="2"/>
        <v>2.528216704288939</v>
      </c>
      <c r="L62"/>
      <c r="M62" s="1">
        <f t="shared" si="3"/>
        <v>0.5271084337349398</v>
      </c>
      <c r="N62" s="38"/>
      <c r="O62" s="41">
        <f t="shared" si="5"/>
        <v>0.9770026648899863</v>
      </c>
    </row>
    <row r="63" spans="2:15" ht="12.75">
      <c r="B63" s="32" t="s">
        <v>282</v>
      </c>
      <c r="C63" s="30" t="s">
        <v>279</v>
      </c>
      <c r="D63" s="30" t="s">
        <v>70</v>
      </c>
      <c r="E63" s="30" t="s">
        <v>15</v>
      </c>
      <c r="G63" s="1">
        <f t="shared" si="0"/>
        <v>13.55182926829268</v>
      </c>
      <c r="H63"/>
      <c r="I63" s="1">
        <f t="shared" si="1"/>
        <v>15.319148936170212</v>
      </c>
      <c r="J63"/>
      <c r="K63" s="1">
        <f t="shared" si="2"/>
        <v>20.857787810383748</v>
      </c>
      <c r="L63"/>
      <c r="M63" s="1">
        <f t="shared" si="3"/>
        <v>18.44879518072289</v>
      </c>
      <c r="N63" s="38"/>
      <c r="O63" s="41">
        <f t="shared" si="5"/>
        <v>17.04439029889238</v>
      </c>
    </row>
    <row r="64" spans="2:15" ht="12.75">
      <c r="B64" s="32" t="s">
        <v>102</v>
      </c>
      <c r="C64" s="30" t="s">
        <v>279</v>
      </c>
      <c r="D64" s="30" t="s">
        <v>70</v>
      </c>
      <c r="E64" s="30" t="s">
        <v>15</v>
      </c>
      <c r="F64" s="31" t="s">
        <v>13</v>
      </c>
      <c r="G64" s="1">
        <f t="shared" si="0"/>
        <v>0.8536585365853658</v>
      </c>
      <c r="H64"/>
      <c r="I64" s="1">
        <f t="shared" si="1"/>
        <v>0.6382978723404256</v>
      </c>
      <c r="J64"/>
      <c r="K64" s="1">
        <f t="shared" si="2"/>
        <v>0.9480812641083521</v>
      </c>
      <c r="L64"/>
      <c r="M64" s="1">
        <f t="shared" si="3"/>
        <v>0.6325301204819277</v>
      </c>
      <c r="N64" s="38"/>
      <c r="O64" s="41">
        <f t="shared" si="5"/>
        <v>0.7681419483790177</v>
      </c>
    </row>
    <row r="65" spans="2:15" ht="12.75">
      <c r="B65" s="32" t="s">
        <v>139</v>
      </c>
      <c r="C65" s="30" t="s">
        <v>279</v>
      </c>
      <c r="D65" s="30" t="s">
        <v>70</v>
      </c>
      <c r="E65" s="30" t="s">
        <v>15</v>
      </c>
      <c r="G65" s="1">
        <f t="shared" si="0"/>
        <v>78.96341463414633</v>
      </c>
      <c r="H65"/>
      <c r="I65" s="1">
        <f t="shared" si="1"/>
        <v>57.97872340425532</v>
      </c>
      <c r="J65"/>
      <c r="K65" s="1">
        <f t="shared" si="2"/>
        <v>64.68021068472537</v>
      </c>
      <c r="L65"/>
      <c r="M65" s="1">
        <f t="shared" si="3"/>
        <v>62.0933734939759</v>
      </c>
      <c r="N65" s="38"/>
      <c r="O65" s="41">
        <f t="shared" si="5"/>
        <v>65.92893055427572</v>
      </c>
    </row>
    <row r="66" spans="2:15" ht="12.75">
      <c r="B66" s="60" t="s">
        <v>194</v>
      </c>
      <c r="C66" s="30" t="s">
        <v>279</v>
      </c>
      <c r="D66" s="30" t="s">
        <v>70</v>
      </c>
      <c r="E66" s="30" t="s">
        <v>15</v>
      </c>
      <c r="G66" s="1">
        <f t="shared" si="0"/>
        <v>9.842830109335576</v>
      </c>
      <c r="H66"/>
      <c r="I66" s="1">
        <f t="shared" si="1"/>
        <v>18.37174406525336</v>
      </c>
      <c r="J66"/>
      <c r="K66" s="1">
        <f t="shared" si="2"/>
        <v>14.303981126672584</v>
      </c>
      <c r="L66"/>
      <c r="M66" s="1">
        <f t="shared" si="3"/>
        <v>12.906812265049233</v>
      </c>
      <c r="N66" s="34"/>
      <c r="O66" s="41">
        <f t="shared" si="5"/>
        <v>13.856341891577689</v>
      </c>
    </row>
    <row r="67" spans="2:15" ht="12.75">
      <c r="B67" s="60"/>
      <c r="C67" s="30"/>
      <c r="N67" s="34"/>
      <c r="O67" s="41"/>
    </row>
    <row r="68" spans="2:15" ht="12.75">
      <c r="B68" s="30" t="s">
        <v>77</v>
      </c>
      <c r="C68" s="30" t="s">
        <v>279</v>
      </c>
      <c r="D68" s="30" t="s">
        <v>70</v>
      </c>
      <c r="E68" s="30" t="s">
        <v>15</v>
      </c>
      <c r="G68" s="41">
        <f>G59+G57</f>
        <v>138.93292682926827</v>
      </c>
      <c r="I68" s="41">
        <f>I59+I57</f>
        <v>150.74468085106386</v>
      </c>
      <c r="K68" s="41">
        <f>K59+K57</f>
        <v>155.69601203912717</v>
      </c>
      <c r="M68" s="41">
        <f>M59+M57</f>
        <v>164.24698795180723</v>
      </c>
      <c r="N68" s="34"/>
      <c r="O68" s="41">
        <f>AVERAGE(M68,K68,I68,G68)</f>
        <v>152.40515191781662</v>
      </c>
    </row>
    <row r="69" spans="2:15" ht="12.75">
      <c r="B69" s="30" t="s">
        <v>78</v>
      </c>
      <c r="C69" s="30" t="s">
        <v>279</v>
      </c>
      <c r="D69" s="30" t="s">
        <v>70</v>
      </c>
      <c r="E69" s="30" t="s">
        <v>15</v>
      </c>
      <c r="G69" s="41">
        <f>G54+G56+G58</f>
        <v>13.018292682926829</v>
      </c>
      <c r="I69" s="41">
        <f>I54+I56+I58</f>
        <v>15.212765957446809</v>
      </c>
      <c r="K69" s="41">
        <f>K54+K56+K58</f>
        <v>11.482317531978932</v>
      </c>
      <c r="M69" s="41">
        <f>M54+M56+M58</f>
        <v>9.066265060240964</v>
      </c>
      <c r="N69" s="34"/>
      <c r="O69" s="41">
        <f>AVERAGE(M69,K69,I69,G69)</f>
        <v>12.194910308148383</v>
      </c>
    </row>
    <row r="70" spans="2:15" ht="12.75">
      <c r="B70" s="30"/>
      <c r="C70" s="30"/>
      <c r="N70" s="34"/>
      <c r="O70" s="41"/>
    </row>
    <row r="71" spans="2:14" ht="12.75">
      <c r="B71" s="30"/>
      <c r="C71" s="30"/>
      <c r="G71" s="31"/>
      <c r="I71" s="31"/>
      <c r="K71" s="31"/>
      <c r="L71" s="34"/>
      <c r="M71" s="34"/>
      <c r="N71" s="34"/>
    </row>
    <row r="72" spans="1:15" ht="12.75">
      <c r="A72" s="32">
        <v>11</v>
      </c>
      <c r="B72" s="33" t="s">
        <v>163</v>
      </c>
      <c r="C72" s="30" t="s">
        <v>161</v>
      </c>
      <c r="G72" s="31" t="s">
        <v>140</v>
      </c>
      <c r="I72" s="31" t="s">
        <v>141</v>
      </c>
      <c r="K72" s="31" t="s">
        <v>142</v>
      </c>
      <c r="L72" s="31"/>
      <c r="M72" s="31" t="s">
        <v>143</v>
      </c>
      <c r="N72" s="31"/>
      <c r="O72" s="31" t="s">
        <v>71</v>
      </c>
    </row>
    <row r="73" spans="2:14" ht="12.75">
      <c r="B73" s="30"/>
      <c r="C73" s="30"/>
      <c r="D73" s="16"/>
      <c r="E73" s="16"/>
      <c r="F73" s="20"/>
      <c r="G73" s="16"/>
      <c r="H73" s="20"/>
      <c r="I73" s="16"/>
      <c r="J73" s="20"/>
      <c r="K73" s="16"/>
      <c r="L73" s="16"/>
      <c r="M73" s="16"/>
      <c r="N73" s="34"/>
    </row>
    <row r="74" spans="2:15" ht="12.75">
      <c r="B74" s="30" t="s">
        <v>97</v>
      </c>
      <c r="C74" s="30" t="s">
        <v>277</v>
      </c>
      <c r="D74" s="30" t="s">
        <v>66</v>
      </c>
      <c r="E74" s="30" t="s">
        <v>15</v>
      </c>
      <c r="G74">
        <v>240</v>
      </c>
      <c r="H74"/>
      <c r="I74">
        <v>206</v>
      </c>
      <c r="J74"/>
      <c r="K74">
        <v>205</v>
      </c>
      <c r="L74" s="34"/>
      <c r="M74" s="34"/>
      <c r="N74" s="34"/>
      <c r="O74" s="41">
        <f>AVERAGE(G74,I74,K74)</f>
        <v>217</v>
      </c>
    </row>
    <row r="75" spans="2:15" ht="12.75">
      <c r="B75" s="30" t="s">
        <v>131</v>
      </c>
      <c r="C75" s="30" t="s">
        <v>277</v>
      </c>
      <c r="D75" s="30" t="s">
        <v>66</v>
      </c>
      <c r="E75" s="30" t="s">
        <v>15</v>
      </c>
      <c r="G75">
        <v>261</v>
      </c>
      <c r="H75"/>
      <c r="I75">
        <v>242</v>
      </c>
      <c r="J75"/>
      <c r="K75">
        <v>225</v>
      </c>
      <c r="L75" s="34"/>
      <c r="M75" s="34"/>
      <c r="N75" s="34"/>
      <c r="O75" s="41">
        <f>AVERAGE(G75,I75,K75)</f>
        <v>242.66666666666666</v>
      </c>
    </row>
    <row r="76" spans="2:15" ht="12.75">
      <c r="B76" s="30" t="s">
        <v>132</v>
      </c>
      <c r="C76" s="30" t="s">
        <v>277</v>
      </c>
      <c r="D76" s="30" t="s">
        <v>66</v>
      </c>
      <c r="E76" s="30" t="s">
        <v>15</v>
      </c>
      <c r="G76">
        <v>11.7</v>
      </c>
      <c r="H76"/>
      <c r="I76">
        <v>8.9</v>
      </c>
      <c r="J76"/>
      <c r="K76">
        <v>8</v>
      </c>
      <c r="L76" s="34"/>
      <c r="M76" s="34"/>
      <c r="N76" s="34"/>
      <c r="O76" s="41">
        <f>AVERAGE(G76,I76,K76)</f>
        <v>9.533333333333333</v>
      </c>
    </row>
    <row r="77" spans="2:15" ht="12.75">
      <c r="B77" s="30" t="s">
        <v>133</v>
      </c>
      <c r="C77" s="30" t="s">
        <v>277</v>
      </c>
      <c r="D77" s="30" t="s">
        <v>66</v>
      </c>
      <c r="E77" s="30" t="s">
        <v>15</v>
      </c>
      <c r="G77">
        <v>12.8</v>
      </c>
      <c r="H77"/>
      <c r="I77">
        <v>9.4</v>
      </c>
      <c r="J77"/>
      <c r="K77">
        <v>8.5</v>
      </c>
      <c r="L77" s="34"/>
      <c r="M77" s="34"/>
      <c r="N77" s="34"/>
      <c r="O77" s="41">
        <f>AVERAGE(G77,I77,K77)</f>
        <v>10.233333333333334</v>
      </c>
    </row>
    <row r="78" spans="2:14" ht="12.75">
      <c r="B78" s="30"/>
      <c r="C78" s="30"/>
      <c r="G78"/>
      <c r="H78"/>
      <c r="I78"/>
      <c r="J78"/>
      <c r="K78"/>
      <c r="L78" s="34"/>
      <c r="M78" s="34"/>
      <c r="N78" s="34"/>
    </row>
    <row r="79" spans="2:15" ht="12.75">
      <c r="B79" s="30" t="s">
        <v>19</v>
      </c>
      <c r="C79" s="30" t="s">
        <v>277</v>
      </c>
      <c r="D79" s="30" t="s">
        <v>20</v>
      </c>
      <c r="E79" s="30" t="s">
        <v>15</v>
      </c>
      <c r="G79">
        <v>0.0034</v>
      </c>
      <c r="H79"/>
      <c r="I79">
        <v>0.0123</v>
      </c>
      <c r="J79"/>
      <c r="K79">
        <v>0.0049</v>
      </c>
      <c r="L79" s="34"/>
      <c r="M79" s="34"/>
      <c r="N79" s="34"/>
      <c r="O79" s="37">
        <f>AVERAGE(G79,I79,K79)</f>
        <v>0.006866666666666667</v>
      </c>
    </row>
    <row r="80" spans="2:14" ht="12.75">
      <c r="B80" s="30"/>
      <c r="C80" s="30"/>
      <c r="G80"/>
      <c r="H80"/>
      <c r="I80"/>
      <c r="J80"/>
      <c r="K80"/>
      <c r="L80" s="34"/>
      <c r="M80" s="34"/>
      <c r="N80" s="34"/>
    </row>
    <row r="81" spans="2:14" ht="12.75">
      <c r="B81" s="30" t="s">
        <v>21</v>
      </c>
      <c r="C81" s="30"/>
      <c r="D81" s="30" t="s">
        <v>134</v>
      </c>
      <c r="G81">
        <v>9973</v>
      </c>
      <c r="H81"/>
      <c r="I81">
        <v>14679</v>
      </c>
      <c r="J81"/>
      <c r="K81">
        <v>10145</v>
      </c>
      <c r="L81" s="34"/>
      <c r="M81" s="34"/>
      <c r="N81" s="34"/>
    </row>
    <row r="82" spans="2:14" ht="12.75">
      <c r="B82" s="30" t="s">
        <v>69</v>
      </c>
      <c r="C82" s="30"/>
      <c r="D82" s="30" t="s">
        <v>134</v>
      </c>
      <c r="G82">
        <v>8.46</v>
      </c>
      <c r="H82"/>
      <c r="I82">
        <v>116</v>
      </c>
      <c r="J82"/>
      <c r="K82">
        <v>687</v>
      </c>
      <c r="L82" s="34"/>
      <c r="M82" s="34"/>
      <c r="N82" s="34"/>
    </row>
    <row r="83" spans="2:14" ht="12.75">
      <c r="B83" s="30"/>
      <c r="C83" s="30"/>
      <c r="G83" s="42"/>
      <c r="H83" s="51"/>
      <c r="I83" s="42"/>
      <c r="J83" s="51"/>
      <c r="K83" s="42"/>
      <c r="L83" s="34"/>
      <c r="M83" s="34"/>
      <c r="N83" s="34"/>
    </row>
    <row r="84" spans="2:15" ht="12.75">
      <c r="B84" s="30" t="s">
        <v>21</v>
      </c>
      <c r="C84" s="30" t="s">
        <v>277</v>
      </c>
      <c r="D84" s="30" t="s">
        <v>66</v>
      </c>
      <c r="E84" s="30" t="s">
        <v>15</v>
      </c>
      <c r="G84" s="42">
        <f>G81*1000000/60/G$89/0.0283/1516*(21-7)/(21-G$90)</f>
        <v>36.4628042958741</v>
      </c>
      <c r="H84" s="51"/>
      <c r="I84" s="42">
        <f>I81*1000000/60/I$89/0.0283/1516*(21-7)/(21-I$90)</f>
        <v>59.26289941810655</v>
      </c>
      <c r="J84" s="51"/>
      <c r="K84" s="42">
        <f>K81*1000000/60/K$89/0.0283/1516*(21-7)/(21-K$90)</f>
        <v>35.17183263282681</v>
      </c>
      <c r="L84" s="34"/>
      <c r="M84" s="42"/>
      <c r="N84" s="34"/>
      <c r="O84" s="41">
        <f>AVERAGE(K84,I84,G84)</f>
        <v>43.63251211560249</v>
      </c>
    </row>
    <row r="85" spans="2:15" ht="12.75">
      <c r="B85" s="30" t="s">
        <v>69</v>
      </c>
      <c r="C85" s="30" t="s">
        <v>277</v>
      </c>
      <c r="D85" s="30" t="s">
        <v>66</v>
      </c>
      <c r="E85" s="30" t="s">
        <v>15</v>
      </c>
      <c r="G85" s="42">
        <f>G82*1000000/60/G$89/0.0283/2948*(21-7)/(21-G$90)</f>
        <v>0.015906196108874282</v>
      </c>
      <c r="H85" s="51"/>
      <c r="I85" s="42">
        <f>I82*1000000/60/I$89/0.0283/2948*(21-7)/(21-I$90)</f>
        <v>0.2408330779835135</v>
      </c>
      <c r="J85" s="51"/>
      <c r="K85" s="42">
        <f>K82*1000000/60/K$89/0.0283/2948*(21-7)/(21-K$90)</f>
        <v>1.224817564327698</v>
      </c>
      <c r="L85" s="34"/>
      <c r="M85" s="42"/>
      <c r="N85" s="34"/>
      <c r="O85" s="41">
        <f>AVERAGE(K85,I85,G85)</f>
        <v>0.4938522794733619</v>
      </c>
    </row>
    <row r="86" spans="2:15" ht="12.75">
      <c r="B86" s="30" t="s">
        <v>278</v>
      </c>
      <c r="C86" s="30" t="s">
        <v>277</v>
      </c>
      <c r="D86" s="30" t="s">
        <v>66</v>
      </c>
      <c r="E86" s="30" t="s">
        <v>15</v>
      </c>
      <c r="G86" s="42">
        <f>G84+2*G85</f>
        <v>36.49461668809185</v>
      </c>
      <c r="H86" s="51"/>
      <c r="I86" s="42">
        <f>I84+2*I85</f>
        <v>59.744565574073576</v>
      </c>
      <c r="J86" s="51"/>
      <c r="K86" s="42">
        <f>K84+2*K85</f>
        <v>37.62146776148221</v>
      </c>
      <c r="L86" s="34"/>
      <c r="M86" s="42"/>
      <c r="N86" s="34"/>
      <c r="O86" s="41">
        <f>AVERAGE(K86,I86,G86)</f>
        <v>44.620216674549205</v>
      </c>
    </row>
    <row r="87" spans="2:14" ht="12.75">
      <c r="B87" s="30"/>
      <c r="C87" s="30"/>
      <c r="G87" s="42"/>
      <c r="H87" s="51"/>
      <c r="I87" s="42"/>
      <c r="J87" s="51"/>
      <c r="K87" s="42"/>
      <c r="L87" s="34"/>
      <c r="M87" s="34"/>
      <c r="N87" s="34"/>
    </row>
    <row r="88" spans="2:14" ht="12.75">
      <c r="B88" s="30" t="s">
        <v>98</v>
      </c>
      <c r="C88" s="30" t="s">
        <v>94</v>
      </c>
      <c r="D88" s="30" t="s">
        <v>277</v>
      </c>
      <c r="G88" s="34"/>
      <c r="I88" s="34"/>
      <c r="K88" s="34"/>
      <c r="L88" s="34"/>
      <c r="M88" s="34"/>
      <c r="N88" s="34"/>
    </row>
    <row r="89" spans="2:15" ht="12.75">
      <c r="B89" s="30" t="s">
        <v>93</v>
      </c>
      <c r="C89" s="30"/>
      <c r="D89" s="30" t="s">
        <v>16</v>
      </c>
      <c r="G89">
        <v>111010</v>
      </c>
      <c r="H89"/>
      <c r="I89">
        <v>108289</v>
      </c>
      <c r="J89"/>
      <c r="K89">
        <v>104582</v>
      </c>
      <c r="L89" s="34"/>
      <c r="M89" s="34"/>
      <c r="N89" s="34"/>
      <c r="O89" s="41">
        <f>AVERAGE(G89,I89,K89)</f>
        <v>107960.33333333333</v>
      </c>
    </row>
    <row r="90" spans="2:15" ht="12.75">
      <c r="B90" s="30" t="s">
        <v>95</v>
      </c>
      <c r="C90" s="30"/>
      <c r="D90" s="30" t="s">
        <v>14</v>
      </c>
      <c r="G90">
        <v>7.6</v>
      </c>
      <c r="H90"/>
      <c r="I90">
        <v>8.56</v>
      </c>
      <c r="J90"/>
      <c r="K90">
        <v>6</v>
      </c>
      <c r="L90" s="34"/>
      <c r="M90" s="34"/>
      <c r="N90" s="31"/>
      <c r="O90" s="41">
        <f>AVERAGE(G90,I90,K90)</f>
        <v>7.386666666666667</v>
      </c>
    </row>
    <row r="91" spans="2:15" ht="12.75">
      <c r="B91" s="30" t="s">
        <v>96</v>
      </c>
      <c r="C91" s="30"/>
      <c r="D91" s="30" t="s">
        <v>14</v>
      </c>
      <c r="G91">
        <v>30.97</v>
      </c>
      <c r="H91"/>
      <c r="I91">
        <v>34.18</v>
      </c>
      <c r="J91"/>
      <c r="K91">
        <v>34.9</v>
      </c>
      <c r="L91" s="34"/>
      <c r="M91" s="34"/>
      <c r="N91" s="31"/>
      <c r="O91" s="41">
        <f>AVERAGE(G91,I91,K91)</f>
        <v>33.35</v>
      </c>
    </row>
    <row r="92" spans="2:15" ht="12.75">
      <c r="B92" s="30" t="s">
        <v>92</v>
      </c>
      <c r="C92" s="30"/>
      <c r="D92" s="30" t="s">
        <v>18</v>
      </c>
      <c r="G92">
        <v>424</v>
      </c>
      <c r="H92"/>
      <c r="I92">
        <v>422</v>
      </c>
      <c r="J92"/>
      <c r="K92">
        <v>430</v>
      </c>
      <c r="L92" s="34"/>
      <c r="M92" s="34"/>
      <c r="O92" s="41">
        <f>AVERAGE(G92,I92,K92)</f>
        <v>425.3333333333333</v>
      </c>
    </row>
    <row r="93" spans="7:14" ht="12.75">
      <c r="G93"/>
      <c r="H93"/>
      <c r="I93"/>
      <c r="J93"/>
      <c r="K93"/>
      <c r="N93" s="34"/>
    </row>
    <row r="94" spans="2:13" ht="12.75">
      <c r="B94" s="30"/>
      <c r="C94" s="30"/>
      <c r="G94" s="34"/>
      <c r="I94" s="34"/>
      <c r="K94" s="34"/>
      <c r="L94" s="34"/>
      <c r="M94" s="34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H212"/>
  <sheetViews>
    <sheetView tabSelected="1" workbookViewId="0" topLeftCell="B44">
      <selection activeCell="O63" sqref="O63"/>
    </sheetView>
  </sheetViews>
  <sheetFormatPr defaultColWidth="9.140625" defaultRowHeight="12.75"/>
  <cols>
    <col min="1" max="1" width="1.57421875" style="0" hidden="1" customWidth="1"/>
    <col min="2" max="2" width="20.00390625" style="0" customWidth="1"/>
    <col min="3" max="3" width="13.28125" style="0" customWidth="1"/>
    <col min="5" max="5" width="2.140625" style="0" customWidth="1"/>
    <col min="6" max="6" width="4.00390625" style="0" bestFit="1" customWidth="1"/>
    <col min="7" max="7" width="11.00390625" style="0" customWidth="1"/>
    <col min="8" max="8" width="4.00390625" style="0" bestFit="1" customWidth="1"/>
    <col min="9" max="9" width="11.28125" style="0" customWidth="1"/>
    <col min="10" max="10" width="4.00390625" style="0" bestFit="1" customWidth="1"/>
    <col min="11" max="11" width="11.28125" style="0" customWidth="1"/>
    <col min="12" max="12" width="4.00390625" style="0" bestFit="1" customWidth="1"/>
    <col min="13" max="13" width="11.140625" style="0" customWidth="1"/>
    <col min="14" max="14" width="4.00390625" style="0" bestFit="1" customWidth="1"/>
    <col min="15" max="15" width="11.00390625" style="0" customWidth="1"/>
    <col min="16" max="16" width="4.00390625" style="0" bestFit="1" customWidth="1"/>
    <col min="17" max="17" width="11.00390625" style="0" customWidth="1"/>
    <col min="18" max="18" width="4.00390625" style="0" customWidth="1"/>
    <col min="19" max="19" width="12.7109375" style="0" customWidth="1"/>
    <col min="20" max="20" width="2.00390625" style="0" customWidth="1"/>
    <col min="21" max="21" width="10.00390625" style="0" customWidth="1"/>
  </cols>
  <sheetData>
    <row r="1" ht="12.75">
      <c r="B1" s="2" t="s">
        <v>269</v>
      </c>
    </row>
    <row r="2" ht="12.75">
      <c r="B2" s="2"/>
    </row>
    <row r="3" ht="12.75">
      <c r="B3" s="2"/>
    </row>
    <row r="4" spans="2:19" ht="12.75">
      <c r="B4" s="2" t="s">
        <v>174</v>
      </c>
      <c r="G4" s="3" t="s">
        <v>140</v>
      </c>
      <c r="H4" s="3"/>
      <c r="I4" s="3" t="s">
        <v>141</v>
      </c>
      <c r="J4" s="3"/>
      <c r="K4" s="3" t="s">
        <v>142</v>
      </c>
      <c r="L4" s="3"/>
      <c r="M4" s="3" t="s">
        <v>143</v>
      </c>
      <c r="N4" s="3"/>
      <c r="O4" s="3" t="s">
        <v>154</v>
      </c>
      <c r="P4" s="3"/>
      <c r="Q4" s="3" t="s">
        <v>153</v>
      </c>
      <c r="R4" s="3"/>
      <c r="S4" s="3" t="s">
        <v>71</v>
      </c>
    </row>
    <row r="6" spans="1:60" s="58" customFormat="1" ht="12.75">
      <c r="A6" s="58" t="s">
        <v>174</v>
      </c>
      <c r="B6" s="58" t="s">
        <v>19</v>
      </c>
      <c r="C6" s="58" t="s">
        <v>277</v>
      </c>
      <c r="D6" s="58" t="s">
        <v>20</v>
      </c>
      <c r="F6" s="59" t="s">
        <v>193</v>
      </c>
      <c r="G6" s="58">
        <v>0.004676698556234075</v>
      </c>
      <c r="H6" s="59" t="s">
        <v>193</v>
      </c>
      <c r="I6" s="58">
        <v>0.0054886201052071525</v>
      </c>
      <c r="J6" s="59" t="s">
        <v>193</v>
      </c>
      <c r="K6" s="58">
        <v>0.004300690074828518</v>
      </c>
      <c r="L6" s="59" t="s">
        <v>193</v>
      </c>
      <c r="M6" s="58">
        <v>0.018338953625875</v>
      </c>
      <c r="N6" s="59" t="s">
        <v>193</v>
      </c>
      <c r="O6" s="58">
        <v>0.007482890026826526</v>
      </c>
      <c r="P6" s="59" t="s">
        <v>193</v>
      </c>
      <c r="Q6" s="58">
        <v>0.0046257192368155</v>
      </c>
      <c r="R6" s="59" t="s">
        <v>193</v>
      </c>
      <c r="S6" s="58">
        <f>AVERAGE(G6,I6,K6,M6,O6,Q6)</f>
        <v>0.007485595270964461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s="60" customFormat="1" ht="12.75">
      <c r="A7" s="60" t="s">
        <v>174</v>
      </c>
      <c r="B7" s="60" t="s">
        <v>131</v>
      </c>
      <c r="C7" s="58" t="s">
        <v>277</v>
      </c>
      <c r="D7" s="60" t="s">
        <v>66</v>
      </c>
      <c r="F7" s="59" t="s">
        <v>193</v>
      </c>
      <c r="G7" s="60">
        <v>527</v>
      </c>
      <c r="H7" s="59" t="s">
        <v>193</v>
      </c>
      <c r="I7" s="60">
        <v>738</v>
      </c>
      <c r="J7" s="59" t="s">
        <v>193</v>
      </c>
      <c r="K7" s="60">
        <v>824</v>
      </c>
      <c r="L7" s="59" t="s">
        <v>193</v>
      </c>
      <c r="M7" s="60">
        <v>325</v>
      </c>
      <c r="N7" s="59" t="s">
        <v>193</v>
      </c>
      <c r="O7" s="60">
        <v>754</v>
      </c>
      <c r="P7" s="59" t="s">
        <v>193</v>
      </c>
      <c r="Q7" s="60">
        <v>793</v>
      </c>
      <c r="R7" s="59" t="s">
        <v>193</v>
      </c>
      <c r="S7" s="61">
        <f aca="true" t="shared" si="0" ref="S7:S12">AVERAGE(G7,I7,K7,M7,O7,Q7)</f>
        <v>660.1666666666666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s="60" customFormat="1" ht="12.75">
      <c r="A8" s="60" t="s">
        <v>174</v>
      </c>
      <c r="B8" s="60" t="s">
        <v>97</v>
      </c>
      <c r="C8" s="58" t="s">
        <v>277</v>
      </c>
      <c r="D8" s="60" t="s">
        <v>66</v>
      </c>
      <c r="F8" s="59" t="s">
        <v>193</v>
      </c>
      <c r="G8" s="60">
        <v>296</v>
      </c>
      <c r="H8" s="59" t="s">
        <v>193</v>
      </c>
      <c r="I8" s="60">
        <v>540</v>
      </c>
      <c r="J8" s="59" t="s">
        <v>193</v>
      </c>
      <c r="K8" s="60">
        <v>551</v>
      </c>
      <c r="L8" s="59" t="s">
        <v>193</v>
      </c>
      <c r="M8" s="60">
        <v>226</v>
      </c>
      <c r="N8" s="59" t="s">
        <v>193</v>
      </c>
      <c r="O8" s="60">
        <v>558</v>
      </c>
      <c r="P8" s="59" t="s">
        <v>193</v>
      </c>
      <c r="Q8" s="60">
        <v>580</v>
      </c>
      <c r="R8" s="59" t="s">
        <v>193</v>
      </c>
      <c r="S8" s="61">
        <f t="shared" si="0"/>
        <v>458.5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60" customFormat="1" ht="12.75">
      <c r="A9" s="60" t="s">
        <v>174</v>
      </c>
      <c r="B9" s="60" t="s">
        <v>133</v>
      </c>
      <c r="C9" s="58" t="s">
        <v>277</v>
      </c>
      <c r="D9" s="60" t="s">
        <v>66</v>
      </c>
      <c r="F9" s="59" t="s">
        <v>193</v>
      </c>
      <c r="G9" s="60">
        <v>12.4</v>
      </c>
      <c r="H9" s="59" t="s">
        <v>193</v>
      </c>
      <c r="I9" s="60">
        <v>16.8</v>
      </c>
      <c r="J9" s="59" t="s">
        <v>193</v>
      </c>
      <c r="K9" s="60">
        <v>17.7</v>
      </c>
      <c r="L9" s="59" t="s">
        <v>193</v>
      </c>
      <c r="M9" s="60">
        <v>8</v>
      </c>
      <c r="N9" s="59" t="s">
        <v>193</v>
      </c>
      <c r="O9" s="60">
        <v>9.8</v>
      </c>
      <c r="P9" s="59" t="s">
        <v>193</v>
      </c>
      <c r="Q9" s="60">
        <v>11.3</v>
      </c>
      <c r="R9" s="59" t="s">
        <v>193</v>
      </c>
      <c r="S9" s="61">
        <f t="shared" si="0"/>
        <v>12.666666666666666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60" customFormat="1" ht="12.75">
      <c r="A10" s="60" t="s">
        <v>174</v>
      </c>
      <c r="B10" s="60" t="s">
        <v>132</v>
      </c>
      <c r="C10" s="58" t="s">
        <v>277</v>
      </c>
      <c r="D10" s="60" t="s">
        <v>66</v>
      </c>
      <c r="F10" s="59" t="s">
        <v>193</v>
      </c>
      <c r="G10" s="60">
        <v>9.5</v>
      </c>
      <c r="H10" s="59" t="s">
        <v>193</v>
      </c>
      <c r="I10" s="60">
        <v>13.6</v>
      </c>
      <c r="J10" s="59" t="s">
        <v>193</v>
      </c>
      <c r="K10" s="60">
        <v>14.5</v>
      </c>
      <c r="L10" s="59" t="s">
        <v>193</v>
      </c>
      <c r="M10" s="60">
        <v>7.3</v>
      </c>
      <c r="N10" s="59" t="s">
        <v>193</v>
      </c>
      <c r="O10" s="60">
        <v>8.7</v>
      </c>
      <c r="P10" s="59" t="s">
        <v>193</v>
      </c>
      <c r="Q10" s="60">
        <v>9.44</v>
      </c>
      <c r="R10" s="59" t="s">
        <v>193</v>
      </c>
      <c r="S10" s="61">
        <f t="shared" si="0"/>
        <v>10.506666666666666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60" customFormat="1" ht="12.75">
      <c r="A11" s="60" t="s">
        <v>174</v>
      </c>
      <c r="B11" s="60" t="s">
        <v>21</v>
      </c>
      <c r="C11" s="58" t="s">
        <v>277</v>
      </c>
      <c r="D11" s="60" t="s">
        <v>66</v>
      </c>
      <c r="F11" s="59" t="s">
        <v>193</v>
      </c>
      <c r="G11" s="60">
        <v>96.283461311559</v>
      </c>
      <c r="H11" s="59" t="s">
        <v>193</v>
      </c>
      <c r="I11" s="60">
        <v>101.43445649281757</v>
      </c>
      <c r="J11" s="59" t="s">
        <v>193</v>
      </c>
      <c r="K11" s="60">
        <v>81.37510322294548</v>
      </c>
      <c r="L11" s="59" t="s">
        <v>193</v>
      </c>
      <c r="M11" s="60">
        <v>42.52010229462755</v>
      </c>
      <c r="N11" s="59" t="s">
        <v>193</v>
      </c>
      <c r="O11" s="60">
        <v>92.46741374131258</v>
      </c>
      <c r="P11" s="59" t="s">
        <v>193</v>
      </c>
      <c r="Q11" s="60">
        <v>18.18558272808</v>
      </c>
      <c r="R11" s="59" t="s">
        <v>193</v>
      </c>
      <c r="S11" s="61">
        <f t="shared" si="0"/>
        <v>72.04435329855704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60" customFormat="1" ht="12.75">
      <c r="A12" s="60" t="s">
        <v>174</v>
      </c>
      <c r="B12" s="60" t="s">
        <v>69</v>
      </c>
      <c r="C12" s="58" t="s">
        <v>277</v>
      </c>
      <c r="D12" s="60" t="s">
        <v>66</v>
      </c>
      <c r="F12" s="59" t="s">
        <v>193</v>
      </c>
      <c r="G12" s="60">
        <v>2.5746804357966453</v>
      </c>
      <c r="H12" s="59" t="s">
        <v>193</v>
      </c>
      <c r="I12" s="60">
        <v>1.9111292118785235</v>
      </c>
      <c r="J12" s="59" t="s">
        <v>193</v>
      </c>
      <c r="K12" s="60">
        <v>1.7330434575521332</v>
      </c>
      <c r="L12" s="59" t="s">
        <v>193</v>
      </c>
      <c r="M12" s="60">
        <v>3.0968008212113265</v>
      </c>
      <c r="N12" s="59" t="s">
        <v>193</v>
      </c>
      <c r="O12" s="60">
        <v>2.114589176003317</v>
      </c>
      <c r="P12" s="59" t="s">
        <v>193</v>
      </c>
      <c r="Q12" s="60">
        <v>1.4524786084059795</v>
      </c>
      <c r="R12" s="59" t="s">
        <v>193</v>
      </c>
      <c r="S12" s="61">
        <f t="shared" si="0"/>
        <v>2.147120285141321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2:60" s="60" customFormat="1" ht="12.75">
      <c r="B13" s="60" t="s">
        <v>278</v>
      </c>
      <c r="C13" s="58" t="s">
        <v>277</v>
      </c>
      <c r="D13" s="60" t="s">
        <v>66</v>
      </c>
      <c r="F13" s="59"/>
      <c r="G13" s="60">
        <f>G11+2*G12</f>
        <v>101.43282218315228</v>
      </c>
      <c r="H13" s="59"/>
      <c r="I13" s="60">
        <f>I11+2*I12</f>
        <v>105.25671491657462</v>
      </c>
      <c r="J13" s="59"/>
      <c r="K13" s="60">
        <f>K11+2*K12</f>
        <v>84.84119013804975</v>
      </c>
      <c r="L13" s="59"/>
      <c r="M13" s="60">
        <f>M11+2*M12</f>
        <v>48.7137039370502</v>
      </c>
      <c r="N13" s="59"/>
      <c r="O13" s="60">
        <f>O11+2*O12</f>
        <v>96.69659209331921</v>
      </c>
      <c r="P13" s="59"/>
      <c r="Q13" s="60">
        <f>Q11+2*Q12</f>
        <v>21.090539944891958</v>
      </c>
      <c r="R13" s="59"/>
      <c r="S13" s="61">
        <f>AVERAGE(G13,I13,K13,M13,O13,Q13)</f>
        <v>76.33859386883967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60" customFormat="1" ht="12.75">
      <c r="A14" s="60" t="s">
        <v>174</v>
      </c>
      <c r="B14" s="60" t="s">
        <v>103</v>
      </c>
      <c r="C14" s="60" t="s">
        <v>279</v>
      </c>
      <c r="D14" s="60" t="s">
        <v>70</v>
      </c>
      <c r="F14" s="59" t="s">
        <v>13</v>
      </c>
      <c r="G14" s="60">
        <v>116.27491076775547</v>
      </c>
      <c r="H14" s="59" t="s">
        <v>13</v>
      </c>
      <c r="I14" s="60">
        <v>140.11122800653</v>
      </c>
      <c r="J14" s="59" t="s">
        <v>13</v>
      </c>
      <c r="K14" s="60">
        <v>135.38724362802841</v>
      </c>
      <c r="L14" s="59" t="s">
        <v>13</v>
      </c>
      <c r="M14" s="60">
        <v>102.87737382738648</v>
      </c>
      <c r="N14" s="59" t="s">
        <v>13</v>
      </c>
      <c r="O14" s="60">
        <v>89.02464895861056</v>
      </c>
      <c r="P14" s="59" t="s">
        <v>13</v>
      </c>
      <c r="Q14" s="60">
        <v>90.3571666007539</v>
      </c>
      <c r="R14" s="59" t="s">
        <v>193</v>
      </c>
      <c r="S14" s="61">
        <f aca="true" t="shared" si="1" ref="S14:S24">AVERAGE(G14,I14,K14,M14,O14,Q14)</f>
        <v>112.33876196484414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60" customFormat="1" ht="12.75">
      <c r="A15" s="60" t="s">
        <v>174</v>
      </c>
      <c r="B15" s="60" t="s">
        <v>99</v>
      </c>
      <c r="C15" s="60" t="s">
        <v>279</v>
      </c>
      <c r="D15" s="60" t="s">
        <v>70</v>
      </c>
      <c r="F15" s="59" t="s">
        <v>13</v>
      </c>
      <c r="G15" s="60">
        <v>19.226158490984126</v>
      </c>
      <c r="H15" s="59" t="s">
        <v>13</v>
      </c>
      <c r="I15" s="60">
        <v>23.16354979140214</v>
      </c>
      <c r="J15" s="59" t="s">
        <v>13</v>
      </c>
      <c r="K15" s="60">
        <v>22.363560890783646</v>
      </c>
      <c r="L15" s="59" t="s">
        <v>13</v>
      </c>
      <c r="M15" s="60">
        <v>5.251032622439519</v>
      </c>
      <c r="N15" s="59" t="s">
        <v>13</v>
      </c>
      <c r="O15" s="60">
        <v>4.5343221202919</v>
      </c>
      <c r="P15" s="59" t="s">
        <v>13</v>
      </c>
      <c r="Q15" s="60">
        <v>4.616072641560253</v>
      </c>
      <c r="R15" s="59" t="s">
        <v>193</v>
      </c>
      <c r="S15" s="61">
        <f t="shared" si="1"/>
        <v>13.192449426243599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60" customFormat="1" ht="12.75">
      <c r="A16" s="60" t="s">
        <v>174</v>
      </c>
      <c r="B16" s="60" t="s">
        <v>100</v>
      </c>
      <c r="C16" s="60" t="s">
        <v>279</v>
      </c>
      <c r="D16" s="60" t="s">
        <v>70</v>
      </c>
      <c r="F16" s="59" t="s">
        <v>13</v>
      </c>
      <c r="G16" s="60">
        <v>132.08421881074</v>
      </c>
      <c r="H16" s="59" t="s">
        <v>13</v>
      </c>
      <c r="I16" s="60">
        <v>122.03235987665519</v>
      </c>
      <c r="J16" s="59" t="s">
        <v>13</v>
      </c>
      <c r="K16" s="60">
        <v>153.47541787792696</v>
      </c>
      <c r="L16" s="59" t="s">
        <v>13</v>
      </c>
      <c r="M16" s="60">
        <v>57.06479329487844</v>
      </c>
      <c r="N16" s="59" t="s">
        <v>13</v>
      </c>
      <c r="O16" s="60">
        <v>52.939991247387</v>
      </c>
      <c r="P16" s="59" t="s">
        <v>13</v>
      </c>
      <c r="Q16" s="60">
        <v>50.08929887650488</v>
      </c>
      <c r="R16" s="59" t="s">
        <v>193</v>
      </c>
      <c r="S16" s="61">
        <f t="shared" si="1"/>
        <v>94.6143466640154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60" customFormat="1" ht="12.75">
      <c r="A17" s="60" t="s">
        <v>174</v>
      </c>
      <c r="B17" s="60" t="s">
        <v>101</v>
      </c>
      <c r="C17" s="60" t="s">
        <v>279</v>
      </c>
      <c r="D17" s="60" t="s">
        <v>70</v>
      </c>
      <c r="F17" s="59" t="s">
        <v>13</v>
      </c>
      <c r="G17" s="60">
        <v>1.152549554101436</v>
      </c>
      <c r="H17" s="59" t="s">
        <v>13</v>
      </c>
      <c r="I17" s="60">
        <v>1.3898129874841287</v>
      </c>
      <c r="J17" s="59" t="s">
        <v>13</v>
      </c>
      <c r="K17" s="60">
        <v>1.340169273969755</v>
      </c>
      <c r="L17" s="59" t="s">
        <v>13</v>
      </c>
      <c r="M17" s="60">
        <v>0.15940634746691393</v>
      </c>
      <c r="N17" s="59" t="s">
        <v>13</v>
      </c>
      <c r="O17" s="60">
        <v>0.14125244301432874</v>
      </c>
      <c r="P17" s="59" t="s">
        <v>13</v>
      </c>
      <c r="Q17" s="60">
        <v>0.14069200125606515</v>
      </c>
      <c r="R17" s="59" t="s">
        <v>193</v>
      </c>
      <c r="S17" s="61">
        <f t="shared" si="1"/>
        <v>0.7206471012154378</v>
      </c>
      <c r="T17"/>
      <c r="U17" t="s">
        <v>329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60" customFormat="1" ht="12.75">
      <c r="A18" s="60" t="s">
        <v>174</v>
      </c>
      <c r="B18" s="60" t="s">
        <v>106</v>
      </c>
      <c r="C18" s="60" t="s">
        <v>279</v>
      </c>
      <c r="D18" s="60" t="s">
        <v>70</v>
      </c>
      <c r="F18" s="59" t="s">
        <v>13</v>
      </c>
      <c r="G18" s="60">
        <v>3.467848215880426</v>
      </c>
      <c r="H18" s="59" t="s">
        <v>13</v>
      </c>
      <c r="I18" s="60">
        <v>2.776801151822964</v>
      </c>
      <c r="J18" s="59" t="s">
        <v>13</v>
      </c>
      <c r="K18" s="60">
        <v>3.5902285253586483</v>
      </c>
      <c r="L18" s="59" t="s">
        <v>13</v>
      </c>
      <c r="M18" s="60">
        <v>3.2417089148733758</v>
      </c>
      <c r="N18" s="59" t="s">
        <v>13</v>
      </c>
      <c r="O18" s="60">
        <v>3.8458648350119757</v>
      </c>
      <c r="P18" s="59" t="s">
        <v>13</v>
      </c>
      <c r="Q18" s="60">
        <v>4.2723225512313</v>
      </c>
      <c r="R18" s="59" t="s">
        <v>193</v>
      </c>
      <c r="S18" s="61">
        <f t="shared" si="1"/>
        <v>3.5324623656964484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60" customFormat="1" ht="12.75">
      <c r="A19" s="60" t="s">
        <v>174</v>
      </c>
      <c r="B19" s="60" t="s">
        <v>108</v>
      </c>
      <c r="C19" s="60" t="s">
        <v>279</v>
      </c>
      <c r="D19" s="60" t="s">
        <v>70</v>
      </c>
      <c r="F19" s="59" t="s">
        <v>13</v>
      </c>
      <c r="G19" s="60">
        <v>3.085364956775967</v>
      </c>
      <c r="H19" s="59" t="s">
        <v>13</v>
      </c>
      <c r="I19" s="60">
        <v>4.1524900235806275</v>
      </c>
      <c r="J19" s="59" t="s">
        <v>13</v>
      </c>
      <c r="K19" s="60">
        <v>3.5902285253586483</v>
      </c>
      <c r="L19" s="59" t="s">
        <v>13</v>
      </c>
      <c r="M19" s="60">
        <v>3.6435736563866</v>
      </c>
      <c r="N19" s="59" t="s">
        <v>13</v>
      </c>
      <c r="O19" s="60">
        <v>3.8458648350119757</v>
      </c>
      <c r="P19" s="59" t="s">
        <v>13</v>
      </c>
      <c r="Q19" s="60">
        <v>4.616072641560253</v>
      </c>
      <c r="R19" s="59" t="s">
        <v>193</v>
      </c>
      <c r="S19" s="61">
        <f t="shared" si="1"/>
        <v>3.8222657731123455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60" customFormat="1" ht="12.75">
      <c r="A20" s="60" t="s">
        <v>174</v>
      </c>
      <c r="B20" s="60" t="s">
        <v>194</v>
      </c>
      <c r="C20" s="60" t="s">
        <v>280</v>
      </c>
      <c r="D20" s="60" t="s">
        <v>70</v>
      </c>
      <c r="F20" s="59" t="s">
        <v>193</v>
      </c>
      <c r="H20" s="59" t="s">
        <v>13</v>
      </c>
      <c r="I20" s="60">
        <v>0.58550265335492</v>
      </c>
      <c r="J20" s="59" t="s">
        <v>13</v>
      </c>
      <c r="K20" s="60">
        <v>0.4915994761310665</v>
      </c>
      <c r="L20" s="59" t="s">
        <v>193</v>
      </c>
      <c r="N20" s="59" t="s">
        <v>193</v>
      </c>
      <c r="P20" s="59" t="s">
        <v>193</v>
      </c>
      <c r="R20" s="59" t="s">
        <v>193</v>
      </c>
      <c r="S20" s="61">
        <f t="shared" si="1"/>
        <v>0.5385510647429933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60" customFormat="1" ht="12.75">
      <c r="A21" s="60" t="s">
        <v>174</v>
      </c>
      <c r="B21" s="60" t="s">
        <v>104</v>
      </c>
      <c r="C21" s="60" t="s">
        <v>279</v>
      </c>
      <c r="D21" s="60" t="s">
        <v>70</v>
      </c>
      <c r="F21" s="59" t="s">
        <v>13</v>
      </c>
      <c r="G21" s="60">
        <v>62.47226565372826</v>
      </c>
      <c r="H21" s="59" t="s">
        <v>13</v>
      </c>
      <c r="I21" s="60">
        <v>64.12348539814984</v>
      </c>
      <c r="J21" s="59" t="s">
        <v>13</v>
      </c>
      <c r="K21" s="60">
        <v>56.731091965590856</v>
      </c>
      <c r="L21" s="59" t="s">
        <v>13</v>
      </c>
      <c r="M21" s="60">
        <v>46.080490360183525</v>
      </c>
      <c r="N21" s="59" t="s">
        <v>13</v>
      </c>
      <c r="O21" s="60">
        <v>47.242413714036</v>
      </c>
      <c r="P21" s="59" t="s">
        <v>13</v>
      </c>
      <c r="Q21" s="60">
        <v>46.16072641560253</v>
      </c>
      <c r="R21" s="59" t="s">
        <v>193</v>
      </c>
      <c r="S21" s="61">
        <f t="shared" si="1"/>
        <v>53.801745584548506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60" customFormat="1" ht="12.75">
      <c r="A22" s="60" t="s">
        <v>174</v>
      </c>
      <c r="B22" s="60" t="s">
        <v>112</v>
      </c>
      <c r="C22" s="60" t="s">
        <v>279</v>
      </c>
      <c r="D22" s="60" t="s">
        <v>70</v>
      </c>
      <c r="F22" s="59" t="s">
        <v>13</v>
      </c>
      <c r="G22" s="60">
        <v>3.7993337071043</v>
      </c>
      <c r="H22" s="59" t="s">
        <v>13</v>
      </c>
      <c r="I22" s="60">
        <v>4.576213495374569</v>
      </c>
      <c r="J22" s="59" t="s">
        <v>13</v>
      </c>
      <c r="K22" s="60">
        <v>3.5902285253586483</v>
      </c>
      <c r="L22" s="59" t="s">
        <v>13</v>
      </c>
      <c r="M22" s="60">
        <v>6.8584915884924325</v>
      </c>
      <c r="N22" s="59" t="s">
        <v>13</v>
      </c>
      <c r="O22" s="60">
        <v>4.89042071612634</v>
      </c>
      <c r="P22" s="59" t="s">
        <v>13</v>
      </c>
      <c r="Q22" s="60">
        <v>2.4799113659446</v>
      </c>
      <c r="R22" s="59">
        <v>100</v>
      </c>
      <c r="S22" s="61">
        <f t="shared" si="1"/>
        <v>4.365766566400148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60" customFormat="1" ht="12.75">
      <c r="A23" s="60" t="s">
        <v>174</v>
      </c>
      <c r="B23" s="60" t="s">
        <v>107</v>
      </c>
      <c r="C23" s="60" t="s">
        <v>279</v>
      </c>
      <c r="D23" s="60" t="s">
        <v>70</v>
      </c>
      <c r="F23" s="59" t="s">
        <v>13</v>
      </c>
      <c r="G23" s="60">
        <v>3.850331474984885</v>
      </c>
      <c r="H23" s="59" t="s">
        <v>13</v>
      </c>
      <c r="I23" s="60">
        <v>4.632709958280428</v>
      </c>
      <c r="J23" s="59" t="s">
        <v>13</v>
      </c>
      <c r="K23" s="60">
        <v>4.467230913232516</v>
      </c>
      <c r="L23" s="59" t="s">
        <v>13</v>
      </c>
      <c r="M23" s="60">
        <v>2.4219048421864</v>
      </c>
      <c r="N23" s="59" t="s">
        <v>13</v>
      </c>
      <c r="O23" s="60">
        <v>2.09385974350652</v>
      </c>
      <c r="P23" s="59" t="s">
        <v>13</v>
      </c>
      <c r="Q23" s="60">
        <v>2.1337059178275855</v>
      </c>
      <c r="R23" s="59" t="s">
        <v>193</v>
      </c>
      <c r="S23" s="61">
        <f t="shared" si="1"/>
        <v>3.2666238083363894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60" customFormat="1" ht="12.75">
      <c r="A24" s="60" t="s">
        <v>174</v>
      </c>
      <c r="B24" s="60" t="s">
        <v>102</v>
      </c>
      <c r="C24" s="60" t="s">
        <v>279</v>
      </c>
      <c r="D24" s="60" t="s">
        <v>70</v>
      </c>
      <c r="F24" s="59" t="s">
        <v>13</v>
      </c>
      <c r="G24" s="60">
        <v>23.841456484178</v>
      </c>
      <c r="H24" s="59" t="s">
        <v>13</v>
      </c>
      <c r="I24" s="60">
        <v>28.813196081988</v>
      </c>
      <c r="J24" s="59" t="s">
        <v>13</v>
      </c>
      <c r="K24" s="60">
        <v>27.680387867269</v>
      </c>
      <c r="L24" s="59" t="s">
        <v>13</v>
      </c>
      <c r="M24" s="60">
        <v>6.429835864211655</v>
      </c>
      <c r="N24" s="59" t="s">
        <v>193</v>
      </c>
      <c r="O24" s="60">
        <v>5.602617907795225</v>
      </c>
      <c r="P24" s="59" t="s">
        <v>13</v>
      </c>
      <c r="Q24" s="60">
        <v>5.671876490427758</v>
      </c>
      <c r="R24" s="59" t="s">
        <v>193</v>
      </c>
      <c r="S24" s="61">
        <f t="shared" si="1"/>
        <v>16.339895115978273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2:60" s="60" customFormat="1" ht="12.75">
      <c r="B25" s="60" t="s">
        <v>77</v>
      </c>
      <c r="C25" s="60" t="s">
        <v>279</v>
      </c>
      <c r="D25" s="60" t="s">
        <v>70</v>
      </c>
      <c r="F25" s="59">
        <v>100</v>
      </c>
      <c r="G25" s="60">
        <f>G18+G21</f>
        <v>65.94011386960868</v>
      </c>
      <c r="H25" s="59">
        <v>100</v>
      </c>
      <c r="I25" s="60">
        <f>I18+I21</f>
        <v>66.9002865499728</v>
      </c>
      <c r="J25" s="59">
        <v>100</v>
      </c>
      <c r="K25" s="60">
        <f>K18+K21</f>
        <v>60.3213204909495</v>
      </c>
      <c r="L25" s="59">
        <v>100</v>
      </c>
      <c r="M25" s="60">
        <f>M18+M21</f>
        <v>49.3221992750569</v>
      </c>
      <c r="N25" s="59">
        <v>100</v>
      </c>
      <c r="O25" s="60">
        <f>O18+O21</f>
        <v>51.08827854904797</v>
      </c>
      <c r="P25" s="59">
        <v>100</v>
      </c>
      <c r="Q25" s="60">
        <f>Q18+Q21</f>
        <v>50.43304896683383</v>
      </c>
      <c r="R25" s="59">
        <v>100</v>
      </c>
      <c r="S25" s="61">
        <f>AVERAGE(G25,I25,K25,M25,O25,Q25)</f>
        <v>57.33420795024495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2:60" s="60" customFormat="1" ht="12.75">
      <c r="B26" s="60" t="s">
        <v>78</v>
      </c>
      <c r="C26" s="60" t="s">
        <v>279</v>
      </c>
      <c r="D26" s="60" t="s">
        <v>70</v>
      </c>
      <c r="F26" s="59">
        <v>100</v>
      </c>
      <c r="G26" s="60">
        <f>G15+G17+G19</f>
        <v>23.46407300186153</v>
      </c>
      <c r="H26" s="59">
        <v>100</v>
      </c>
      <c r="I26" s="60">
        <f>I15+I17+I19</f>
        <v>28.705852802466893</v>
      </c>
      <c r="J26" s="59">
        <v>100</v>
      </c>
      <c r="K26" s="60">
        <f>K15+K17+K19</f>
        <v>27.29395869011205</v>
      </c>
      <c r="L26" s="59">
        <v>100</v>
      </c>
      <c r="M26" s="60">
        <f>M15+M17+M19</f>
        <v>9.054012626293034</v>
      </c>
      <c r="N26" s="59">
        <v>100</v>
      </c>
      <c r="O26" s="60">
        <f>O15+O17+O19</f>
        <v>8.521439398318204</v>
      </c>
      <c r="P26" s="59">
        <v>100</v>
      </c>
      <c r="Q26" s="60">
        <f>Q15+Q17+Q19</f>
        <v>9.37283728437657</v>
      </c>
      <c r="R26" s="59">
        <v>100</v>
      </c>
      <c r="S26" s="61">
        <f>AVERAGE(G26,I26,K26,M26,O26,Q26)</f>
        <v>17.735362300571378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7:60" s="62" customFormat="1" ht="12.75"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2:60" s="62" customFormat="1" ht="12.75">
      <c r="B28" s="60" t="s">
        <v>98</v>
      </c>
      <c r="C28" s="62" t="s">
        <v>197</v>
      </c>
      <c r="D28" s="62" t="s">
        <v>277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62" customFormat="1" ht="12.75">
      <c r="A29" s="62" t="s">
        <v>174</v>
      </c>
      <c r="B29" s="30" t="s">
        <v>93</v>
      </c>
      <c r="C29" s="30"/>
      <c r="D29" s="30" t="s">
        <v>16</v>
      </c>
      <c r="G29" s="59">
        <v>90144</v>
      </c>
      <c r="H29" s="59"/>
      <c r="I29" s="59">
        <v>86458</v>
      </c>
      <c r="J29" s="59"/>
      <c r="K29" s="59">
        <v>90560</v>
      </c>
      <c r="L29" s="59"/>
      <c r="M29" s="59">
        <v>93867</v>
      </c>
      <c r="N29" s="59"/>
      <c r="O29" s="59">
        <v>94200</v>
      </c>
      <c r="P29" s="59"/>
      <c r="Q29" s="59">
        <v>93839</v>
      </c>
      <c r="R29" s="59"/>
      <c r="S29" s="5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62" customFormat="1" ht="12.75">
      <c r="A30" s="62" t="s">
        <v>174</v>
      </c>
      <c r="B30" s="30" t="s">
        <v>95</v>
      </c>
      <c r="C30" s="30"/>
      <c r="D30" s="30" t="s">
        <v>14</v>
      </c>
      <c r="G30" s="59">
        <v>5.2</v>
      </c>
      <c r="H30" s="59"/>
      <c r="I30" s="59">
        <v>6</v>
      </c>
      <c r="J30" s="59"/>
      <c r="K30" s="59">
        <v>5.7</v>
      </c>
      <c r="L30" s="59"/>
      <c r="M30" s="59">
        <v>6.3</v>
      </c>
      <c r="N30" s="59"/>
      <c r="O30" s="59">
        <v>4</v>
      </c>
      <c r="P30" s="59"/>
      <c r="Q30" s="59">
        <v>4</v>
      </c>
      <c r="R30" s="59"/>
      <c r="S30" s="5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62" customFormat="1" ht="12.75">
      <c r="A31" s="62" t="s">
        <v>174</v>
      </c>
      <c r="B31" s="30" t="s">
        <v>96</v>
      </c>
      <c r="C31" s="30"/>
      <c r="D31" s="30" t="s">
        <v>14</v>
      </c>
      <c r="G31" s="59">
        <v>36.7</v>
      </c>
      <c r="H31" s="59"/>
      <c r="I31" s="59">
        <v>38.9</v>
      </c>
      <c r="J31" s="59"/>
      <c r="K31" s="59">
        <v>38.9</v>
      </c>
      <c r="L31" s="59"/>
      <c r="M31" s="59">
        <v>39.3</v>
      </c>
      <c r="N31" s="59"/>
      <c r="O31" s="59">
        <v>38.4</v>
      </c>
      <c r="P31" s="59"/>
      <c r="Q31" s="59">
        <v>39.5</v>
      </c>
      <c r="R31" s="59"/>
      <c r="S31" s="59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s="62" customFormat="1" ht="12.75">
      <c r="A32" s="62" t="s">
        <v>174</v>
      </c>
      <c r="B32" s="30" t="s">
        <v>92</v>
      </c>
      <c r="C32" s="30"/>
      <c r="D32" s="30" t="s">
        <v>18</v>
      </c>
      <c r="G32" s="59">
        <v>510</v>
      </c>
      <c r="H32" s="59"/>
      <c r="I32" s="59">
        <v>497</v>
      </c>
      <c r="J32" s="59"/>
      <c r="K32" s="59">
        <v>490</v>
      </c>
      <c r="L32" s="59"/>
      <c r="M32" s="59">
        <v>516</v>
      </c>
      <c r="N32" s="59"/>
      <c r="O32" s="59">
        <v>534</v>
      </c>
      <c r="P32" s="59"/>
      <c r="Q32" s="59">
        <v>523</v>
      </c>
      <c r="R32" s="59"/>
      <c r="S32" s="59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7:60" s="62" customFormat="1" ht="12.75"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2:60" s="62" customFormat="1" ht="12.75">
      <c r="B34" s="60" t="s">
        <v>98</v>
      </c>
      <c r="C34" s="62" t="s">
        <v>129</v>
      </c>
      <c r="D34" s="62" t="s">
        <v>279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s="62" customFormat="1" ht="12.75">
      <c r="A35" s="62" t="s">
        <v>174</v>
      </c>
      <c r="B35" s="30" t="s">
        <v>93</v>
      </c>
      <c r="C35" s="30"/>
      <c r="D35" s="30" t="s">
        <v>16</v>
      </c>
      <c r="G35" s="59">
        <v>92771</v>
      </c>
      <c r="H35" s="59"/>
      <c r="I35" s="59">
        <v>88208</v>
      </c>
      <c r="J35" s="59"/>
      <c r="K35" s="59">
        <v>89135</v>
      </c>
      <c r="L35" s="59"/>
      <c r="M35" s="59">
        <v>94904</v>
      </c>
      <c r="N35" s="59"/>
      <c r="O35" s="59">
        <v>92611</v>
      </c>
      <c r="P35" s="59"/>
      <c r="Q35" s="59">
        <v>89542</v>
      </c>
      <c r="R35" s="59"/>
      <c r="S35" s="59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s="62" customFormat="1" ht="12.75">
      <c r="A36" s="62" t="s">
        <v>174</v>
      </c>
      <c r="B36" s="30" t="s">
        <v>95</v>
      </c>
      <c r="C36" s="30"/>
      <c r="D36" s="30" t="s">
        <v>14</v>
      </c>
      <c r="G36" s="59">
        <v>5.2</v>
      </c>
      <c r="H36" s="59"/>
      <c r="I36" s="59">
        <v>6</v>
      </c>
      <c r="J36" s="59"/>
      <c r="K36" s="59">
        <v>5.7</v>
      </c>
      <c r="L36" s="59"/>
      <c r="M36" s="59">
        <v>6.3</v>
      </c>
      <c r="N36" s="59"/>
      <c r="O36" s="59">
        <v>4</v>
      </c>
      <c r="P36" s="59"/>
      <c r="Q36" s="59">
        <v>4</v>
      </c>
      <c r="R36" s="59"/>
      <c r="S36" s="5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62" customFormat="1" ht="12.75">
      <c r="A37" s="62" t="s">
        <v>174</v>
      </c>
      <c r="B37" s="30" t="s">
        <v>96</v>
      </c>
      <c r="C37" s="30"/>
      <c r="D37" s="30" t="s">
        <v>14</v>
      </c>
      <c r="G37" s="59">
        <v>38.9</v>
      </c>
      <c r="H37" s="59"/>
      <c r="I37" s="59">
        <v>39.7</v>
      </c>
      <c r="J37" s="59"/>
      <c r="K37" s="59">
        <v>40.1</v>
      </c>
      <c r="L37" s="59"/>
      <c r="M37" s="59">
        <v>39.6</v>
      </c>
      <c r="N37" s="59"/>
      <c r="O37" s="59">
        <v>39.9</v>
      </c>
      <c r="P37" s="59"/>
      <c r="Q37" s="59">
        <v>40.3</v>
      </c>
      <c r="R37" s="59"/>
      <c r="S37" s="59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62" customFormat="1" ht="12.75">
      <c r="A38" s="62" t="s">
        <v>174</v>
      </c>
      <c r="B38" s="30" t="s">
        <v>92</v>
      </c>
      <c r="C38" s="30"/>
      <c r="D38" s="30" t="s">
        <v>18</v>
      </c>
      <c r="G38" s="59">
        <v>510</v>
      </c>
      <c r="H38" s="59"/>
      <c r="I38" s="59">
        <v>501</v>
      </c>
      <c r="J38" s="59"/>
      <c r="K38" s="59">
        <v>495</v>
      </c>
      <c r="L38" s="59"/>
      <c r="M38" s="59">
        <v>517</v>
      </c>
      <c r="N38" s="59"/>
      <c r="O38" s="59">
        <v>532</v>
      </c>
      <c r="P38" s="59"/>
      <c r="Q38" s="59">
        <v>521</v>
      </c>
      <c r="R38" s="59"/>
      <c r="S38" s="59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6:60" s="60" customFormat="1" ht="12.75">
      <c r="F39" s="59"/>
      <c r="H39" s="59"/>
      <c r="J39" s="59"/>
      <c r="L39" s="59"/>
      <c r="N39" s="59"/>
      <c r="P39" s="59"/>
      <c r="R39" s="5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2:60" s="60" customFormat="1" ht="12.75">
      <c r="B40" s="60" t="s">
        <v>98</v>
      </c>
      <c r="C40" s="62" t="s">
        <v>195</v>
      </c>
      <c r="D40" s="60" t="s">
        <v>280</v>
      </c>
      <c r="F40" s="59"/>
      <c r="H40" s="59"/>
      <c r="J40" s="59"/>
      <c r="L40" s="59"/>
      <c r="N40" s="59"/>
      <c r="P40" s="59"/>
      <c r="R40" s="59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62" customFormat="1" ht="12.75">
      <c r="A41" s="62" t="s">
        <v>174</v>
      </c>
      <c r="B41" s="30" t="s">
        <v>93</v>
      </c>
      <c r="C41" s="30"/>
      <c r="D41" s="30" t="s">
        <v>16</v>
      </c>
      <c r="G41" s="59"/>
      <c r="H41" s="59"/>
      <c r="I41" s="59">
        <v>88944</v>
      </c>
      <c r="J41" s="59"/>
      <c r="K41" s="59">
        <v>88452</v>
      </c>
      <c r="L41" s="59"/>
      <c r="M41" s="59"/>
      <c r="N41" s="59"/>
      <c r="O41" s="59"/>
      <c r="P41" s="59"/>
      <c r="Q41" s="59"/>
      <c r="R41" s="59"/>
      <c r="S41" s="59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s="62" customFormat="1" ht="12.75">
      <c r="A42" s="62" t="s">
        <v>174</v>
      </c>
      <c r="B42" s="30" t="s">
        <v>95</v>
      </c>
      <c r="C42" s="30"/>
      <c r="D42" s="30" t="s">
        <v>14</v>
      </c>
      <c r="G42" s="59"/>
      <c r="H42" s="59"/>
      <c r="I42" s="59">
        <v>6</v>
      </c>
      <c r="J42" s="59"/>
      <c r="K42" s="59">
        <v>5.7</v>
      </c>
      <c r="L42" s="59"/>
      <c r="M42" s="59"/>
      <c r="N42" s="59"/>
      <c r="O42" s="59"/>
      <c r="P42" s="59"/>
      <c r="Q42" s="59"/>
      <c r="R42" s="59"/>
      <c r="S42" s="59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62" customFormat="1" ht="12.75">
      <c r="A43" s="62" t="s">
        <v>174</v>
      </c>
      <c r="B43" s="30" t="s">
        <v>96</v>
      </c>
      <c r="C43" s="30"/>
      <c r="D43" s="30" t="s">
        <v>14</v>
      </c>
      <c r="G43" s="59"/>
      <c r="H43" s="59"/>
      <c r="I43" s="59">
        <v>39.7</v>
      </c>
      <c r="J43" s="59"/>
      <c r="K43" s="59">
        <v>10.1</v>
      </c>
      <c r="L43" s="59"/>
      <c r="M43" s="59"/>
      <c r="N43" s="59"/>
      <c r="O43" s="59"/>
      <c r="P43" s="59"/>
      <c r="Q43" s="59"/>
      <c r="R43" s="59"/>
      <c r="S43" s="59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62" customFormat="1" ht="12.75">
      <c r="A44" s="62" t="s">
        <v>174</v>
      </c>
      <c r="B44" s="30" t="s">
        <v>92</v>
      </c>
      <c r="C44" s="30"/>
      <c r="D44" s="30" t="s">
        <v>18</v>
      </c>
      <c r="G44" s="59"/>
      <c r="H44" s="59"/>
      <c r="I44" s="59">
        <v>503</v>
      </c>
      <c r="J44" s="59"/>
      <c r="K44" s="59">
        <v>497</v>
      </c>
      <c r="L44" s="59"/>
      <c r="M44" s="59"/>
      <c r="N44" s="59"/>
      <c r="O44" s="59"/>
      <c r="P44" s="59"/>
      <c r="Q44" s="59"/>
      <c r="R44" s="59"/>
      <c r="S44" s="59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7:60" s="62" customFormat="1" ht="12.75"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2:60" s="62" customFormat="1" ht="12.75">
      <c r="B46" s="60" t="s">
        <v>98</v>
      </c>
      <c r="C46" s="62" t="s">
        <v>196</v>
      </c>
      <c r="D46" s="62" t="s">
        <v>281</v>
      </c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62" customFormat="1" ht="12.75">
      <c r="A47" s="62" t="s">
        <v>174</v>
      </c>
      <c r="B47" s="30" t="s">
        <v>93</v>
      </c>
      <c r="C47" s="30"/>
      <c r="D47" s="30" t="s">
        <v>16</v>
      </c>
      <c r="G47" s="59">
        <v>88570</v>
      </c>
      <c r="H47" s="59"/>
      <c r="I47" s="59">
        <v>87651</v>
      </c>
      <c r="J47" s="59"/>
      <c r="K47" s="59">
        <v>87598</v>
      </c>
      <c r="L47" s="59"/>
      <c r="M47" s="59"/>
      <c r="N47" s="59"/>
      <c r="O47" s="59"/>
      <c r="P47" s="59"/>
      <c r="Q47" s="59"/>
      <c r="R47" s="59"/>
      <c r="S47" s="59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62" customFormat="1" ht="12.75">
      <c r="A48" s="62" t="s">
        <v>174</v>
      </c>
      <c r="B48" s="30" t="s">
        <v>95</v>
      </c>
      <c r="C48" s="30"/>
      <c r="D48" s="30" t="s">
        <v>14</v>
      </c>
      <c r="G48" s="59">
        <v>5.2</v>
      </c>
      <c r="H48" s="59"/>
      <c r="I48" s="59">
        <v>6</v>
      </c>
      <c r="J48" s="59"/>
      <c r="K48" s="59">
        <v>5.7</v>
      </c>
      <c r="L48" s="59"/>
      <c r="M48" s="59"/>
      <c r="N48" s="59"/>
      <c r="O48" s="59"/>
      <c r="P48" s="59"/>
      <c r="Q48" s="59"/>
      <c r="R48" s="59"/>
      <c r="S48" s="59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s="62" customFormat="1" ht="12.75">
      <c r="A49" s="62" t="s">
        <v>174</v>
      </c>
      <c r="B49" s="30" t="s">
        <v>96</v>
      </c>
      <c r="C49" s="30"/>
      <c r="D49" s="30" t="s">
        <v>14</v>
      </c>
      <c r="G49" s="59">
        <v>38.3</v>
      </c>
      <c r="H49" s="59"/>
      <c r="I49" s="59">
        <v>39.8</v>
      </c>
      <c r="J49" s="59"/>
      <c r="K49" s="59">
        <v>39.9</v>
      </c>
      <c r="L49" s="59"/>
      <c r="M49" s="59"/>
      <c r="N49" s="59"/>
      <c r="O49" s="59"/>
      <c r="P49" s="59"/>
      <c r="Q49" s="59"/>
      <c r="R49" s="59"/>
      <c r="S49" s="5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s="62" customFormat="1" ht="12.75">
      <c r="A50" s="62" t="s">
        <v>174</v>
      </c>
      <c r="B50" s="30" t="s">
        <v>92</v>
      </c>
      <c r="C50" s="30"/>
      <c r="D50" s="30" t="s">
        <v>18</v>
      </c>
      <c r="G50" s="59">
        <v>509</v>
      </c>
      <c r="H50" s="59"/>
      <c r="I50" s="59">
        <v>500</v>
      </c>
      <c r="J50" s="59"/>
      <c r="K50" s="59">
        <v>490</v>
      </c>
      <c r="L50" s="59"/>
      <c r="M50" s="59"/>
      <c r="N50" s="59"/>
      <c r="O50" s="59"/>
      <c r="P50" s="59"/>
      <c r="Q50" s="59"/>
      <c r="R50" s="59"/>
      <c r="S50" s="59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6:60" s="60" customFormat="1" ht="12.75">
      <c r="F51" s="59"/>
      <c r="H51" s="59"/>
      <c r="J51" s="59"/>
      <c r="L51" s="59"/>
      <c r="N51" s="59"/>
      <c r="P51" s="59"/>
      <c r="R51" s="59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2:60" s="60" customFormat="1" ht="12.75">
      <c r="B52" s="63" t="s">
        <v>176</v>
      </c>
      <c r="F52" s="59"/>
      <c r="G52" s="3" t="s">
        <v>140</v>
      </c>
      <c r="H52" s="3"/>
      <c r="I52" s="3" t="s">
        <v>141</v>
      </c>
      <c r="J52" s="3"/>
      <c r="K52" s="3" t="s">
        <v>142</v>
      </c>
      <c r="L52" s="3"/>
      <c r="M52" s="3" t="s">
        <v>143</v>
      </c>
      <c r="N52" s="3"/>
      <c r="O52" s="3" t="s">
        <v>154</v>
      </c>
      <c r="P52" s="3"/>
      <c r="Q52" s="3" t="s">
        <v>153</v>
      </c>
      <c r="R52" s="3"/>
      <c r="S52" s="3" t="s">
        <v>71</v>
      </c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6:60" s="60" customFormat="1" ht="12.75">
      <c r="F53" s="59"/>
      <c r="H53" s="59"/>
      <c r="J53" s="59"/>
      <c r="L53" s="59"/>
      <c r="N53" s="59"/>
      <c r="P53" s="59"/>
      <c r="R53" s="59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s="58" customFormat="1" ht="12.75">
      <c r="A54" s="58" t="s">
        <v>176</v>
      </c>
      <c r="B54" s="58" t="s">
        <v>19</v>
      </c>
      <c r="C54" s="58" t="s">
        <v>277</v>
      </c>
      <c r="D54" s="58" t="s">
        <v>20</v>
      </c>
      <c r="F54" s="59" t="s">
        <v>193</v>
      </c>
      <c r="G54" s="58">
        <v>0.004826205256419132</v>
      </c>
      <c r="H54" s="59" t="s">
        <v>193</v>
      </c>
      <c r="I54" s="58">
        <v>0.003506523181599867</v>
      </c>
      <c r="J54" s="59" t="s">
        <v>193</v>
      </c>
      <c r="K54" s="58">
        <v>0.004187876875438582</v>
      </c>
      <c r="L54" s="59" t="s">
        <v>193</v>
      </c>
      <c r="M54" s="58">
        <v>0.0047486865469547</v>
      </c>
      <c r="N54" s="59" t="s">
        <v>193</v>
      </c>
      <c r="P54" s="59" t="s">
        <v>193</v>
      </c>
      <c r="R54" s="59" t="s">
        <v>193</v>
      </c>
      <c r="S54" s="58">
        <f>AVERAGE(G54,I54,K54,M54,O54,Q54)</f>
        <v>0.00431732296510307</v>
      </c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s="60" customFormat="1" ht="12.75">
      <c r="A55" s="60" t="s">
        <v>176</v>
      </c>
      <c r="B55" s="60" t="s">
        <v>131</v>
      </c>
      <c r="C55" s="58" t="s">
        <v>277</v>
      </c>
      <c r="D55" s="60" t="s">
        <v>66</v>
      </c>
      <c r="F55" s="59" t="s">
        <v>193</v>
      </c>
      <c r="G55" s="60">
        <v>689</v>
      </c>
      <c r="H55" s="59" t="s">
        <v>193</v>
      </c>
      <c r="I55" s="60">
        <v>645</v>
      </c>
      <c r="J55" s="59" t="s">
        <v>193</v>
      </c>
      <c r="K55" s="60">
        <v>684</v>
      </c>
      <c r="L55" s="59" t="s">
        <v>193</v>
      </c>
      <c r="M55" s="60">
        <v>796</v>
      </c>
      <c r="N55" s="59" t="s">
        <v>193</v>
      </c>
      <c r="P55" s="59" t="s">
        <v>193</v>
      </c>
      <c r="R55" s="59" t="s">
        <v>193</v>
      </c>
      <c r="S55" s="61">
        <f aca="true" t="shared" si="2" ref="S55:S60">AVERAGE(G55,I55,K55,M55,O55,Q55)</f>
        <v>703.5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s="60" customFormat="1" ht="12.75">
      <c r="A56" s="60" t="s">
        <v>176</v>
      </c>
      <c r="B56" s="60" t="s">
        <v>97</v>
      </c>
      <c r="C56" s="58" t="s">
        <v>277</v>
      </c>
      <c r="D56" s="60" t="s">
        <v>66</v>
      </c>
      <c r="F56" s="59" t="s">
        <v>193</v>
      </c>
      <c r="G56" s="60">
        <v>389</v>
      </c>
      <c r="H56" s="59" t="s">
        <v>193</v>
      </c>
      <c r="I56" s="60">
        <v>255</v>
      </c>
      <c r="J56" s="59" t="s">
        <v>193</v>
      </c>
      <c r="K56" s="60">
        <v>409</v>
      </c>
      <c r="L56" s="59" t="s">
        <v>193</v>
      </c>
      <c r="M56" s="60">
        <v>551</v>
      </c>
      <c r="N56" s="59" t="s">
        <v>193</v>
      </c>
      <c r="P56" s="59" t="s">
        <v>193</v>
      </c>
      <c r="R56" s="59" t="s">
        <v>193</v>
      </c>
      <c r="S56" s="61">
        <f t="shared" si="2"/>
        <v>401</v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s="60" customFormat="1" ht="12.75">
      <c r="A57" s="60" t="s">
        <v>176</v>
      </c>
      <c r="B57" s="60" t="s">
        <v>133</v>
      </c>
      <c r="C57" s="58" t="s">
        <v>277</v>
      </c>
      <c r="D57" s="60" t="s">
        <v>66</v>
      </c>
      <c r="F57" s="59" t="s">
        <v>193</v>
      </c>
      <c r="G57" s="60">
        <v>19.9</v>
      </c>
      <c r="H57" s="59" t="s">
        <v>193</v>
      </c>
      <c r="I57" s="60">
        <v>20</v>
      </c>
      <c r="J57" s="59" t="s">
        <v>193</v>
      </c>
      <c r="K57" s="60">
        <v>19.2</v>
      </c>
      <c r="L57" s="59" t="s">
        <v>193</v>
      </c>
      <c r="M57" s="60">
        <v>19.9</v>
      </c>
      <c r="N57" s="59" t="s">
        <v>193</v>
      </c>
      <c r="P57" s="59" t="s">
        <v>193</v>
      </c>
      <c r="R57" s="59" t="s">
        <v>193</v>
      </c>
      <c r="S57" s="61">
        <f t="shared" si="2"/>
        <v>19.75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s="60" customFormat="1" ht="12.75">
      <c r="A58" s="60" t="s">
        <v>176</v>
      </c>
      <c r="B58" s="60" t="s">
        <v>132</v>
      </c>
      <c r="C58" s="58" t="s">
        <v>277</v>
      </c>
      <c r="D58" s="60" t="s">
        <v>66</v>
      </c>
      <c r="F58" s="59" t="s">
        <v>193</v>
      </c>
      <c r="G58" s="60">
        <v>14.9</v>
      </c>
      <c r="H58" s="59" t="s">
        <v>193</v>
      </c>
      <c r="I58" s="60">
        <v>11.1</v>
      </c>
      <c r="J58" s="59" t="s">
        <v>193</v>
      </c>
      <c r="K58" s="60">
        <v>14.6</v>
      </c>
      <c r="L58" s="59" t="s">
        <v>193</v>
      </c>
      <c r="M58" s="60">
        <v>14.6</v>
      </c>
      <c r="N58" s="59" t="s">
        <v>193</v>
      </c>
      <c r="P58" s="59" t="s">
        <v>193</v>
      </c>
      <c r="R58" s="59" t="s">
        <v>193</v>
      </c>
      <c r="S58" s="61">
        <f t="shared" si="2"/>
        <v>13.8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s="60" customFormat="1" ht="12.75">
      <c r="A59" s="60" t="s">
        <v>176</v>
      </c>
      <c r="B59" s="60" t="s">
        <v>21</v>
      </c>
      <c r="C59" s="58" t="s">
        <v>277</v>
      </c>
      <c r="D59" s="60" t="s">
        <v>66</v>
      </c>
      <c r="F59" s="59" t="s">
        <v>193</v>
      </c>
      <c r="G59" s="60">
        <v>46.496785277724</v>
      </c>
      <c r="H59" s="59" t="s">
        <v>193</v>
      </c>
      <c r="I59" s="60">
        <v>57.92885308998015</v>
      </c>
      <c r="J59" s="59" t="s">
        <v>193</v>
      </c>
      <c r="K59" s="60">
        <v>46.87109845141915</v>
      </c>
      <c r="L59" s="59" t="s">
        <v>193</v>
      </c>
      <c r="M59" s="60">
        <v>64.81822603799625</v>
      </c>
      <c r="N59" s="59" t="s">
        <v>193</v>
      </c>
      <c r="P59" s="59" t="s">
        <v>193</v>
      </c>
      <c r="R59" s="59" t="s">
        <v>193</v>
      </c>
      <c r="S59" s="61">
        <f t="shared" si="2"/>
        <v>54.02874071427989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s="60" customFormat="1" ht="12.75">
      <c r="A60" s="60" t="s">
        <v>176</v>
      </c>
      <c r="B60" s="60" t="s">
        <v>69</v>
      </c>
      <c r="C60" s="58" t="s">
        <v>277</v>
      </c>
      <c r="D60" s="60" t="s">
        <v>66</v>
      </c>
      <c r="F60" s="59" t="s">
        <v>193</v>
      </c>
      <c r="G60" s="60">
        <v>1.997190787042273</v>
      </c>
      <c r="H60" s="59" t="s">
        <v>13</v>
      </c>
      <c r="I60" s="60">
        <v>0.056807055478093</v>
      </c>
      <c r="J60" s="59" t="s">
        <v>193</v>
      </c>
      <c r="K60" s="60">
        <v>1.1898339259195825</v>
      </c>
      <c r="L60" s="59" t="s">
        <v>193</v>
      </c>
      <c r="M60" s="60">
        <v>0.8227619489056065</v>
      </c>
      <c r="N60" s="59" t="s">
        <v>193</v>
      </c>
      <c r="P60" s="59" t="s">
        <v>193</v>
      </c>
      <c r="R60" s="59" t="s">
        <v>193</v>
      </c>
      <c r="S60" s="61">
        <f t="shared" si="2"/>
        <v>1.0166484293363887</v>
      </c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2:60" s="60" customFormat="1" ht="12.75">
      <c r="B61" s="60" t="s">
        <v>278</v>
      </c>
      <c r="C61" s="58" t="s">
        <v>277</v>
      </c>
      <c r="D61" s="60" t="s">
        <v>66</v>
      </c>
      <c r="F61" s="59">
        <v>0</v>
      </c>
      <c r="G61" s="60">
        <v>50.491166854</v>
      </c>
      <c r="H61" s="59">
        <v>0.1957430748222915</v>
      </c>
      <c r="I61" s="60">
        <v>58.0424672</v>
      </c>
      <c r="J61" s="59">
        <v>0</v>
      </c>
      <c r="K61" s="60">
        <v>49.250766301999995</v>
      </c>
      <c r="L61" s="59">
        <v>0</v>
      </c>
      <c r="M61" s="60">
        <v>66.46374993799999</v>
      </c>
      <c r="N61" s="59"/>
      <c r="P61" s="59"/>
      <c r="R61" s="59">
        <v>0.05066445803501456</v>
      </c>
      <c r="S61" s="61">
        <v>56.062037568</v>
      </c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6:60" s="60" customFormat="1" ht="12.75">
      <c r="F62" s="59"/>
      <c r="H62" s="59"/>
      <c r="J62" s="59"/>
      <c r="L62" s="59"/>
      <c r="N62" s="59"/>
      <c r="P62" s="59"/>
      <c r="R62" s="59"/>
      <c r="S62" s="61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60" s="62" customFormat="1" ht="12.75">
      <c r="A63" s="62" t="s">
        <v>176</v>
      </c>
      <c r="B63" s="62" t="s">
        <v>245</v>
      </c>
      <c r="C63" s="62" t="s">
        <v>279</v>
      </c>
      <c r="D63" s="62" t="s">
        <v>14</v>
      </c>
      <c r="G63" s="59">
        <v>0</v>
      </c>
      <c r="H63" s="59"/>
      <c r="I63" s="59">
        <v>99.99991</v>
      </c>
      <c r="J63" s="59"/>
      <c r="K63" s="59">
        <v>99.9995</v>
      </c>
      <c r="L63" s="59"/>
      <c r="M63" s="59">
        <v>99.9998</v>
      </c>
      <c r="N63" s="59"/>
      <c r="O63" s="59"/>
      <c r="P63" s="59"/>
      <c r="Q63" s="59"/>
      <c r="R63" s="59"/>
      <c r="S63" s="59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s="62" customFormat="1" ht="12.75">
      <c r="A64" s="62" t="s">
        <v>176</v>
      </c>
      <c r="B64" s="62" t="s">
        <v>246</v>
      </c>
      <c r="C64" s="62" t="s">
        <v>279</v>
      </c>
      <c r="D64" s="62" t="s">
        <v>14</v>
      </c>
      <c r="G64" s="59">
        <v>99.9998</v>
      </c>
      <c r="H64" s="59"/>
      <c r="I64" s="59">
        <v>99.99991</v>
      </c>
      <c r="J64" s="59"/>
      <c r="K64" s="59">
        <v>99.9998</v>
      </c>
      <c r="L64" s="59"/>
      <c r="M64" s="59">
        <v>99.99987</v>
      </c>
      <c r="N64" s="59"/>
      <c r="O64" s="59"/>
      <c r="P64" s="59"/>
      <c r="Q64" s="59"/>
      <c r="R64" s="59"/>
      <c r="S64" s="59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:60" s="62" customFormat="1" ht="12.75">
      <c r="A65" s="62" t="s">
        <v>176</v>
      </c>
      <c r="B65" s="62" t="s">
        <v>247</v>
      </c>
      <c r="C65" s="62" t="s">
        <v>279</v>
      </c>
      <c r="D65" s="62" t="s">
        <v>14</v>
      </c>
      <c r="G65" s="59">
        <v>99.997</v>
      </c>
      <c r="H65" s="59"/>
      <c r="I65" s="59">
        <v>99.99989</v>
      </c>
      <c r="J65" s="59"/>
      <c r="K65" s="59">
        <v>99.9993</v>
      </c>
      <c r="L65" s="59"/>
      <c r="M65" s="59">
        <v>99.99988</v>
      </c>
      <c r="N65" s="59"/>
      <c r="O65" s="59"/>
      <c r="P65" s="59"/>
      <c r="Q65" s="59"/>
      <c r="R65" s="59"/>
      <c r="S65" s="59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</row>
    <row r="66" spans="6:60" s="60" customFormat="1" ht="12.75">
      <c r="F66" s="59"/>
      <c r="H66" s="59"/>
      <c r="J66" s="59"/>
      <c r="L66" s="59"/>
      <c r="N66" s="59"/>
      <c r="P66" s="59"/>
      <c r="R66" s="59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</row>
    <row r="67" spans="2:60" s="60" customFormat="1" ht="12.75">
      <c r="B67" s="60" t="s">
        <v>98</v>
      </c>
      <c r="C67" s="62" t="s">
        <v>197</v>
      </c>
      <c r="D67" s="60" t="s">
        <v>277</v>
      </c>
      <c r="F67" s="59"/>
      <c r="H67" s="59"/>
      <c r="J67" s="59"/>
      <c r="L67" s="59"/>
      <c r="N67" s="59"/>
      <c r="P67" s="59"/>
      <c r="R67" s="59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</row>
    <row r="68" spans="1:60" s="62" customFormat="1" ht="12.75">
      <c r="A68" s="62" t="s">
        <v>176</v>
      </c>
      <c r="B68" s="30" t="s">
        <v>93</v>
      </c>
      <c r="C68" s="30"/>
      <c r="D68" s="30" t="s">
        <v>16</v>
      </c>
      <c r="G68" s="59">
        <v>89630</v>
      </c>
      <c r="H68" s="59"/>
      <c r="I68" s="59">
        <v>98575</v>
      </c>
      <c r="J68" s="59"/>
      <c r="K68" s="59">
        <v>89497</v>
      </c>
      <c r="L68" s="59"/>
      <c r="M68" s="59">
        <v>88539</v>
      </c>
      <c r="N68" s="59"/>
      <c r="O68" s="59"/>
      <c r="P68" s="59"/>
      <c r="Q68" s="59"/>
      <c r="R68" s="59"/>
      <c r="S68" s="59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</row>
    <row r="69" spans="1:60" s="62" customFormat="1" ht="12.75">
      <c r="A69" s="62" t="s">
        <v>176</v>
      </c>
      <c r="B69" s="30" t="s">
        <v>95</v>
      </c>
      <c r="C69" s="30"/>
      <c r="D69" s="30" t="s">
        <v>14</v>
      </c>
      <c r="G69" s="59">
        <v>7.3</v>
      </c>
      <c r="H69" s="59"/>
      <c r="I69" s="59">
        <v>6.5</v>
      </c>
      <c r="J69" s="59"/>
      <c r="K69" s="59">
        <v>6.8</v>
      </c>
      <c r="L69" s="59"/>
      <c r="M69" s="59">
        <v>6.4</v>
      </c>
      <c r="N69" s="59"/>
      <c r="O69" s="59"/>
      <c r="P69" s="59"/>
      <c r="Q69" s="59"/>
      <c r="R69" s="59"/>
      <c r="S69" s="5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1:60" s="62" customFormat="1" ht="12.75">
      <c r="A70" s="62" t="s">
        <v>176</v>
      </c>
      <c r="B70" s="30" t="s">
        <v>96</v>
      </c>
      <c r="C70" s="30"/>
      <c r="D70" s="30" t="s">
        <v>14</v>
      </c>
      <c r="G70" s="59">
        <v>40.9</v>
      </c>
      <c r="H70" s="59"/>
      <c r="I70" s="59">
        <v>39</v>
      </c>
      <c r="J70" s="59"/>
      <c r="K70" s="59">
        <v>40.7</v>
      </c>
      <c r="L70" s="59"/>
      <c r="M70" s="59">
        <v>39.9</v>
      </c>
      <c r="N70" s="59"/>
      <c r="O70" s="59"/>
      <c r="P70" s="59"/>
      <c r="Q70" s="59"/>
      <c r="R70" s="59"/>
      <c r="S70" s="59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1:60" s="62" customFormat="1" ht="12.75">
      <c r="A71" s="62" t="s">
        <v>176</v>
      </c>
      <c r="B71" s="30" t="s">
        <v>92</v>
      </c>
      <c r="C71" s="30"/>
      <c r="D71" s="30" t="s">
        <v>18</v>
      </c>
      <c r="G71" s="59">
        <v>403</v>
      </c>
      <c r="H71" s="59"/>
      <c r="I71" s="59">
        <v>423</v>
      </c>
      <c r="J71" s="59"/>
      <c r="K71" s="59">
        <v>400</v>
      </c>
      <c r="L71" s="59"/>
      <c r="M71" s="59">
        <v>406</v>
      </c>
      <c r="N71" s="59"/>
      <c r="O71" s="59"/>
      <c r="P71" s="59"/>
      <c r="Q71" s="59"/>
      <c r="R71" s="59"/>
      <c r="S71" s="59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2" spans="7:60" s="62" customFormat="1" ht="12.75"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  <row r="73" spans="2:60" s="62" customFormat="1" ht="12.75">
      <c r="B73" s="60" t="s">
        <v>98</v>
      </c>
      <c r="C73" s="62" t="s">
        <v>198</v>
      </c>
      <c r="D73" s="62" t="s">
        <v>279</v>
      </c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spans="1:60" s="62" customFormat="1" ht="12.75">
      <c r="A74" s="62" t="s">
        <v>176</v>
      </c>
      <c r="B74" s="30" t="s">
        <v>93</v>
      </c>
      <c r="C74" s="30"/>
      <c r="D74" s="30" t="s">
        <v>16</v>
      </c>
      <c r="G74" s="59">
        <v>84250</v>
      </c>
      <c r="H74" s="59"/>
      <c r="I74" s="59">
        <v>95141</v>
      </c>
      <c r="J74" s="59"/>
      <c r="K74" s="59">
        <v>88263</v>
      </c>
      <c r="L74" s="59"/>
      <c r="M74" s="59">
        <v>88567</v>
      </c>
      <c r="N74" s="59"/>
      <c r="O74" s="59"/>
      <c r="P74" s="59"/>
      <c r="Q74" s="59"/>
      <c r="R74" s="59"/>
      <c r="S74" s="59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spans="1:60" s="62" customFormat="1" ht="12.75">
      <c r="A75" s="62" t="s">
        <v>176</v>
      </c>
      <c r="B75" s="30" t="s">
        <v>95</v>
      </c>
      <c r="C75" s="30"/>
      <c r="D75" s="30" t="s">
        <v>14</v>
      </c>
      <c r="G75" s="59">
        <v>7.3</v>
      </c>
      <c r="H75" s="59"/>
      <c r="I75" s="59">
        <v>6.5</v>
      </c>
      <c r="J75" s="59"/>
      <c r="K75" s="59">
        <v>6.8</v>
      </c>
      <c r="L75" s="59"/>
      <c r="M75" s="59">
        <v>6.4</v>
      </c>
      <c r="N75" s="59"/>
      <c r="O75" s="59"/>
      <c r="P75" s="59"/>
      <c r="Q75" s="59"/>
      <c r="R75" s="59"/>
      <c r="S75" s="59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 s="62" customFormat="1" ht="12.75">
      <c r="A76" s="62" t="s">
        <v>176</v>
      </c>
      <c r="B76" s="30" t="s">
        <v>96</v>
      </c>
      <c r="C76" s="30"/>
      <c r="D76" s="30" t="s">
        <v>14</v>
      </c>
      <c r="G76" s="59">
        <v>42.2</v>
      </c>
      <c r="H76" s="59"/>
      <c r="I76" s="59">
        <v>37.9</v>
      </c>
      <c r="J76" s="59"/>
      <c r="K76" s="59">
        <v>42.3</v>
      </c>
      <c r="L76" s="59"/>
      <c r="M76" s="59">
        <v>40.7</v>
      </c>
      <c r="N76" s="59"/>
      <c r="O76" s="59"/>
      <c r="P76" s="59"/>
      <c r="Q76" s="59"/>
      <c r="R76" s="59"/>
      <c r="S76" s="59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spans="1:60" s="62" customFormat="1" ht="12.75">
      <c r="A77" s="62" t="s">
        <v>176</v>
      </c>
      <c r="B77" s="30" t="s">
        <v>92</v>
      </c>
      <c r="C77" s="30"/>
      <c r="D77" s="30" t="s">
        <v>18</v>
      </c>
      <c r="G77" s="59">
        <v>401</v>
      </c>
      <c r="H77" s="59"/>
      <c r="I77" s="59">
        <v>425</v>
      </c>
      <c r="J77" s="59"/>
      <c r="K77" s="59">
        <v>397</v>
      </c>
      <c r="L77" s="59"/>
      <c r="M77" s="59">
        <v>406</v>
      </c>
      <c r="N77" s="59"/>
      <c r="O77" s="59"/>
      <c r="P77" s="59"/>
      <c r="Q77" s="59"/>
      <c r="R77" s="59"/>
      <c r="S77" s="59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</row>
    <row r="78" spans="6:60" s="60" customFormat="1" ht="12.75">
      <c r="F78" s="59"/>
      <c r="H78" s="59"/>
      <c r="J78" s="59"/>
      <c r="L78" s="59"/>
      <c r="N78" s="59"/>
      <c r="P78" s="59"/>
      <c r="R78" s="59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spans="2:60" s="60" customFormat="1" ht="12.75">
      <c r="B79" s="63" t="s">
        <v>177</v>
      </c>
      <c r="F79" s="59"/>
      <c r="G79" s="3" t="s">
        <v>140</v>
      </c>
      <c r="H79" s="3"/>
      <c r="I79" s="3" t="s">
        <v>141</v>
      </c>
      <c r="J79" s="3"/>
      <c r="K79" s="3" t="s">
        <v>142</v>
      </c>
      <c r="L79" s="3"/>
      <c r="M79" s="3" t="s">
        <v>143</v>
      </c>
      <c r="N79" s="3"/>
      <c r="O79" s="3" t="s">
        <v>154</v>
      </c>
      <c r="P79" s="3"/>
      <c r="Q79" s="3" t="s">
        <v>153</v>
      </c>
      <c r="R79" s="3"/>
      <c r="S79" s="3" t="s">
        <v>71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  <row r="80" spans="6:60" s="60" customFormat="1" ht="12.75">
      <c r="F80" s="59"/>
      <c r="H80" s="59"/>
      <c r="J80" s="59"/>
      <c r="L80" s="59"/>
      <c r="N80" s="59"/>
      <c r="P80" s="59"/>
      <c r="R80" s="59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</row>
    <row r="81" spans="1:60" s="58" customFormat="1" ht="12.75">
      <c r="A81" s="58" t="s">
        <v>177</v>
      </c>
      <c r="B81" s="58" t="s">
        <v>19</v>
      </c>
      <c r="C81" s="58" t="s">
        <v>277</v>
      </c>
      <c r="D81" s="58" t="s">
        <v>20</v>
      </c>
      <c r="F81" s="59" t="s">
        <v>193</v>
      </c>
      <c r="G81" s="58">
        <v>0.02544619836972973</v>
      </c>
      <c r="H81" s="59" t="s">
        <v>193</v>
      </c>
      <c r="I81" s="58">
        <v>0.1322546452864</v>
      </c>
      <c r="J81" s="59" t="s">
        <v>193</v>
      </c>
      <c r="K81" s="58">
        <v>0.00418482412173913</v>
      </c>
      <c r="L81" s="59" t="s">
        <v>193</v>
      </c>
      <c r="M81" s="58">
        <v>0.0034598044358620686</v>
      </c>
      <c r="N81" s="59" t="s">
        <v>193</v>
      </c>
      <c r="P81" s="59" t="s">
        <v>193</v>
      </c>
      <c r="R81" s="59" t="s">
        <v>193</v>
      </c>
      <c r="S81" s="64">
        <f>AVERAGE(G81,I81,K81,M81,O81,Q81)</f>
        <v>0.04133636805343273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:60" s="60" customFormat="1" ht="12.75">
      <c r="A82" s="60" t="s">
        <v>177</v>
      </c>
      <c r="B82" s="60" t="s">
        <v>131</v>
      </c>
      <c r="C82" s="58" t="s">
        <v>277</v>
      </c>
      <c r="D82" s="60" t="s">
        <v>66</v>
      </c>
      <c r="F82" s="59" t="s">
        <v>193</v>
      </c>
      <c r="G82" s="60">
        <v>489</v>
      </c>
      <c r="H82" s="59" t="s">
        <v>193</v>
      </c>
      <c r="I82" s="60">
        <v>257</v>
      </c>
      <c r="J82" s="59" t="s">
        <v>193</v>
      </c>
      <c r="K82" s="60">
        <v>388</v>
      </c>
      <c r="L82" s="59" t="s">
        <v>193</v>
      </c>
      <c r="M82" s="60">
        <v>523</v>
      </c>
      <c r="N82" s="59" t="s">
        <v>193</v>
      </c>
      <c r="P82" s="59" t="s">
        <v>193</v>
      </c>
      <c r="R82" s="59" t="s">
        <v>193</v>
      </c>
      <c r="S82" s="61">
        <f>AVERAGE(G82,I82,K82,M82,O82,Q82)</f>
        <v>414.25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s="60" customFormat="1" ht="12.75">
      <c r="A83" s="60" t="s">
        <v>177</v>
      </c>
      <c r="B83" s="60" t="s">
        <v>97</v>
      </c>
      <c r="C83" s="58" t="s">
        <v>277</v>
      </c>
      <c r="D83" s="60" t="s">
        <v>66</v>
      </c>
      <c r="F83" s="59" t="s">
        <v>193</v>
      </c>
      <c r="G83" s="60">
        <v>353</v>
      </c>
      <c r="H83" s="59" t="s">
        <v>193</v>
      </c>
      <c r="I83" s="60">
        <v>212</v>
      </c>
      <c r="J83" s="59" t="s">
        <v>193</v>
      </c>
      <c r="K83" s="60">
        <v>273</v>
      </c>
      <c r="L83" s="59" t="s">
        <v>193</v>
      </c>
      <c r="M83" s="60">
        <v>285</v>
      </c>
      <c r="N83" s="59" t="s">
        <v>193</v>
      </c>
      <c r="P83" s="59" t="s">
        <v>193</v>
      </c>
      <c r="R83" s="59" t="s">
        <v>193</v>
      </c>
      <c r="S83" s="61">
        <f>AVERAGE(G83,I83,K83,M83,O83,Q83)</f>
        <v>280.75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</row>
    <row r="84" spans="1:60" s="60" customFormat="1" ht="12.75">
      <c r="A84" s="60" t="s">
        <v>177</v>
      </c>
      <c r="B84" s="60" t="s">
        <v>133</v>
      </c>
      <c r="C84" s="58" t="s">
        <v>277</v>
      </c>
      <c r="D84" s="60" t="s">
        <v>66</v>
      </c>
      <c r="F84" s="59" t="s">
        <v>193</v>
      </c>
      <c r="G84" s="60">
        <v>16.3</v>
      </c>
      <c r="H84" s="59" t="s">
        <v>193</v>
      </c>
      <c r="I84" s="60">
        <v>8.4</v>
      </c>
      <c r="J84" s="59" t="s">
        <v>193</v>
      </c>
      <c r="K84" s="60">
        <v>13.9</v>
      </c>
      <c r="L84" s="59" t="s">
        <v>193</v>
      </c>
      <c r="M84" s="60">
        <v>19.4</v>
      </c>
      <c r="N84" s="59" t="s">
        <v>193</v>
      </c>
      <c r="P84" s="59" t="s">
        <v>193</v>
      </c>
      <c r="R84" s="59" t="s">
        <v>193</v>
      </c>
      <c r="S84" s="61">
        <f>AVERAGE(G84,I84,K84,M84,O84,Q84)</f>
        <v>14.5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</row>
    <row r="85" spans="1:60" s="60" customFormat="1" ht="12.75">
      <c r="A85" s="60" t="s">
        <v>177</v>
      </c>
      <c r="B85" s="60" t="s">
        <v>132</v>
      </c>
      <c r="C85" s="58" t="s">
        <v>277</v>
      </c>
      <c r="D85" s="60" t="s">
        <v>66</v>
      </c>
      <c r="F85" s="59" t="s">
        <v>193</v>
      </c>
      <c r="G85" s="60">
        <v>11.8</v>
      </c>
      <c r="H85" s="59" t="s">
        <v>193</v>
      </c>
      <c r="I85" s="60">
        <v>7.4</v>
      </c>
      <c r="J85" s="59" t="s">
        <v>193</v>
      </c>
      <c r="K85" s="60">
        <v>10</v>
      </c>
      <c r="L85" s="59" t="s">
        <v>193</v>
      </c>
      <c r="M85" s="60">
        <v>10.5</v>
      </c>
      <c r="N85" s="59" t="s">
        <v>193</v>
      </c>
      <c r="P85" s="59" t="s">
        <v>193</v>
      </c>
      <c r="R85" s="59" t="s">
        <v>193</v>
      </c>
      <c r="S85" s="61">
        <f>AVERAGE(G85,I85,K85,M85,O85,Q85)</f>
        <v>9.925</v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</row>
    <row r="86" spans="6:60" s="60" customFormat="1" ht="12.75">
      <c r="F86" s="59"/>
      <c r="H86" s="59"/>
      <c r="J86" s="59"/>
      <c r="L86" s="59"/>
      <c r="N86" s="59"/>
      <c r="P86" s="59"/>
      <c r="R86" s="59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</row>
    <row r="87" spans="1:60" s="62" customFormat="1" ht="12.75">
      <c r="A87" s="62" t="s">
        <v>177</v>
      </c>
      <c r="B87" s="62" t="s">
        <v>246</v>
      </c>
      <c r="C87" s="62" t="s">
        <v>279</v>
      </c>
      <c r="D87" s="62" t="s">
        <v>14</v>
      </c>
      <c r="G87" s="59">
        <v>99.9998</v>
      </c>
      <c r="H87" s="59"/>
      <c r="I87" s="59">
        <v>99.9998</v>
      </c>
      <c r="J87" s="59"/>
      <c r="K87" s="59">
        <v>99.9998</v>
      </c>
      <c r="L87" s="59"/>
      <c r="M87" s="59">
        <v>99.9998</v>
      </c>
      <c r="N87" s="59"/>
      <c r="O87" s="59"/>
      <c r="P87" s="59"/>
      <c r="Q87" s="59"/>
      <c r="R87" s="59"/>
      <c r="S87" s="59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</row>
    <row r="88" spans="1:60" s="62" customFormat="1" ht="12.75">
      <c r="A88" s="62" t="s">
        <v>177</v>
      </c>
      <c r="B88" s="62" t="s">
        <v>248</v>
      </c>
      <c r="C88" s="62" t="s">
        <v>279</v>
      </c>
      <c r="D88" s="62" t="s">
        <v>14</v>
      </c>
      <c r="G88" s="59">
        <v>99.9998</v>
      </c>
      <c r="H88" s="59"/>
      <c r="I88" s="59">
        <v>99.9998</v>
      </c>
      <c r="J88" s="59"/>
      <c r="K88" s="59">
        <v>100</v>
      </c>
      <c r="L88" s="59"/>
      <c r="M88" s="59">
        <v>99.9998</v>
      </c>
      <c r="N88" s="59"/>
      <c r="O88" s="59"/>
      <c r="P88" s="59"/>
      <c r="Q88" s="59"/>
      <c r="R88" s="59"/>
      <c r="S88" s="59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</row>
    <row r="89" spans="1:60" s="62" customFormat="1" ht="12.75">
      <c r="A89" s="62" t="s">
        <v>177</v>
      </c>
      <c r="B89" s="62" t="s">
        <v>247</v>
      </c>
      <c r="C89" s="62" t="s">
        <v>279</v>
      </c>
      <c r="D89" s="62" t="s">
        <v>14</v>
      </c>
      <c r="G89" s="59">
        <v>99.9999</v>
      </c>
      <c r="H89" s="59"/>
      <c r="I89" s="59">
        <v>99.9999</v>
      </c>
      <c r="J89" s="59"/>
      <c r="K89" s="59">
        <v>99.9999</v>
      </c>
      <c r="L89" s="59"/>
      <c r="M89" s="59">
        <v>99.9999</v>
      </c>
      <c r="N89" s="59"/>
      <c r="O89" s="59"/>
      <c r="P89" s="59"/>
      <c r="Q89" s="59"/>
      <c r="R89" s="59"/>
      <c r="S89" s="5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</row>
    <row r="90" spans="1:60" s="62" customFormat="1" ht="12.75">
      <c r="A90" s="62" t="s">
        <v>177</v>
      </c>
      <c r="B90" s="62" t="s">
        <v>249</v>
      </c>
      <c r="C90" s="62" t="s">
        <v>279</v>
      </c>
      <c r="D90" s="62" t="s">
        <v>14</v>
      </c>
      <c r="G90" s="59">
        <v>99.9999</v>
      </c>
      <c r="H90" s="59"/>
      <c r="I90" s="59">
        <v>99.9999</v>
      </c>
      <c r="J90" s="59"/>
      <c r="K90" s="59">
        <v>99.9999</v>
      </c>
      <c r="L90" s="59"/>
      <c r="M90" s="59">
        <v>99.9999</v>
      </c>
      <c r="N90" s="59"/>
      <c r="O90" s="59"/>
      <c r="P90" s="59"/>
      <c r="Q90" s="59"/>
      <c r="R90" s="59"/>
      <c r="S90" s="59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</row>
    <row r="91" spans="7:60" s="62" customFormat="1" ht="12.75"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</row>
    <row r="92" spans="2:60" s="62" customFormat="1" ht="12.75">
      <c r="B92" s="60" t="s">
        <v>98</v>
      </c>
      <c r="C92" s="62" t="s">
        <v>197</v>
      </c>
      <c r="D92" s="62" t="s">
        <v>277</v>
      </c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</row>
    <row r="93" spans="1:60" s="62" customFormat="1" ht="12.75">
      <c r="A93" s="62" t="s">
        <v>177</v>
      </c>
      <c r="B93" s="30" t="s">
        <v>93</v>
      </c>
      <c r="C93" s="30"/>
      <c r="D93" s="30" t="s">
        <v>16</v>
      </c>
      <c r="G93" s="59">
        <v>88490</v>
      </c>
      <c r="H93" s="59"/>
      <c r="I93" s="59">
        <v>88324</v>
      </c>
      <c r="J93" s="59"/>
      <c r="K93" s="59">
        <v>83789</v>
      </c>
      <c r="L93" s="59"/>
      <c r="M93" s="59">
        <v>93194</v>
      </c>
      <c r="N93" s="59"/>
      <c r="O93" s="59"/>
      <c r="P93" s="59"/>
      <c r="Q93" s="59"/>
      <c r="R93" s="59"/>
      <c r="S93" s="59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</row>
    <row r="94" spans="1:60" s="62" customFormat="1" ht="12.75">
      <c r="A94" s="62" t="s">
        <v>177</v>
      </c>
      <c r="B94" s="30" t="s">
        <v>95</v>
      </c>
      <c r="C94" s="30"/>
      <c r="D94" s="30" t="s">
        <v>14</v>
      </c>
      <c r="G94" s="59">
        <v>6.2</v>
      </c>
      <c r="H94" s="59"/>
      <c r="I94" s="59">
        <v>6</v>
      </c>
      <c r="J94" s="59"/>
      <c r="K94" s="59">
        <v>2.6</v>
      </c>
      <c r="L94" s="59"/>
      <c r="M94" s="59">
        <v>3.6</v>
      </c>
      <c r="N94" s="59"/>
      <c r="O94" s="59"/>
      <c r="P94" s="59"/>
      <c r="Q94" s="59"/>
      <c r="R94" s="59"/>
      <c r="S94" s="59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</row>
    <row r="95" spans="1:60" s="62" customFormat="1" ht="12.75">
      <c r="A95" s="62" t="s">
        <v>177</v>
      </c>
      <c r="B95" s="30" t="s">
        <v>96</v>
      </c>
      <c r="C95" s="30"/>
      <c r="D95" s="30" t="s">
        <v>14</v>
      </c>
      <c r="G95" s="59">
        <v>40.5</v>
      </c>
      <c r="H95" s="59"/>
      <c r="I95" s="59">
        <v>40.8</v>
      </c>
      <c r="J95" s="59"/>
      <c r="K95" s="59">
        <v>42.3</v>
      </c>
      <c r="L95" s="59"/>
      <c r="M95" s="59">
        <v>40.6</v>
      </c>
      <c r="N95" s="59"/>
      <c r="O95" s="59"/>
      <c r="P95" s="59"/>
      <c r="Q95" s="59"/>
      <c r="R95" s="59"/>
      <c r="S95" s="59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</row>
    <row r="96" spans="1:60" s="62" customFormat="1" ht="12.75">
      <c r="A96" s="62" t="s">
        <v>177</v>
      </c>
      <c r="B96" s="30" t="s">
        <v>92</v>
      </c>
      <c r="C96" s="30"/>
      <c r="D96" s="30" t="s">
        <v>18</v>
      </c>
      <c r="G96" s="59">
        <v>409</v>
      </c>
      <c r="H96" s="59"/>
      <c r="I96" s="59">
        <v>432</v>
      </c>
      <c r="J96" s="59"/>
      <c r="K96" s="59">
        <v>424</v>
      </c>
      <c r="L96" s="59"/>
      <c r="M96" s="59">
        <v>453</v>
      </c>
      <c r="N96" s="59"/>
      <c r="O96" s="59"/>
      <c r="P96" s="59"/>
      <c r="Q96" s="59"/>
      <c r="R96" s="59"/>
      <c r="S96" s="59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</row>
    <row r="97" spans="7:60" s="62" customFormat="1" ht="12.75"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</row>
    <row r="98" spans="2:60" s="62" customFormat="1" ht="12.75">
      <c r="B98" s="60" t="s">
        <v>98</v>
      </c>
      <c r="C98" s="62" t="s">
        <v>198</v>
      </c>
      <c r="D98" s="62" t="s">
        <v>279</v>
      </c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</row>
    <row r="99" spans="1:60" s="62" customFormat="1" ht="12.75">
      <c r="A99" s="62" t="s">
        <v>177</v>
      </c>
      <c r="B99" s="30" t="s">
        <v>93</v>
      </c>
      <c r="C99" s="30"/>
      <c r="D99" s="30" t="s">
        <v>16</v>
      </c>
      <c r="G99" s="59">
        <v>84515</v>
      </c>
      <c r="H99" s="59"/>
      <c r="I99" s="59">
        <v>86335</v>
      </c>
      <c r="J99" s="59"/>
      <c r="K99" s="59">
        <v>75623</v>
      </c>
      <c r="L99" s="59"/>
      <c r="M99" s="59">
        <v>84472</v>
      </c>
      <c r="N99" s="59"/>
      <c r="O99" s="59"/>
      <c r="P99" s="59"/>
      <c r="Q99" s="59"/>
      <c r="R99" s="59"/>
      <c r="S99" s="5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</row>
    <row r="100" spans="1:60" s="62" customFormat="1" ht="12.75">
      <c r="A100" s="62" t="s">
        <v>177</v>
      </c>
      <c r="B100" s="30" t="s">
        <v>95</v>
      </c>
      <c r="C100" s="30"/>
      <c r="D100" s="30" t="s">
        <v>14</v>
      </c>
      <c r="G100" s="59">
        <v>6.2</v>
      </c>
      <c r="H100" s="59"/>
      <c r="I100" s="59">
        <v>6</v>
      </c>
      <c r="J100" s="59"/>
      <c r="K100" s="59">
        <v>2.6</v>
      </c>
      <c r="L100" s="59"/>
      <c r="M100" s="59">
        <v>3.6</v>
      </c>
      <c r="N100" s="59"/>
      <c r="O100" s="59"/>
      <c r="P100" s="59"/>
      <c r="Q100" s="59"/>
      <c r="R100" s="59"/>
      <c r="S100" s="59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</row>
    <row r="101" spans="1:60" s="62" customFormat="1" ht="12.75">
      <c r="A101" s="62" t="s">
        <v>177</v>
      </c>
      <c r="B101" s="30" t="s">
        <v>96</v>
      </c>
      <c r="C101" s="30"/>
      <c r="D101" s="30" t="s">
        <v>14</v>
      </c>
      <c r="G101" s="59">
        <v>44</v>
      </c>
      <c r="H101" s="59"/>
      <c r="I101" s="59">
        <v>43.2</v>
      </c>
      <c r="J101" s="59"/>
      <c r="K101" s="59">
        <v>47.3</v>
      </c>
      <c r="L101" s="59"/>
      <c r="M101" s="59">
        <v>46.4</v>
      </c>
      <c r="N101" s="59"/>
      <c r="O101" s="59"/>
      <c r="P101" s="59"/>
      <c r="Q101" s="59"/>
      <c r="R101" s="59"/>
      <c r="S101" s="59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</row>
    <row r="102" spans="1:60" s="62" customFormat="1" ht="12.75">
      <c r="A102" s="62" t="s">
        <v>177</v>
      </c>
      <c r="B102" s="30" t="s">
        <v>92</v>
      </c>
      <c r="C102" s="30"/>
      <c r="D102" s="30" t="s">
        <v>18</v>
      </c>
      <c r="G102" s="59">
        <v>411</v>
      </c>
      <c r="H102" s="59"/>
      <c r="I102" s="59">
        <v>441</v>
      </c>
      <c r="J102" s="59"/>
      <c r="K102" s="59">
        <v>432</v>
      </c>
      <c r="L102" s="59"/>
      <c r="M102" s="59">
        <v>451</v>
      </c>
      <c r="N102" s="59"/>
      <c r="O102" s="59"/>
      <c r="P102" s="59"/>
      <c r="Q102" s="59"/>
      <c r="R102" s="59"/>
      <c r="S102" s="59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</row>
    <row r="103" spans="6:60" s="60" customFormat="1" ht="12.75">
      <c r="F103" s="59"/>
      <c r="H103" s="59"/>
      <c r="J103" s="59"/>
      <c r="L103" s="59"/>
      <c r="N103" s="59"/>
      <c r="P103" s="59"/>
      <c r="R103" s="59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</row>
    <row r="104" spans="2:60" s="60" customFormat="1" ht="12.75">
      <c r="B104" s="60" t="s">
        <v>98</v>
      </c>
      <c r="C104" s="62" t="s">
        <v>196</v>
      </c>
      <c r="D104" s="60" t="s">
        <v>280</v>
      </c>
      <c r="F104" s="59"/>
      <c r="H104" s="59"/>
      <c r="J104" s="59"/>
      <c r="L104" s="59"/>
      <c r="N104" s="59"/>
      <c r="P104" s="59"/>
      <c r="R104" s="59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</row>
    <row r="105" spans="1:60" s="62" customFormat="1" ht="12.75">
      <c r="A105" s="62" t="s">
        <v>177</v>
      </c>
      <c r="B105" s="30" t="s">
        <v>93</v>
      </c>
      <c r="C105" s="30"/>
      <c r="D105" s="30" t="s">
        <v>16</v>
      </c>
      <c r="G105" s="59">
        <v>88866</v>
      </c>
      <c r="H105" s="59"/>
      <c r="I105" s="59">
        <v>89287</v>
      </c>
      <c r="J105" s="59"/>
      <c r="K105" s="59">
        <v>84032</v>
      </c>
      <c r="L105" s="59"/>
      <c r="M105" s="59">
        <v>93164</v>
      </c>
      <c r="N105" s="59"/>
      <c r="O105" s="59"/>
      <c r="P105" s="59"/>
      <c r="Q105" s="59"/>
      <c r="R105" s="59"/>
      <c r="S105" s="59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</row>
    <row r="106" spans="1:60" s="62" customFormat="1" ht="12.75">
      <c r="A106" s="62" t="s">
        <v>177</v>
      </c>
      <c r="B106" s="30" t="s">
        <v>95</v>
      </c>
      <c r="C106" s="30"/>
      <c r="D106" s="30" t="s">
        <v>14</v>
      </c>
      <c r="G106" s="59">
        <v>6.2</v>
      </c>
      <c r="H106" s="59"/>
      <c r="I106" s="59">
        <v>6</v>
      </c>
      <c r="J106" s="59"/>
      <c r="K106" s="59">
        <v>2.6</v>
      </c>
      <c r="L106" s="59"/>
      <c r="M106" s="59">
        <v>3.6</v>
      </c>
      <c r="N106" s="59"/>
      <c r="O106" s="59"/>
      <c r="P106" s="59"/>
      <c r="Q106" s="59"/>
      <c r="R106" s="59"/>
      <c r="S106" s="59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</row>
    <row r="107" spans="1:60" s="62" customFormat="1" ht="12.75">
      <c r="A107" s="62" t="s">
        <v>177</v>
      </c>
      <c r="B107" s="30" t="s">
        <v>96</v>
      </c>
      <c r="C107" s="30"/>
      <c r="D107" s="30" t="s">
        <v>14</v>
      </c>
      <c r="G107" s="59">
        <v>42</v>
      </c>
      <c r="H107" s="59"/>
      <c r="I107" s="59">
        <v>41</v>
      </c>
      <c r="J107" s="59"/>
      <c r="K107" s="59">
        <v>43.8</v>
      </c>
      <c r="L107" s="59"/>
      <c r="M107" s="59">
        <v>41.8</v>
      </c>
      <c r="N107" s="59"/>
      <c r="O107" s="59"/>
      <c r="P107" s="59"/>
      <c r="Q107" s="59"/>
      <c r="R107" s="59"/>
      <c r="S107" s="59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</row>
    <row r="108" spans="1:60" s="62" customFormat="1" ht="12.75">
      <c r="A108" s="62" t="s">
        <v>177</v>
      </c>
      <c r="B108" s="30" t="s">
        <v>92</v>
      </c>
      <c r="C108" s="30"/>
      <c r="D108" s="30" t="s">
        <v>18</v>
      </c>
      <c r="G108" s="59">
        <v>408</v>
      </c>
      <c r="H108" s="59"/>
      <c r="I108" s="59">
        <v>438</v>
      </c>
      <c r="J108" s="59"/>
      <c r="K108" s="59">
        <v>416</v>
      </c>
      <c r="L108" s="59"/>
      <c r="M108" s="59">
        <v>443</v>
      </c>
      <c r="N108" s="59"/>
      <c r="O108" s="59"/>
      <c r="P108" s="59"/>
      <c r="Q108" s="59"/>
      <c r="R108" s="59"/>
      <c r="S108" s="59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</row>
    <row r="109" spans="6:60" s="60" customFormat="1" ht="12.75">
      <c r="F109" s="59"/>
      <c r="H109" s="59"/>
      <c r="J109" s="59"/>
      <c r="L109" s="59"/>
      <c r="N109" s="59"/>
      <c r="P109" s="59"/>
      <c r="R109" s="5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</row>
    <row r="110" spans="2:60" s="60" customFormat="1" ht="12.75">
      <c r="B110" s="63" t="s">
        <v>179</v>
      </c>
      <c r="F110" s="59"/>
      <c r="G110" s="3" t="s">
        <v>140</v>
      </c>
      <c r="H110" s="3"/>
      <c r="I110" s="3" t="s">
        <v>141</v>
      </c>
      <c r="J110" s="3"/>
      <c r="K110" s="3" t="s">
        <v>142</v>
      </c>
      <c r="L110" s="3"/>
      <c r="M110" s="3" t="s">
        <v>143</v>
      </c>
      <c r="N110" s="3"/>
      <c r="O110" s="3" t="s">
        <v>154</v>
      </c>
      <c r="P110" s="3"/>
      <c r="Q110" s="3" t="s">
        <v>153</v>
      </c>
      <c r="R110" s="3"/>
      <c r="S110" s="3" t="s">
        <v>71</v>
      </c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</row>
    <row r="111" spans="6:60" s="60" customFormat="1" ht="12.75">
      <c r="F111" s="59"/>
      <c r="H111" s="59"/>
      <c r="J111" s="59"/>
      <c r="L111" s="59"/>
      <c r="N111" s="59"/>
      <c r="P111" s="59"/>
      <c r="R111" s="59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</row>
    <row r="112" spans="1:60" s="58" customFormat="1" ht="12.75">
      <c r="A112" s="58" t="s">
        <v>179</v>
      </c>
      <c r="B112" s="58" t="s">
        <v>19</v>
      </c>
      <c r="C112" s="58" t="s">
        <v>277</v>
      </c>
      <c r="D112" s="58" t="s">
        <v>20</v>
      </c>
      <c r="F112" s="59" t="s">
        <v>193</v>
      </c>
      <c r="G112" s="58">
        <v>0.0031744500948837208</v>
      </c>
      <c r="H112" s="59" t="s">
        <v>193</v>
      </c>
      <c r="I112" s="58">
        <v>0.003762537324</v>
      </c>
      <c r="J112" s="59" t="s">
        <v>193</v>
      </c>
      <c r="K112" s="58">
        <v>0.00287182336</v>
      </c>
      <c r="L112" s="59" t="s">
        <v>193</v>
      </c>
      <c r="M112" s="58">
        <v>0.006644133705762711</v>
      </c>
      <c r="N112" s="59" t="s">
        <v>193</v>
      </c>
      <c r="P112" s="59" t="s">
        <v>193</v>
      </c>
      <c r="R112" s="59" t="s">
        <v>193</v>
      </c>
      <c r="S112" s="64">
        <f>AVERAGE(G112,I112,K112,M112,O112,Q112)</f>
        <v>0.004113236121161608</v>
      </c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</row>
    <row r="113" spans="1:60" s="60" customFormat="1" ht="12.75">
      <c r="A113" s="60" t="s">
        <v>179</v>
      </c>
      <c r="B113" s="60" t="s">
        <v>131</v>
      </c>
      <c r="C113" s="58" t="s">
        <v>277</v>
      </c>
      <c r="D113" s="60" t="s">
        <v>66</v>
      </c>
      <c r="F113" s="59" t="s">
        <v>193</v>
      </c>
      <c r="G113" s="60">
        <v>603</v>
      </c>
      <c r="H113" s="59" t="s">
        <v>193</v>
      </c>
      <c r="I113" s="60">
        <v>1050</v>
      </c>
      <c r="J113" s="59" t="s">
        <v>193</v>
      </c>
      <c r="K113" s="60">
        <v>701</v>
      </c>
      <c r="L113" s="59" t="s">
        <v>193</v>
      </c>
      <c r="M113" s="60">
        <v>686</v>
      </c>
      <c r="N113" s="59" t="s">
        <v>193</v>
      </c>
      <c r="P113" s="59" t="s">
        <v>193</v>
      </c>
      <c r="R113" s="59" t="s">
        <v>193</v>
      </c>
      <c r="S113" s="61">
        <f aca="true" t="shared" si="3" ref="S113:S118">AVERAGE(G113,I113,K113,M113,O113,Q113)</f>
        <v>760</v>
      </c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</row>
    <row r="114" spans="1:60" s="60" customFormat="1" ht="12.75">
      <c r="A114" s="60" t="s">
        <v>179</v>
      </c>
      <c r="B114" s="60" t="s">
        <v>97</v>
      </c>
      <c r="C114" s="58" t="s">
        <v>277</v>
      </c>
      <c r="D114" s="60" t="s">
        <v>66</v>
      </c>
      <c r="F114" s="59" t="s">
        <v>193</v>
      </c>
      <c r="G114" s="60">
        <v>491</v>
      </c>
      <c r="H114" s="59" t="s">
        <v>193</v>
      </c>
      <c r="I114" s="60">
        <v>952</v>
      </c>
      <c r="J114" s="59" t="s">
        <v>193</v>
      </c>
      <c r="K114" s="60">
        <v>504</v>
      </c>
      <c r="L114" s="59" t="s">
        <v>193</v>
      </c>
      <c r="M114" s="60">
        <v>493</v>
      </c>
      <c r="N114" s="59" t="s">
        <v>193</v>
      </c>
      <c r="P114" s="59" t="s">
        <v>193</v>
      </c>
      <c r="R114" s="59" t="s">
        <v>193</v>
      </c>
      <c r="S114" s="61">
        <f t="shared" si="3"/>
        <v>610</v>
      </c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</row>
    <row r="115" spans="1:60" s="60" customFormat="1" ht="12.75">
      <c r="A115" s="60" t="s">
        <v>179</v>
      </c>
      <c r="B115" s="60" t="s">
        <v>133</v>
      </c>
      <c r="C115" s="58" t="s">
        <v>277</v>
      </c>
      <c r="D115" s="60" t="s">
        <v>66</v>
      </c>
      <c r="F115" s="59" t="s">
        <v>193</v>
      </c>
      <c r="G115" s="60">
        <v>7.1</v>
      </c>
      <c r="H115" s="59" t="s">
        <v>193</v>
      </c>
      <c r="I115" s="60">
        <v>11.9</v>
      </c>
      <c r="J115" s="59" t="s">
        <v>193</v>
      </c>
      <c r="K115" s="60">
        <v>11.8</v>
      </c>
      <c r="L115" s="59" t="s">
        <v>193</v>
      </c>
      <c r="M115" s="60">
        <v>9.7</v>
      </c>
      <c r="N115" s="59" t="s">
        <v>193</v>
      </c>
      <c r="P115" s="59" t="s">
        <v>193</v>
      </c>
      <c r="R115" s="59" t="s">
        <v>193</v>
      </c>
      <c r="S115" s="61">
        <f t="shared" si="3"/>
        <v>10.125</v>
      </c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</row>
    <row r="116" spans="1:60" s="60" customFormat="1" ht="12.75">
      <c r="A116" s="60" t="s">
        <v>179</v>
      </c>
      <c r="B116" s="60" t="s">
        <v>132</v>
      </c>
      <c r="C116" s="58" t="s">
        <v>277</v>
      </c>
      <c r="D116" s="60" t="s">
        <v>66</v>
      </c>
      <c r="F116" s="59" t="s">
        <v>193</v>
      </c>
      <c r="G116" s="60">
        <v>6.5</v>
      </c>
      <c r="H116" s="59" t="s">
        <v>193</v>
      </c>
      <c r="I116" s="60">
        <v>10.3</v>
      </c>
      <c r="J116" s="59" t="s">
        <v>193</v>
      </c>
      <c r="K116" s="60">
        <v>9.7</v>
      </c>
      <c r="L116" s="59" t="s">
        <v>193</v>
      </c>
      <c r="M116" s="60">
        <v>8.3</v>
      </c>
      <c r="N116" s="59" t="s">
        <v>193</v>
      </c>
      <c r="P116" s="59" t="s">
        <v>193</v>
      </c>
      <c r="R116" s="59" t="s">
        <v>193</v>
      </c>
      <c r="S116" s="61">
        <f t="shared" si="3"/>
        <v>8.7</v>
      </c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</row>
    <row r="117" spans="1:60" s="60" customFormat="1" ht="12.75">
      <c r="A117" s="60" t="s">
        <v>179</v>
      </c>
      <c r="B117" s="60" t="s">
        <v>21</v>
      </c>
      <c r="C117" s="58" t="s">
        <v>277</v>
      </c>
      <c r="D117" s="60" t="s">
        <v>66</v>
      </c>
      <c r="F117" s="59" t="s">
        <v>193</v>
      </c>
      <c r="G117" s="60">
        <v>30.440655952254</v>
      </c>
      <c r="H117" s="59" t="s">
        <v>193</v>
      </c>
      <c r="I117" s="60">
        <v>46.30880811572531</v>
      </c>
      <c r="J117" s="59" t="s">
        <v>193</v>
      </c>
      <c r="K117" s="60">
        <v>49.393067222974665</v>
      </c>
      <c r="L117" s="59" t="s">
        <v>193</v>
      </c>
      <c r="M117" s="60">
        <v>63.44061939360044</v>
      </c>
      <c r="N117" s="59" t="s">
        <v>193</v>
      </c>
      <c r="P117" s="59" t="s">
        <v>193</v>
      </c>
      <c r="R117" s="59" t="s">
        <v>193</v>
      </c>
      <c r="S117" s="61">
        <f t="shared" si="3"/>
        <v>47.395787671138606</v>
      </c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</row>
    <row r="118" spans="1:60" s="60" customFormat="1" ht="12.75">
      <c r="A118" s="60" t="s">
        <v>179</v>
      </c>
      <c r="B118" s="60" t="s">
        <v>69</v>
      </c>
      <c r="C118" s="58" t="s">
        <v>277</v>
      </c>
      <c r="D118" s="60" t="s">
        <v>66</v>
      </c>
      <c r="F118" s="59" t="s">
        <v>193</v>
      </c>
      <c r="G118" s="60">
        <v>3.3097562680224453</v>
      </c>
      <c r="H118" s="59" t="s">
        <v>193</v>
      </c>
      <c r="I118" s="60">
        <v>5.297612410633269</v>
      </c>
      <c r="J118" s="59" t="s">
        <v>193</v>
      </c>
      <c r="K118" s="60">
        <v>4.514543558616543</v>
      </c>
      <c r="L118" s="59" t="s">
        <v>193</v>
      </c>
      <c r="M118" s="60">
        <v>8.998903830385862</v>
      </c>
      <c r="N118" s="59" t="s">
        <v>193</v>
      </c>
      <c r="P118" s="59" t="s">
        <v>193</v>
      </c>
      <c r="R118" s="59" t="s">
        <v>193</v>
      </c>
      <c r="S118" s="61">
        <f t="shared" si="3"/>
        <v>5.53020401691453</v>
      </c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</row>
    <row r="119" spans="2:60" s="60" customFormat="1" ht="12.75">
      <c r="B119" s="60" t="s">
        <v>278</v>
      </c>
      <c r="C119" s="58" t="s">
        <v>277</v>
      </c>
      <c r="D119" s="60" t="s">
        <v>66</v>
      </c>
      <c r="F119" s="59"/>
      <c r="G119" s="60">
        <f>G117+2*G118</f>
        <v>37.06016848829889</v>
      </c>
      <c r="H119" s="59"/>
      <c r="I119" s="60">
        <f>I117+2*I118</f>
        <v>56.904032936991854</v>
      </c>
      <c r="J119" s="59"/>
      <c r="K119" s="60">
        <f>K117+2*K118</f>
        <v>58.422154340207754</v>
      </c>
      <c r="L119" s="59"/>
      <c r="M119" s="60">
        <f>M117+2*M118</f>
        <v>81.43842705437217</v>
      </c>
      <c r="N119" s="59"/>
      <c r="P119" s="59"/>
      <c r="R119" s="59"/>
      <c r="S119" s="61">
        <f>AVERAGE(G119,I119,K119,M119,O119,Q119)</f>
        <v>58.45619570496767</v>
      </c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1:60" s="60" customFormat="1" ht="12.75">
      <c r="A120" s="60" t="s">
        <v>179</v>
      </c>
      <c r="B120" s="60" t="s">
        <v>103</v>
      </c>
      <c r="C120" s="60" t="s">
        <v>279</v>
      </c>
      <c r="D120" s="60" t="s">
        <v>70</v>
      </c>
      <c r="F120" s="59" t="s">
        <v>193</v>
      </c>
      <c r="G120" s="60">
        <v>0.5194588986135628</v>
      </c>
      <c r="H120" s="59" t="s">
        <v>193</v>
      </c>
      <c r="I120" s="60">
        <v>0.45078343912201163</v>
      </c>
      <c r="J120" s="59" t="s">
        <v>193</v>
      </c>
      <c r="K120" s="60">
        <v>0.44693527931177796</v>
      </c>
      <c r="L120" s="59" t="s">
        <v>193</v>
      </c>
      <c r="M120" s="60">
        <v>1.0167787243892468</v>
      </c>
      <c r="N120" s="59" t="s">
        <v>193</v>
      </c>
      <c r="P120" s="59" t="s">
        <v>193</v>
      </c>
      <c r="R120" s="59" t="s">
        <v>193</v>
      </c>
      <c r="S120" s="61">
        <f aca="true" t="shared" si="4" ref="S120:S127">AVERAGE(G120,I120,K120,M120,O120,Q120)</f>
        <v>0.6084890853591498</v>
      </c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</row>
    <row r="121" spans="1:60" s="60" customFormat="1" ht="12.75">
      <c r="A121" s="60" t="s">
        <v>179</v>
      </c>
      <c r="B121" s="60" t="s">
        <v>99</v>
      </c>
      <c r="C121" s="60" t="s">
        <v>279</v>
      </c>
      <c r="D121" s="60" t="s">
        <v>70</v>
      </c>
      <c r="F121" s="59" t="s">
        <v>193</v>
      </c>
      <c r="G121" s="60">
        <v>1.008658055560316</v>
      </c>
      <c r="H121" s="59" t="s">
        <v>193</v>
      </c>
      <c r="I121" s="60">
        <v>0.60319886716446</v>
      </c>
      <c r="J121" s="59" t="s">
        <v>193</v>
      </c>
      <c r="K121" s="60">
        <v>1.3764118589982226</v>
      </c>
      <c r="L121" s="59" t="s">
        <v>193</v>
      </c>
      <c r="M121" s="60">
        <v>0.9673519808425474</v>
      </c>
      <c r="N121" s="59" t="s">
        <v>193</v>
      </c>
      <c r="P121" s="59" t="s">
        <v>193</v>
      </c>
      <c r="R121" s="59" t="s">
        <v>193</v>
      </c>
      <c r="S121" s="61">
        <f t="shared" si="4"/>
        <v>0.9889051906413866</v>
      </c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1:60" s="60" customFormat="1" ht="12.75">
      <c r="A122" s="60" t="s">
        <v>179</v>
      </c>
      <c r="B122" s="60" t="s">
        <v>100</v>
      </c>
      <c r="C122" s="60" t="s">
        <v>279</v>
      </c>
      <c r="D122" s="60" t="s">
        <v>70</v>
      </c>
      <c r="F122" s="59" t="s">
        <v>193</v>
      </c>
      <c r="G122" s="60">
        <v>5.547619305581739</v>
      </c>
      <c r="H122" s="59" t="s">
        <v>193</v>
      </c>
      <c r="I122" s="60">
        <v>6.408987963622388</v>
      </c>
      <c r="J122" s="59" t="s">
        <v>193</v>
      </c>
      <c r="K122" s="60">
        <v>5.218673534889014</v>
      </c>
      <c r="L122" s="59" t="s">
        <v>193</v>
      </c>
      <c r="M122" s="60">
        <v>8.120107868386347</v>
      </c>
      <c r="N122" s="59" t="s">
        <v>193</v>
      </c>
      <c r="P122" s="59" t="s">
        <v>193</v>
      </c>
      <c r="R122" s="59" t="s">
        <v>193</v>
      </c>
      <c r="S122" s="61">
        <f t="shared" si="4"/>
        <v>6.3238471681198725</v>
      </c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</row>
    <row r="123" spans="1:60" s="60" customFormat="1" ht="12.75">
      <c r="A123" s="60" t="s">
        <v>179</v>
      </c>
      <c r="B123" s="60" t="s">
        <v>101</v>
      </c>
      <c r="C123" s="60" t="s">
        <v>279</v>
      </c>
      <c r="D123" s="60" t="s">
        <v>70</v>
      </c>
      <c r="F123" s="59" t="s">
        <v>193</v>
      </c>
      <c r="G123" s="60">
        <v>0.31217966819591786</v>
      </c>
      <c r="H123" s="59" t="s">
        <v>193</v>
      </c>
      <c r="I123" s="60">
        <v>0.33822222194578655</v>
      </c>
      <c r="J123" s="59" t="s">
        <v>193</v>
      </c>
      <c r="K123" s="60">
        <v>0.33533431777138156</v>
      </c>
      <c r="L123" s="59" t="s">
        <v>193</v>
      </c>
      <c r="M123" s="60">
        <v>0.4575504259751611</v>
      </c>
      <c r="N123" s="59" t="s">
        <v>193</v>
      </c>
      <c r="P123" s="59" t="s">
        <v>193</v>
      </c>
      <c r="R123" s="59" t="s">
        <v>193</v>
      </c>
      <c r="S123" s="61">
        <f t="shared" si="4"/>
        <v>0.36082165847206177</v>
      </c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</row>
    <row r="124" spans="1:60" s="60" customFormat="1" ht="12.75">
      <c r="A124" s="60" t="s">
        <v>179</v>
      </c>
      <c r="B124" s="60" t="s">
        <v>106</v>
      </c>
      <c r="C124" s="60" t="s">
        <v>279</v>
      </c>
      <c r="D124" s="60" t="s">
        <v>70</v>
      </c>
      <c r="F124" s="59" t="s">
        <v>193</v>
      </c>
      <c r="G124" s="60">
        <v>5.951082527805864</v>
      </c>
      <c r="H124" s="59" t="s">
        <v>193</v>
      </c>
      <c r="I124" s="60">
        <v>4.561691432931229</v>
      </c>
      <c r="J124" s="59" t="s">
        <v>193</v>
      </c>
      <c r="K124" s="60">
        <v>5.3037028389198</v>
      </c>
      <c r="L124" s="59" t="s">
        <v>193</v>
      </c>
      <c r="M124" s="60">
        <v>6.220708723520324</v>
      </c>
      <c r="N124" s="59" t="s">
        <v>193</v>
      </c>
      <c r="P124" s="59" t="s">
        <v>193</v>
      </c>
      <c r="R124" s="59" t="s">
        <v>193</v>
      </c>
      <c r="S124" s="61">
        <f t="shared" si="4"/>
        <v>5.5092963807943045</v>
      </c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</row>
    <row r="125" spans="1:60" s="60" customFormat="1" ht="12.75">
      <c r="A125" s="60" t="s">
        <v>179</v>
      </c>
      <c r="B125" s="60" t="s">
        <v>108</v>
      </c>
      <c r="C125" s="60" t="s">
        <v>279</v>
      </c>
      <c r="D125" s="60" t="s">
        <v>70</v>
      </c>
      <c r="F125" s="59" t="s">
        <v>193</v>
      </c>
      <c r="G125" s="60">
        <v>4.4431387347432</v>
      </c>
      <c r="H125" s="59" t="s">
        <v>193</v>
      </c>
      <c r="I125" s="60">
        <v>3.382222219457866</v>
      </c>
      <c r="J125" s="59" t="s">
        <v>193</v>
      </c>
      <c r="K125" s="60">
        <v>3.1301412546330227</v>
      </c>
      <c r="L125" s="59" t="s">
        <v>193</v>
      </c>
      <c r="M125" s="60">
        <v>4.631991966662125</v>
      </c>
      <c r="N125" s="59" t="s">
        <v>193</v>
      </c>
      <c r="P125" s="59" t="s">
        <v>193</v>
      </c>
      <c r="R125" s="59" t="s">
        <v>193</v>
      </c>
      <c r="S125" s="61">
        <f t="shared" si="4"/>
        <v>3.8968735438740536</v>
      </c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1:60" s="60" customFormat="1" ht="12.75">
      <c r="A126" s="60" t="s">
        <v>179</v>
      </c>
      <c r="B126" s="60" t="s">
        <v>194</v>
      </c>
      <c r="C126" s="60" t="s">
        <v>280</v>
      </c>
      <c r="D126" s="60" t="s">
        <v>70</v>
      </c>
      <c r="F126" s="59" t="s">
        <v>193</v>
      </c>
      <c r="G126" s="60">
        <v>4.4425416384186</v>
      </c>
      <c r="H126" s="59" t="s">
        <v>13</v>
      </c>
      <c r="I126" s="60">
        <v>1.88764121</v>
      </c>
      <c r="J126" s="59" t="s">
        <v>13</v>
      </c>
      <c r="K126" s="60">
        <v>1.936042266666667</v>
      </c>
      <c r="L126" s="59" t="s">
        <v>13</v>
      </c>
      <c r="M126" s="60">
        <v>2.559513505084746</v>
      </c>
      <c r="N126" s="59" t="s">
        <v>193</v>
      </c>
      <c r="P126" s="59" t="s">
        <v>193</v>
      </c>
      <c r="R126" s="59" t="s">
        <v>193</v>
      </c>
      <c r="S126" s="61">
        <f t="shared" si="4"/>
        <v>2.706434655042503</v>
      </c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</row>
    <row r="127" spans="1:60" s="60" customFormat="1" ht="12.75">
      <c r="A127" s="60" t="s">
        <v>179</v>
      </c>
      <c r="B127" s="60" t="s">
        <v>104</v>
      </c>
      <c r="C127" s="60" t="s">
        <v>279</v>
      </c>
      <c r="D127" s="60" t="s">
        <v>70</v>
      </c>
      <c r="F127" s="59" t="s">
        <v>193</v>
      </c>
      <c r="G127" s="60">
        <v>69.59740583366181</v>
      </c>
      <c r="H127" s="59" t="s">
        <v>193</v>
      </c>
      <c r="I127" s="60">
        <v>64.08987963622388</v>
      </c>
      <c r="J127" s="59" t="s">
        <v>193</v>
      </c>
      <c r="K127" s="60">
        <v>81.840705129624</v>
      </c>
      <c r="L127" s="59" t="s">
        <v>193</v>
      </c>
      <c r="M127" s="60">
        <v>86.84984937491485</v>
      </c>
      <c r="N127" s="59" t="s">
        <v>193</v>
      </c>
      <c r="P127" s="59" t="s">
        <v>193</v>
      </c>
      <c r="R127" s="59" t="s">
        <v>193</v>
      </c>
      <c r="S127" s="61">
        <f t="shared" si="4"/>
        <v>75.59445999360614</v>
      </c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</row>
    <row r="128" spans="1:60" s="60" customFormat="1" ht="12.75">
      <c r="A128" s="60" t="s">
        <v>179</v>
      </c>
      <c r="B128" s="60" t="s">
        <v>112</v>
      </c>
      <c r="C128" s="60" t="s">
        <v>279</v>
      </c>
      <c r="D128" s="60" t="s">
        <v>70</v>
      </c>
      <c r="F128" s="59" t="s">
        <v>193</v>
      </c>
      <c r="G128" s="60">
        <v>83.71861861150624</v>
      </c>
      <c r="H128" s="59" t="s">
        <v>193</v>
      </c>
      <c r="I128" s="60">
        <v>85.09412590355777</v>
      </c>
      <c r="J128" s="59" t="s">
        <v>193</v>
      </c>
      <c r="K128" s="60">
        <v>68.02344322462257</v>
      </c>
      <c r="L128" s="59" t="s">
        <v>193</v>
      </c>
      <c r="M128" s="60">
        <v>233.01179100587</v>
      </c>
      <c r="N128" s="59" t="s">
        <v>193</v>
      </c>
      <c r="P128" s="59" t="s">
        <v>193</v>
      </c>
      <c r="R128" s="59" t="s">
        <v>193</v>
      </c>
      <c r="S128" s="61">
        <f>AVERAGE(G128,I128,K128,M128,O128,Q128)</f>
        <v>117.46199468638915</v>
      </c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</row>
    <row r="129" spans="1:60" s="60" customFormat="1" ht="12.75">
      <c r="A129" s="60" t="s">
        <v>179</v>
      </c>
      <c r="B129" s="60" t="s">
        <v>107</v>
      </c>
      <c r="C129" s="60" t="s">
        <v>279</v>
      </c>
      <c r="D129" s="60" t="s">
        <v>70</v>
      </c>
      <c r="F129" s="59" t="s">
        <v>193</v>
      </c>
      <c r="G129" s="60">
        <v>0.12154329569501808</v>
      </c>
      <c r="H129" s="59" t="s">
        <v>193</v>
      </c>
      <c r="I129" s="60">
        <v>0.056549893796668145</v>
      </c>
      <c r="J129" s="59" t="s">
        <v>193</v>
      </c>
      <c r="K129" s="60">
        <v>0.13020112179713</v>
      </c>
      <c r="L129" s="59" t="s">
        <v>193</v>
      </c>
      <c r="M129" s="60">
        <v>0.6616122671893919</v>
      </c>
      <c r="N129" s="59" t="s">
        <v>193</v>
      </c>
      <c r="P129" s="59" t="s">
        <v>193</v>
      </c>
      <c r="R129" s="59" t="s">
        <v>193</v>
      </c>
      <c r="S129" s="61">
        <f>AVERAGE(G129,I129,K129,M129,O129,Q129)</f>
        <v>0.24247664461955204</v>
      </c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</row>
    <row r="130" spans="1:60" s="60" customFormat="1" ht="12.75">
      <c r="A130" s="60" t="s">
        <v>179</v>
      </c>
      <c r="B130" s="60" t="s">
        <v>102</v>
      </c>
      <c r="C130" s="60" t="s">
        <v>279</v>
      </c>
      <c r="D130" s="60" t="s">
        <v>70</v>
      </c>
      <c r="F130" s="59" t="s">
        <v>193</v>
      </c>
      <c r="G130" s="60">
        <v>0.79683986389265</v>
      </c>
      <c r="H130" s="59" t="s">
        <v>193</v>
      </c>
      <c r="I130" s="60">
        <v>0.5654989379666813</v>
      </c>
      <c r="J130" s="59" t="s">
        <v>193</v>
      </c>
      <c r="K130" s="60">
        <v>0.8928076923231714</v>
      </c>
      <c r="L130" s="59" t="s">
        <v>193</v>
      </c>
      <c r="M130" s="60">
        <v>0.8614375303853343</v>
      </c>
      <c r="N130" s="59" t="s">
        <v>193</v>
      </c>
      <c r="P130" s="59" t="s">
        <v>193</v>
      </c>
      <c r="R130" s="59" t="s">
        <v>193</v>
      </c>
      <c r="S130" s="61">
        <f>AVERAGE(G130,I130,K130,M130,O130,Q130)</f>
        <v>0.7791460061419593</v>
      </c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</row>
    <row r="131" spans="2:60" s="60" customFormat="1" ht="12.75">
      <c r="B131" s="60" t="s">
        <v>77</v>
      </c>
      <c r="C131" s="60" t="s">
        <v>279</v>
      </c>
      <c r="D131" s="60" t="s">
        <v>70</v>
      </c>
      <c r="F131" s="59"/>
      <c r="G131" s="60">
        <f>G124+G127</f>
        <v>75.54848836146768</v>
      </c>
      <c r="H131" s="59"/>
      <c r="I131" s="60">
        <f>I124+I127</f>
        <v>68.65157106915511</v>
      </c>
      <c r="J131" s="59"/>
      <c r="K131" s="60">
        <f>K124+K127</f>
        <v>87.1444079685438</v>
      </c>
      <c r="L131" s="59"/>
      <c r="M131" s="60">
        <f>M124+M127</f>
        <v>93.07055809843517</v>
      </c>
      <c r="N131" s="59"/>
      <c r="P131" s="59"/>
      <c r="R131" s="59"/>
      <c r="S131" s="61">
        <f>AVERAGE(G131,I131,K131,M131,O131,Q131)</f>
        <v>81.10375637440045</v>
      </c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</row>
    <row r="132" spans="2:60" s="60" customFormat="1" ht="12.75">
      <c r="B132" s="60" t="s">
        <v>78</v>
      </c>
      <c r="C132" s="60" t="s">
        <v>279</v>
      </c>
      <c r="D132" s="60" t="s">
        <v>70</v>
      </c>
      <c r="F132" s="59"/>
      <c r="G132" s="60">
        <f>G121+G123+G125</f>
        <v>5.7639764584994335</v>
      </c>
      <c r="H132" s="59"/>
      <c r="I132" s="60">
        <f>I121+I123+I125</f>
        <v>4.323643308568113</v>
      </c>
      <c r="J132" s="59"/>
      <c r="K132" s="60">
        <f>K121+K123+K125</f>
        <v>4.841887431402627</v>
      </c>
      <c r="L132" s="59"/>
      <c r="M132" s="60">
        <f>M121+M123+M125</f>
        <v>6.0568943734798335</v>
      </c>
      <c r="N132" s="59"/>
      <c r="P132" s="59"/>
      <c r="R132" s="59"/>
      <c r="S132" s="61">
        <f>AVERAGE(G132,I132,K132,M132,O132,Q132)</f>
        <v>5.246600392987502</v>
      </c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</row>
    <row r="133" spans="6:60" s="60" customFormat="1" ht="12.75">
      <c r="F133" s="59"/>
      <c r="H133" s="59"/>
      <c r="J133" s="59"/>
      <c r="L133" s="59"/>
      <c r="N133" s="59"/>
      <c r="P133" s="59"/>
      <c r="R133" s="59"/>
      <c r="S133" s="61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</row>
    <row r="134" spans="1:60" s="62" customFormat="1" ht="12.75">
      <c r="A134" s="62" t="s">
        <v>179</v>
      </c>
      <c r="B134" s="62" t="s">
        <v>246</v>
      </c>
      <c r="C134" s="62" t="s">
        <v>281</v>
      </c>
      <c r="D134" s="62" t="s">
        <v>14</v>
      </c>
      <c r="G134" s="59">
        <v>99.9996</v>
      </c>
      <c r="H134" s="59"/>
      <c r="I134" s="59">
        <v>99.9997</v>
      </c>
      <c r="J134" s="59"/>
      <c r="K134" s="59">
        <v>99.9997</v>
      </c>
      <c r="L134" s="59"/>
      <c r="M134" s="59">
        <v>99.9997</v>
      </c>
      <c r="N134" s="59"/>
      <c r="O134" s="59"/>
      <c r="P134" s="59"/>
      <c r="Q134" s="59"/>
      <c r="R134" s="59"/>
      <c r="S134" s="59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</row>
    <row r="135" spans="1:60" s="62" customFormat="1" ht="12.75">
      <c r="A135" s="62" t="s">
        <v>179</v>
      </c>
      <c r="B135" s="62" t="s">
        <v>248</v>
      </c>
      <c r="C135" s="62" t="s">
        <v>281</v>
      </c>
      <c r="D135" s="62" t="s">
        <v>14</v>
      </c>
      <c r="G135" s="59">
        <v>99.99997</v>
      </c>
      <c r="H135" s="59"/>
      <c r="I135" s="59">
        <v>99.9998</v>
      </c>
      <c r="J135" s="59"/>
      <c r="K135" s="59">
        <v>99.9998</v>
      </c>
      <c r="L135" s="59"/>
      <c r="M135" s="59">
        <v>99.9998</v>
      </c>
      <c r="N135" s="59"/>
      <c r="O135" s="59"/>
      <c r="P135" s="59"/>
      <c r="Q135" s="59"/>
      <c r="R135" s="59"/>
      <c r="S135" s="59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</row>
    <row r="136" spans="1:60" s="62" customFormat="1" ht="12.75">
      <c r="A136" s="62" t="s">
        <v>179</v>
      </c>
      <c r="B136" s="62" t="s">
        <v>247</v>
      </c>
      <c r="C136" s="62" t="s">
        <v>281</v>
      </c>
      <c r="D136" s="62" t="s">
        <v>14</v>
      </c>
      <c r="G136" s="59">
        <v>99.9999</v>
      </c>
      <c r="H136" s="59"/>
      <c r="I136" s="59">
        <v>99.9999</v>
      </c>
      <c r="J136" s="59"/>
      <c r="K136" s="59">
        <v>99.9999</v>
      </c>
      <c r="L136" s="59"/>
      <c r="M136" s="59">
        <v>99.9999</v>
      </c>
      <c r="N136" s="59"/>
      <c r="O136" s="59"/>
      <c r="P136" s="59"/>
      <c r="Q136" s="59"/>
      <c r="R136" s="59"/>
      <c r="S136" s="59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</row>
    <row r="137" spans="1:60" s="62" customFormat="1" ht="12.75">
      <c r="A137" s="62" t="s">
        <v>179</v>
      </c>
      <c r="B137" s="62" t="s">
        <v>249</v>
      </c>
      <c r="C137" s="62" t="s">
        <v>281</v>
      </c>
      <c r="D137" s="62" t="s">
        <v>14</v>
      </c>
      <c r="G137" s="59">
        <v>99.9999</v>
      </c>
      <c r="H137" s="59"/>
      <c r="I137" s="59">
        <v>99.9999</v>
      </c>
      <c r="J137" s="59"/>
      <c r="K137" s="59">
        <v>99.9999</v>
      </c>
      <c r="L137" s="59"/>
      <c r="M137" s="59">
        <v>99.9999</v>
      </c>
      <c r="N137" s="59"/>
      <c r="O137" s="59"/>
      <c r="P137" s="59"/>
      <c r="Q137" s="59"/>
      <c r="R137" s="59"/>
      <c r="S137" s="59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</row>
    <row r="138" spans="7:60" s="62" customFormat="1" ht="12.75"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</row>
    <row r="139" spans="2:60" s="62" customFormat="1" ht="12.75">
      <c r="B139" s="60" t="s">
        <v>98</v>
      </c>
      <c r="C139" s="62" t="s">
        <v>197</v>
      </c>
      <c r="D139" s="62" t="s">
        <v>277</v>
      </c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</row>
    <row r="140" spans="1:60" s="62" customFormat="1" ht="12.75">
      <c r="A140" s="62" t="s">
        <v>179</v>
      </c>
      <c r="B140" s="30" t="s">
        <v>93</v>
      </c>
      <c r="C140" s="30"/>
      <c r="D140" s="30" t="s">
        <v>16</v>
      </c>
      <c r="G140" s="59">
        <v>99992</v>
      </c>
      <c r="H140" s="59"/>
      <c r="I140" s="59">
        <v>96670</v>
      </c>
      <c r="J140" s="59"/>
      <c r="K140" s="59">
        <v>100595</v>
      </c>
      <c r="L140" s="59"/>
      <c r="M140" s="59">
        <v>100143</v>
      </c>
      <c r="N140" s="59"/>
      <c r="O140" s="59"/>
      <c r="P140" s="59"/>
      <c r="Q140" s="59"/>
      <c r="R140" s="59"/>
      <c r="S140" s="59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</row>
    <row r="141" spans="1:60" s="62" customFormat="1" ht="12.75">
      <c r="A141" s="62" t="s">
        <v>179</v>
      </c>
      <c r="B141" s="30" t="s">
        <v>95</v>
      </c>
      <c r="C141" s="30"/>
      <c r="D141" s="30" t="s">
        <v>14</v>
      </c>
      <c r="G141" s="59">
        <v>3.8</v>
      </c>
      <c r="H141" s="59"/>
      <c r="I141" s="59">
        <v>5</v>
      </c>
      <c r="J141" s="59"/>
      <c r="K141" s="59">
        <v>5.4</v>
      </c>
      <c r="L141" s="59"/>
      <c r="M141" s="59">
        <v>9.2</v>
      </c>
      <c r="N141" s="59"/>
      <c r="O141" s="59"/>
      <c r="P141" s="59"/>
      <c r="Q141" s="59"/>
      <c r="R141" s="59"/>
      <c r="S141" s="59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</row>
    <row r="142" spans="1:60" s="62" customFormat="1" ht="12.75">
      <c r="A142" s="62" t="s">
        <v>179</v>
      </c>
      <c r="B142" s="30" t="s">
        <v>96</v>
      </c>
      <c r="C142" s="30"/>
      <c r="D142" s="30" t="s">
        <v>14</v>
      </c>
      <c r="G142" s="59">
        <v>37.5</v>
      </c>
      <c r="H142" s="59"/>
      <c r="I142" s="59">
        <v>38</v>
      </c>
      <c r="J142" s="59"/>
      <c r="K142" s="59">
        <v>37.5</v>
      </c>
      <c r="L142" s="59"/>
      <c r="M142" s="59">
        <v>37.3</v>
      </c>
      <c r="N142" s="59"/>
      <c r="O142" s="59"/>
      <c r="P142" s="59"/>
      <c r="Q142" s="59"/>
      <c r="R142" s="59"/>
      <c r="S142" s="59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</row>
    <row r="143" spans="1:60" s="62" customFormat="1" ht="12.75">
      <c r="A143" s="62" t="s">
        <v>179</v>
      </c>
      <c r="B143" s="30" t="s">
        <v>92</v>
      </c>
      <c r="C143" s="30"/>
      <c r="D143" s="30" t="s">
        <v>18</v>
      </c>
      <c r="G143" s="59">
        <v>521</v>
      </c>
      <c r="H143" s="59"/>
      <c r="I143" s="59">
        <v>512</v>
      </c>
      <c r="J143" s="59"/>
      <c r="K143" s="59">
        <v>532</v>
      </c>
      <c r="L143" s="59"/>
      <c r="M143" s="59">
        <v>523</v>
      </c>
      <c r="N143" s="59"/>
      <c r="O143" s="59"/>
      <c r="P143" s="59"/>
      <c r="Q143" s="59"/>
      <c r="R143" s="59"/>
      <c r="S143" s="59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</row>
    <row r="144" spans="7:60" s="62" customFormat="1" ht="12.75"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</row>
    <row r="145" spans="2:60" s="62" customFormat="1" ht="12.75">
      <c r="B145" s="60" t="s">
        <v>98</v>
      </c>
      <c r="C145" s="62" t="s">
        <v>129</v>
      </c>
      <c r="D145" s="62" t="s">
        <v>279</v>
      </c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</row>
    <row r="146" spans="1:60" s="62" customFormat="1" ht="12.75">
      <c r="A146" s="62" t="s">
        <v>179</v>
      </c>
      <c r="B146" s="30" t="s">
        <v>93</v>
      </c>
      <c r="C146" s="30"/>
      <c r="D146" s="30" t="s">
        <v>16</v>
      </c>
      <c r="G146" s="59">
        <v>94990</v>
      </c>
      <c r="H146" s="59"/>
      <c r="I146" s="59">
        <v>95622</v>
      </c>
      <c r="J146" s="59"/>
      <c r="K146" s="59">
        <v>99391</v>
      </c>
      <c r="L146" s="59"/>
      <c r="M146" s="59">
        <v>98895</v>
      </c>
      <c r="N146" s="59"/>
      <c r="O146" s="59"/>
      <c r="P146" s="59"/>
      <c r="Q146" s="59"/>
      <c r="R146" s="59"/>
      <c r="S146" s="59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</row>
    <row r="147" spans="1:60" s="62" customFormat="1" ht="12.75">
      <c r="A147" s="62" t="s">
        <v>179</v>
      </c>
      <c r="B147" s="30" t="s">
        <v>95</v>
      </c>
      <c r="C147" s="30"/>
      <c r="D147" s="30" t="s">
        <v>14</v>
      </c>
      <c r="G147" s="59">
        <v>3.8</v>
      </c>
      <c r="H147" s="59"/>
      <c r="I147" s="59">
        <v>5</v>
      </c>
      <c r="J147" s="59"/>
      <c r="K147" s="59">
        <v>5.4</v>
      </c>
      <c r="L147" s="59"/>
      <c r="M147" s="59">
        <v>9.2</v>
      </c>
      <c r="N147" s="59"/>
      <c r="O147" s="59"/>
      <c r="P147" s="59"/>
      <c r="Q147" s="59"/>
      <c r="R147" s="59"/>
      <c r="S147" s="59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</row>
    <row r="148" spans="1:60" s="62" customFormat="1" ht="12.75">
      <c r="A148" s="62" t="s">
        <v>179</v>
      </c>
      <c r="B148" s="30" t="s">
        <v>96</v>
      </c>
      <c r="C148" s="30"/>
      <c r="D148" s="30" t="s">
        <v>14</v>
      </c>
      <c r="G148" s="59">
        <v>38.4</v>
      </c>
      <c r="H148" s="59"/>
      <c r="I148" s="59">
        <v>38.5</v>
      </c>
      <c r="J148" s="59"/>
      <c r="K148" s="59">
        <v>38.4</v>
      </c>
      <c r="L148" s="59"/>
      <c r="M148" s="59">
        <v>37.5</v>
      </c>
      <c r="N148" s="59"/>
      <c r="O148" s="59"/>
      <c r="P148" s="59"/>
      <c r="Q148" s="59"/>
      <c r="R148" s="59"/>
      <c r="S148" s="59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</row>
    <row r="149" spans="1:60" s="62" customFormat="1" ht="12.75">
      <c r="A149" s="62" t="s">
        <v>179</v>
      </c>
      <c r="B149" s="30" t="s">
        <v>92</v>
      </c>
      <c r="C149" s="30"/>
      <c r="D149" s="30" t="s">
        <v>18</v>
      </c>
      <c r="G149" s="59">
        <v>523</v>
      </c>
      <c r="H149" s="59"/>
      <c r="I149" s="59">
        <v>509</v>
      </c>
      <c r="J149" s="59"/>
      <c r="K149" s="59">
        <v>528</v>
      </c>
      <c r="L149" s="59"/>
      <c r="M149" s="59">
        <v>522</v>
      </c>
      <c r="N149" s="59"/>
      <c r="O149" s="59"/>
      <c r="P149" s="59"/>
      <c r="Q149" s="59"/>
      <c r="R149" s="59"/>
      <c r="S149" s="5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</row>
    <row r="150" spans="6:60" s="60" customFormat="1" ht="12.75">
      <c r="F150" s="59"/>
      <c r="H150" s="59"/>
      <c r="J150" s="59"/>
      <c r="L150" s="59"/>
      <c r="N150" s="59"/>
      <c r="P150" s="59"/>
      <c r="R150" s="59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</row>
    <row r="151" spans="2:60" s="60" customFormat="1" ht="12.75">
      <c r="B151" s="60" t="s">
        <v>98</v>
      </c>
      <c r="C151" s="62" t="s">
        <v>195</v>
      </c>
      <c r="D151" s="60" t="s">
        <v>280</v>
      </c>
      <c r="F151" s="59"/>
      <c r="H151" s="59"/>
      <c r="J151" s="59"/>
      <c r="L151" s="59"/>
      <c r="N151" s="59"/>
      <c r="P151" s="59"/>
      <c r="R151" s="59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</row>
    <row r="152" spans="1:60" s="62" customFormat="1" ht="12.75">
      <c r="A152" s="62" t="s">
        <v>179</v>
      </c>
      <c r="B152" s="30" t="s">
        <v>93</v>
      </c>
      <c r="C152" s="30"/>
      <c r="D152" s="30" t="s">
        <v>16</v>
      </c>
      <c r="G152" s="59">
        <v>99578</v>
      </c>
      <c r="H152" s="59"/>
      <c r="I152" s="59">
        <v>99114</v>
      </c>
      <c r="J152" s="59"/>
      <c r="K152" s="59">
        <v>100638</v>
      </c>
      <c r="L152" s="59"/>
      <c r="M152" s="59">
        <v>99990</v>
      </c>
      <c r="N152" s="59"/>
      <c r="O152" s="59"/>
      <c r="P152" s="59"/>
      <c r="Q152" s="59"/>
      <c r="R152" s="59"/>
      <c r="S152" s="59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</row>
    <row r="153" spans="1:60" s="62" customFormat="1" ht="12.75">
      <c r="A153" s="62" t="s">
        <v>179</v>
      </c>
      <c r="B153" s="30" t="s">
        <v>95</v>
      </c>
      <c r="C153" s="30"/>
      <c r="D153" s="30" t="s">
        <v>14</v>
      </c>
      <c r="G153" s="59">
        <v>3.8</v>
      </c>
      <c r="H153" s="59"/>
      <c r="I153" s="59">
        <v>5</v>
      </c>
      <c r="J153" s="59"/>
      <c r="K153" s="59">
        <v>5.4</v>
      </c>
      <c r="L153" s="59"/>
      <c r="M153" s="59">
        <v>9.2</v>
      </c>
      <c r="N153" s="59"/>
      <c r="O153" s="59"/>
      <c r="P153" s="59"/>
      <c r="Q153" s="59"/>
      <c r="R153" s="59"/>
      <c r="S153" s="59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</row>
    <row r="154" spans="1:60" s="62" customFormat="1" ht="12.75">
      <c r="A154" s="62" t="s">
        <v>179</v>
      </c>
      <c r="B154" s="30" t="s">
        <v>96</v>
      </c>
      <c r="C154" s="30"/>
      <c r="D154" s="30" t="s">
        <v>14</v>
      </c>
      <c r="G154" s="59">
        <v>38.4</v>
      </c>
      <c r="H154" s="59"/>
      <c r="I154" s="59">
        <v>38.5</v>
      </c>
      <c r="J154" s="59"/>
      <c r="K154" s="59">
        <v>38.4</v>
      </c>
      <c r="L154" s="59"/>
      <c r="M154" s="59">
        <v>37.5</v>
      </c>
      <c r="N154" s="59"/>
      <c r="O154" s="59"/>
      <c r="P154" s="59"/>
      <c r="Q154" s="59"/>
      <c r="R154" s="59"/>
      <c r="S154" s="59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</row>
    <row r="155" spans="1:60" s="62" customFormat="1" ht="12.75">
      <c r="A155" s="62" t="s">
        <v>179</v>
      </c>
      <c r="B155" s="30" t="s">
        <v>92</v>
      </c>
      <c r="C155" s="30"/>
      <c r="D155" s="30" t="s">
        <v>18</v>
      </c>
      <c r="G155" s="59">
        <v>521</v>
      </c>
      <c r="H155" s="59"/>
      <c r="I155" s="59">
        <v>512</v>
      </c>
      <c r="J155" s="59"/>
      <c r="K155" s="59">
        <v>529</v>
      </c>
      <c r="L155" s="59"/>
      <c r="M155" s="59">
        <v>520</v>
      </c>
      <c r="N155" s="59"/>
      <c r="O155" s="59"/>
      <c r="P155" s="59"/>
      <c r="Q155" s="59"/>
      <c r="R155" s="59"/>
      <c r="S155" s="59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</row>
    <row r="156" spans="7:60" s="62" customFormat="1" ht="12.75"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</row>
    <row r="157" spans="2:60" s="62" customFormat="1" ht="12.75">
      <c r="B157" s="60" t="s">
        <v>98</v>
      </c>
      <c r="C157" s="62" t="s">
        <v>198</v>
      </c>
      <c r="D157" s="62" t="s">
        <v>281</v>
      </c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</row>
    <row r="158" spans="1:60" s="62" customFormat="1" ht="12.75">
      <c r="A158" s="62" t="s">
        <v>179</v>
      </c>
      <c r="B158" s="30" t="s">
        <v>93</v>
      </c>
      <c r="C158" s="30"/>
      <c r="D158" s="30" t="s">
        <v>16</v>
      </c>
      <c r="G158" s="59">
        <v>92071</v>
      </c>
      <c r="H158" s="59"/>
      <c r="I158" s="59">
        <v>92107</v>
      </c>
      <c r="J158" s="59"/>
      <c r="K158" s="59">
        <v>94527</v>
      </c>
      <c r="L158" s="59"/>
      <c r="M158" s="59">
        <v>93273</v>
      </c>
      <c r="N158" s="59"/>
      <c r="O158" s="59"/>
      <c r="P158" s="59"/>
      <c r="Q158" s="59"/>
      <c r="R158" s="59"/>
      <c r="S158" s="59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</row>
    <row r="159" spans="1:60" s="62" customFormat="1" ht="12.75">
      <c r="A159" s="62" t="s">
        <v>179</v>
      </c>
      <c r="B159" s="30" t="s">
        <v>95</v>
      </c>
      <c r="C159" s="30"/>
      <c r="D159" s="30" t="s">
        <v>14</v>
      </c>
      <c r="G159" s="59">
        <v>3.8</v>
      </c>
      <c r="H159" s="59"/>
      <c r="I159" s="59">
        <v>5</v>
      </c>
      <c r="J159" s="59"/>
      <c r="K159" s="59">
        <v>5.4</v>
      </c>
      <c r="L159" s="59"/>
      <c r="M159" s="59">
        <v>9.2</v>
      </c>
      <c r="N159" s="59"/>
      <c r="O159" s="59"/>
      <c r="P159" s="59"/>
      <c r="Q159" s="59"/>
      <c r="R159" s="59"/>
      <c r="S159" s="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</row>
    <row r="160" spans="1:60" s="62" customFormat="1" ht="12.75">
      <c r="A160" s="62" t="s">
        <v>179</v>
      </c>
      <c r="B160" s="30" t="s">
        <v>96</v>
      </c>
      <c r="C160" s="30"/>
      <c r="D160" s="30" t="s">
        <v>14</v>
      </c>
      <c r="G160" s="59">
        <v>42.1</v>
      </c>
      <c r="H160" s="59"/>
      <c r="I160" s="59">
        <v>40.8</v>
      </c>
      <c r="J160" s="59"/>
      <c r="K160" s="59">
        <v>41.2</v>
      </c>
      <c r="L160" s="59"/>
      <c r="M160" s="59">
        <v>42.3</v>
      </c>
      <c r="N160" s="59"/>
      <c r="O160" s="59"/>
      <c r="P160" s="59"/>
      <c r="Q160" s="59"/>
      <c r="R160" s="59"/>
      <c r="S160" s="59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</row>
    <row r="161" spans="1:60" s="62" customFormat="1" ht="12.75">
      <c r="A161" s="62" t="s">
        <v>179</v>
      </c>
      <c r="B161" s="30" t="s">
        <v>92</v>
      </c>
      <c r="C161" s="30"/>
      <c r="D161" s="30" t="s">
        <v>18</v>
      </c>
      <c r="G161" s="59">
        <v>533</v>
      </c>
      <c r="H161" s="59"/>
      <c r="I161" s="59">
        <v>527</v>
      </c>
      <c r="J161" s="59"/>
      <c r="K161" s="59">
        <v>543</v>
      </c>
      <c r="L161" s="59"/>
      <c r="M161" s="59">
        <v>525</v>
      </c>
      <c r="N161" s="59"/>
      <c r="O161" s="59"/>
      <c r="P161" s="59"/>
      <c r="Q161" s="59"/>
      <c r="R161" s="59"/>
      <c r="S161" s="59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</row>
    <row r="162" spans="6:60" s="60" customFormat="1" ht="12.75">
      <c r="F162" s="59"/>
      <c r="H162" s="59"/>
      <c r="J162" s="59"/>
      <c r="L162" s="59"/>
      <c r="N162" s="59"/>
      <c r="P162" s="59"/>
      <c r="R162" s="59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</row>
    <row r="163" spans="2:60" s="60" customFormat="1" ht="12.75">
      <c r="B163" s="63" t="s">
        <v>181</v>
      </c>
      <c r="F163" s="59"/>
      <c r="G163" s="3" t="s">
        <v>140</v>
      </c>
      <c r="H163" s="3"/>
      <c r="I163" s="3" t="s">
        <v>141</v>
      </c>
      <c r="J163" s="3"/>
      <c r="K163" s="3" t="s">
        <v>142</v>
      </c>
      <c r="L163" s="3"/>
      <c r="M163" s="3" t="s">
        <v>143</v>
      </c>
      <c r="N163" s="3"/>
      <c r="O163" s="3" t="s">
        <v>154</v>
      </c>
      <c r="P163" s="3"/>
      <c r="Q163" s="3" t="s">
        <v>153</v>
      </c>
      <c r="R163" s="3"/>
      <c r="S163" s="3" t="s">
        <v>71</v>
      </c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</row>
    <row r="164" spans="6:60" s="60" customFormat="1" ht="12.75">
      <c r="F164" s="59"/>
      <c r="H164" s="59"/>
      <c r="J164" s="59"/>
      <c r="L164" s="59"/>
      <c r="N164" s="59"/>
      <c r="P164" s="59"/>
      <c r="R164" s="59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</row>
    <row r="165" spans="1:60" s="58" customFormat="1" ht="12.75">
      <c r="A165" s="58" t="s">
        <v>181</v>
      </c>
      <c r="B165" s="58" t="s">
        <v>19</v>
      </c>
      <c r="C165" s="58" t="s">
        <v>277</v>
      </c>
      <c r="D165" s="58" t="s">
        <v>20</v>
      </c>
      <c r="F165" s="59" t="s">
        <v>193</v>
      </c>
      <c r="G165" s="58">
        <v>0.026181322311737</v>
      </c>
      <c r="H165" s="59" t="s">
        <v>193</v>
      </c>
      <c r="I165" s="58">
        <v>0.005363534779140572</v>
      </c>
      <c r="J165" s="59" t="s">
        <v>193</v>
      </c>
      <c r="K165" s="58">
        <v>0.008181663222417822</v>
      </c>
      <c r="L165" s="59" t="s">
        <v>193</v>
      </c>
      <c r="M165" s="58">
        <v>0.0063635158396583</v>
      </c>
      <c r="N165" s="59" t="s">
        <v>193</v>
      </c>
      <c r="P165" s="59" t="s">
        <v>193</v>
      </c>
      <c r="R165" s="59" t="s">
        <v>193</v>
      </c>
      <c r="S165" s="64">
        <f>AVERAGE(G165,I165,K165,M165,O165,Q165)</f>
        <v>0.011522509038238423</v>
      </c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</row>
    <row r="166" spans="7:60" s="62" customFormat="1" ht="12.75"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</row>
    <row r="167" spans="2:60" s="62" customFormat="1" ht="12.75">
      <c r="B167" s="60" t="s">
        <v>98</v>
      </c>
      <c r="C167" s="62" t="s">
        <v>197</v>
      </c>
      <c r="D167" s="62" t="s">
        <v>277</v>
      </c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</row>
    <row r="168" spans="1:60" s="62" customFormat="1" ht="12.75">
      <c r="A168" s="62" t="s">
        <v>181</v>
      </c>
      <c r="B168" s="30" t="s">
        <v>93</v>
      </c>
      <c r="C168" s="30"/>
      <c r="D168" s="30" t="s">
        <v>16</v>
      </c>
      <c r="G168" s="59">
        <v>97692</v>
      </c>
      <c r="H168" s="59"/>
      <c r="I168" s="59">
        <v>87803</v>
      </c>
      <c r="J168" s="59"/>
      <c r="K168" s="59">
        <v>99278</v>
      </c>
      <c r="L168" s="59"/>
      <c r="M168" s="59">
        <v>89445</v>
      </c>
      <c r="N168" s="59"/>
      <c r="O168" s="59"/>
      <c r="P168" s="59"/>
      <c r="Q168" s="59"/>
      <c r="R168" s="59"/>
      <c r="S168" s="59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</row>
    <row r="169" spans="1:60" s="62" customFormat="1" ht="12.75">
      <c r="A169" s="62" t="s">
        <v>181</v>
      </c>
      <c r="B169" s="30" t="s">
        <v>95</v>
      </c>
      <c r="C169" s="30"/>
      <c r="D169" s="30" t="s">
        <v>14</v>
      </c>
      <c r="G169" s="59">
        <v>5.599555555555555</v>
      </c>
      <c r="H169" s="59"/>
      <c r="I169" s="59">
        <v>5.599555555555555</v>
      </c>
      <c r="J169" s="59"/>
      <c r="K169" s="59">
        <v>5.599555555555555</v>
      </c>
      <c r="L169" s="59"/>
      <c r="M169" s="59">
        <v>5.599555555555555</v>
      </c>
      <c r="N169" s="59"/>
      <c r="O169" s="59"/>
      <c r="P169" s="59"/>
      <c r="Q169" s="59"/>
      <c r="R169" s="59"/>
      <c r="S169" s="5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</row>
    <row r="170" spans="1:60" s="62" customFormat="1" ht="12.75">
      <c r="A170" s="62" t="s">
        <v>181</v>
      </c>
      <c r="B170" s="30" t="s">
        <v>96</v>
      </c>
      <c r="C170" s="30"/>
      <c r="D170" s="30" t="s">
        <v>14</v>
      </c>
      <c r="G170" s="59">
        <v>39.2</v>
      </c>
      <c r="H170" s="59"/>
      <c r="I170" s="59">
        <v>42.8</v>
      </c>
      <c r="J170" s="59"/>
      <c r="K170" s="59">
        <v>37.8</v>
      </c>
      <c r="L170" s="59"/>
      <c r="M170" s="59">
        <v>40.7</v>
      </c>
      <c r="N170" s="59"/>
      <c r="O170" s="59"/>
      <c r="P170" s="59"/>
      <c r="Q170" s="59"/>
      <c r="R170" s="59"/>
      <c r="S170" s="59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</row>
    <row r="171" spans="1:60" s="62" customFormat="1" ht="12.75">
      <c r="A171" s="62" t="s">
        <v>181</v>
      </c>
      <c r="B171" s="30" t="s">
        <v>92</v>
      </c>
      <c r="C171" s="30"/>
      <c r="D171" s="30" t="s">
        <v>18</v>
      </c>
      <c r="G171" s="59">
        <v>472</v>
      </c>
      <c r="H171" s="59"/>
      <c r="I171" s="59">
        <v>471</v>
      </c>
      <c r="J171" s="59"/>
      <c r="K171" s="59">
        <v>462</v>
      </c>
      <c r="L171" s="59"/>
      <c r="M171" s="59">
        <v>434</v>
      </c>
      <c r="N171" s="59"/>
      <c r="O171" s="59"/>
      <c r="P171" s="59"/>
      <c r="Q171" s="59"/>
      <c r="R171" s="59"/>
      <c r="S171" s="59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</row>
    <row r="172" spans="6:60" s="58" customFormat="1" ht="12.75">
      <c r="F172" s="59"/>
      <c r="H172" s="59"/>
      <c r="J172" s="59"/>
      <c r="L172" s="59"/>
      <c r="N172" s="59"/>
      <c r="P172" s="59"/>
      <c r="R172" s="59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</row>
    <row r="173" spans="2:60" s="58" customFormat="1" ht="12.75">
      <c r="B173" s="60" t="s">
        <v>98</v>
      </c>
      <c r="C173" s="62" t="s">
        <v>196</v>
      </c>
      <c r="D173" s="58" t="s">
        <v>279</v>
      </c>
      <c r="F173" s="59"/>
      <c r="H173" s="59"/>
      <c r="J173" s="59"/>
      <c r="L173" s="59"/>
      <c r="N173" s="59"/>
      <c r="P173" s="59"/>
      <c r="R173" s="59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</row>
    <row r="174" spans="1:60" s="62" customFormat="1" ht="12.75">
      <c r="A174" s="62" t="s">
        <v>181</v>
      </c>
      <c r="B174" s="30" t="s">
        <v>93</v>
      </c>
      <c r="C174" s="30"/>
      <c r="D174" s="30" t="s">
        <v>16</v>
      </c>
      <c r="G174" s="59">
        <v>98012</v>
      </c>
      <c r="H174" s="59"/>
      <c r="I174" s="59">
        <v>101091</v>
      </c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</row>
    <row r="175" spans="1:60" s="62" customFormat="1" ht="12.75">
      <c r="A175" s="62" t="s">
        <v>181</v>
      </c>
      <c r="B175" s="30" t="s">
        <v>95</v>
      </c>
      <c r="C175" s="30"/>
      <c r="D175" s="30" t="s">
        <v>14</v>
      </c>
      <c r="G175" s="59">
        <v>5.599555555555555</v>
      </c>
      <c r="H175" s="59"/>
      <c r="I175" s="59">
        <v>5.599555555555555</v>
      </c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</row>
    <row r="176" spans="1:60" s="62" customFormat="1" ht="12.75">
      <c r="A176" s="62" t="s">
        <v>181</v>
      </c>
      <c r="B176" s="30" t="s">
        <v>96</v>
      </c>
      <c r="C176" s="30"/>
      <c r="D176" s="30" t="s">
        <v>14</v>
      </c>
      <c r="G176" s="59">
        <v>38.4</v>
      </c>
      <c r="H176" s="59"/>
      <c r="I176" s="59">
        <v>38.9</v>
      </c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</row>
    <row r="177" spans="1:60" s="62" customFormat="1" ht="12.75">
      <c r="A177" s="62" t="s">
        <v>181</v>
      </c>
      <c r="B177" s="30" t="s">
        <v>92</v>
      </c>
      <c r="C177" s="30"/>
      <c r="D177" s="30" t="s">
        <v>18</v>
      </c>
      <c r="G177" s="59">
        <v>472</v>
      </c>
      <c r="H177" s="59"/>
      <c r="I177" s="59">
        <v>466</v>
      </c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</row>
    <row r="178" spans="6:60" s="58" customFormat="1" ht="12.75">
      <c r="F178" s="59"/>
      <c r="H178" s="59"/>
      <c r="J178" s="59"/>
      <c r="L178" s="59"/>
      <c r="N178" s="59"/>
      <c r="P178" s="59"/>
      <c r="R178" s="59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</row>
    <row r="179" spans="2:60" s="58" customFormat="1" ht="12.75">
      <c r="B179" s="65" t="s">
        <v>183</v>
      </c>
      <c r="F179" s="59"/>
      <c r="G179" s="3" t="s">
        <v>140</v>
      </c>
      <c r="H179" s="3"/>
      <c r="I179" s="3" t="s">
        <v>141</v>
      </c>
      <c r="J179" s="3"/>
      <c r="K179" s="3" t="s">
        <v>142</v>
      </c>
      <c r="L179" s="3"/>
      <c r="M179" s="3" t="s">
        <v>143</v>
      </c>
      <c r="N179" s="3"/>
      <c r="O179" s="3" t="s">
        <v>154</v>
      </c>
      <c r="P179" s="3"/>
      <c r="Q179" s="3" t="s">
        <v>153</v>
      </c>
      <c r="R179" s="3"/>
      <c r="S179" s="3" t="s">
        <v>71</v>
      </c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</row>
    <row r="180" spans="6:60" s="58" customFormat="1" ht="12.75">
      <c r="F180" s="59"/>
      <c r="H180" s="59"/>
      <c r="J180" s="59"/>
      <c r="L180" s="59"/>
      <c r="N180" s="59"/>
      <c r="P180" s="59"/>
      <c r="R180" s="59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</row>
    <row r="181" spans="2:60" s="58" customFormat="1" ht="12.75">
      <c r="B181" s="60" t="s">
        <v>98</v>
      </c>
      <c r="C181" s="62" t="s">
        <v>196</v>
      </c>
      <c r="D181" s="58" t="s">
        <v>277</v>
      </c>
      <c r="F181" s="59"/>
      <c r="H181" s="59"/>
      <c r="J181" s="59"/>
      <c r="L181" s="59"/>
      <c r="N181" s="59"/>
      <c r="P181" s="59"/>
      <c r="R181" s="59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</row>
    <row r="182" spans="1:60" s="62" customFormat="1" ht="12.75">
      <c r="A182" s="62" t="s">
        <v>183</v>
      </c>
      <c r="B182" s="30" t="s">
        <v>93</v>
      </c>
      <c r="C182" s="30"/>
      <c r="D182" s="30" t="s">
        <v>16</v>
      </c>
      <c r="G182" s="59">
        <v>86403.57</v>
      </c>
      <c r="H182" s="59"/>
      <c r="I182" s="59">
        <v>88663.41</v>
      </c>
      <c r="J182" s="59"/>
      <c r="K182" s="59">
        <v>90040.5</v>
      </c>
      <c r="L182" s="59"/>
      <c r="M182" s="59">
        <v>90146.43</v>
      </c>
      <c r="N182" s="59"/>
      <c r="O182" s="59">
        <v>90534.84</v>
      </c>
      <c r="P182" s="59"/>
      <c r="Q182" s="59"/>
      <c r="R182" s="59"/>
      <c r="S182" s="59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</row>
    <row r="183" spans="1:60" s="62" customFormat="1" ht="12.75">
      <c r="A183" s="62" t="s">
        <v>183</v>
      </c>
      <c r="B183" s="30" t="s">
        <v>95</v>
      </c>
      <c r="C183" s="30"/>
      <c r="D183" s="30" t="s">
        <v>14</v>
      </c>
      <c r="G183" s="59">
        <v>6.34</v>
      </c>
      <c r="H183" s="59"/>
      <c r="I183" s="59">
        <v>5.72</v>
      </c>
      <c r="J183" s="59"/>
      <c r="K183" s="59">
        <v>6.054</v>
      </c>
      <c r="L183" s="59"/>
      <c r="M183" s="59">
        <v>7.388</v>
      </c>
      <c r="N183" s="59"/>
      <c r="O183" s="59">
        <v>6.786</v>
      </c>
      <c r="P183" s="59"/>
      <c r="Q183" s="59"/>
      <c r="R183" s="59"/>
      <c r="S183" s="59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</row>
    <row r="184" spans="1:60" s="62" customFormat="1" ht="12.75">
      <c r="A184" s="62" t="s">
        <v>183</v>
      </c>
      <c r="B184" s="30" t="s">
        <v>96</v>
      </c>
      <c r="C184" s="30"/>
      <c r="D184" s="30" t="s">
        <v>14</v>
      </c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</row>
    <row r="185" spans="1:60" s="62" customFormat="1" ht="12.75">
      <c r="A185" s="62" t="s">
        <v>183</v>
      </c>
      <c r="B185" s="30" t="s">
        <v>92</v>
      </c>
      <c r="C185" s="30"/>
      <c r="D185" s="30" t="s">
        <v>18</v>
      </c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</row>
    <row r="186" spans="7:60" s="62" customFormat="1" ht="12.75"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</row>
    <row r="187" spans="2:60" s="62" customFormat="1" ht="12.75">
      <c r="B187" s="29" t="s">
        <v>189</v>
      </c>
      <c r="G187" s="3" t="s">
        <v>140</v>
      </c>
      <c r="H187" s="3"/>
      <c r="I187" s="3" t="s">
        <v>141</v>
      </c>
      <c r="J187" s="3"/>
      <c r="K187" s="3" t="s">
        <v>142</v>
      </c>
      <c r="L187" s="3"/>
      <c r="M187" s="3" t="s">
        <v>143</v>
      </c>
      <c r="N187" s="3"/>
      <c r="O187" s="3" t="s">
        <v>154</v>
      </c>
      <c r="P187" s="3"/>
      <c r="Q187" s="3" t="s">
        <v>153</v>
      </c>
      <c r="R187" s="3"/>
      <c r="S187" s="3" t="s">
        <v>71</v>
      </c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</row>
    <row r="188" spans="6:60" s="58" customFormat="1" ht="12.75">
      <c r="F188" s="59"/>
      <c r="H188" s="59"/>
      <c r="J188" s="59"/>
      <c r="L188" s="59"/>
      <c r="N188" s="59"/>
      <c r="P188" s="59"/>
      <c r="R188" s="59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</row>
    <row r="189" spans="1:60" s="60" customFormat="1" ht="12.75">
      <c r="A189" s="60" t="s">
        <v>189</v>
      </c>
      <c r="B189" s="60" t="s">
        <v>131</v>
      </c>
      <c r="C189" s="60" t="s">
        <v>277</v>
      </c>
      <c r="D189" s="60" t="s">
        <v>66</v>
      </c>
      <c r="F189" s="59" t="s">
        <v>193</v>
      </c>
      <c r="G189" s="60">
        <v>241.5</v>
      </c>
      <c r="H189" s="59" t="s">
        <v>193</v>
      </c>
      <c r="I189" s="60">
        <v>440.56497175141243</v>
      </c>
      <c r="J189" s="59" t="s">
        <v>193</v>
      </c>
      <c r="L189" s="59" t="s">
        <v>193</v>
      </c>
      <c r="N189" s="59" t="s">
        <v>193</v>
      </c>
      <c r="P189" s="59" t="s">
        <v>193</v>
      </c>
      <c r="R189" s="59" t="s">
        <v>193</v>
      </c>
      <c r="S189" s="60">
        <f>AVERAGE(G189,I189)</f>
        <v>341.03248587570624</v>
      </c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</row>
    <row r="190" spans="1:60" s="60" customFormat="1" ht="12.75">
      <c r="A190" s="60" t="s">
        <v>189</v>
      </c>
      <c r="B190" s="60" t="s">
        <v>97</v>
      </c>
      <c r="C190" s="60" t="s">
        <v>277</v>
      </c>
      <c r="D190" s="60" t="s">
        <v>66</v>
      </c>
      <c r="F190" s="59" t="s">
        <v>193</v>
      </c>
      <c r="G190" s="60">
        <v>199.5</v>
      </c>
      <c r="H190" s="59" t="s">
        <v>193</v>
      </c>
      <c r="I190" s="60">
        <v>307.68361581921</v>
      </c>
      <c r="J190" s="59" t="s">
        <v>193</v>
      </c>
      <c r="L190" s="59" t="s">
        <v>193</v>
      </c>
      <c r="N190" s="59" t="s">
        <v>193</v>
      </c>
      <c r="P190" s="59" t="s">
        <v>193</v>
      </c>
      <c r="R190" s="59" t="s">
        <v>193</v>
      </c>
      <c r="S190" s="60">
        <f>AVERAGE(G190,I190)</f>
        <v>253.591807909605</v>
      </c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</row>
    <row r="191" spans="1:60" s="60" customFormat="1" ht="12.75">
      <c r="A191" s="60" t="s">
        <v>189</v>
      </c>
      <c r="B191" s="60" t="s">
        <v>133</v>
      </c>
      <c r="C191" s="60" t="s">
        <v>277</v>
      </c>
      <c r="D191" s="60" t="s">
        <v>66</v>
      </c>
      <c r="F191" s="59" t="s">
        <v>193</v>
      </c>
      <c r="G191" s="60">
        <v>4.8125</v>
      </c>
      <c r="H191" s="59" t="s">
        <v>193</v>
      </c>
      <c r="I191" s="60">
        <v>7.909604519774012</v>
      </c>
      <c r="J191" s="59" t="s">
        <v>193</v>
      </c>
      <c r="L191" s="59" t="s">
        <v>193</v>
      </c>
      <c r="N191" s="59" t="s">
        <v>193</v>
      </c>
      <c r="P191" s="59" t="s">
        <v>193</v>
      </c>
      <c r="R191" s="59" t="s">
        <v>193</v>
      </c>
      <c r="S191" s="60">
        <f>AVERAGE(G191,I191)</f>
        <v>6.361052259887006</v>
      </c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</row>
    <row r="192" spans="1:60" s="60" customFormat="1" ht="12.75">
      <c r="A192" s="60" t="s">
        <v>189</v>
      </c>
      <c r="B192" s="60" t="s">
        <v>132</v>
      </c>
      <c r="C192" s="60" t="s">
        <v>277</v>
      </c>
      <c r="D192" s="60" t="s">
        <v>66</v>
      </c>
      <c r="F192" s="59" t="s">
        <v>193</v>
      </c>
      <c r="G192" s="60">
        <v>3.9375</v>
      </c>
      <c r="H192" s="59" t="s">
        <v>193</v>
      </c>
      <c r="I192" s="60">
        <v>5.7740112994350286</v>
      </c>
      <c r="J192" s="59" t="s">
        <v>193</v>
      </c>
      <c r="L192" s="59" t="s">
        <v>193</v>
      </c>
      <c r="N192" s="59" t="s">
        <v>193</v>
      </c>
      <c r="P192" s="59" t="s">
        <v>193</v>
      </c>
      <c r="R192" s="59" t="s">
        <v>193</v>
      </c>
      <c r="S192" s="60">
        <f>AVERAGE(G192,I192)</f>
        <v>4.855755649717514</v>
      </c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</row>
    <row r="195" spans="2:4" ht="12.75">
      <c r="B195" s="60" t="s">
        <v>98</v>
      </c>
      <c r="C195" s="62" t="s">
        <v>196</v>
      </c>
      <c r="D195" s="60" t="s">
        <v>277</v>
      </c>
    </row>
    <row r="196" spans="1:60" s="62" customFormat="1" ht="12.75">
      <c r="A196" s="62" t="s">
        <v>189</v>
      </c>
      <c r="B196" s="30" t="s">
        <v>93</v>
      </c>
      <c r="C196" s="30"/>
      <c r="D196" s="30" t="s">
        <v>16</v>
      </c>
      <c r="G196" s="59">
        <v>92590</v>
      </c>
      <c r="H196" s="59"/>
      <c r="I196" s="59">
        <v>95045</v>
      </c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</row>
    <row r="197" spans="1:60" s="62" customFormat="1" ht="12.75">
      <c r="A197" s="62" t="s">
        <v>189</v>
      </c>
      <c r="B197" s="30" t="s">
        <v>95</v>
      </c>
      <c r="C197" s="30"/>
      <c r="D197" s="30" t="s">
        <v>14</v>
      </c>
      <c r="G197" s="59">
        <v>5</v>
      </c>
      <c r="H197" s="59"/>
      <c r="I197" s="59">
        <v>3.3</v>
      </c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</row>
    <row r="198" spans="1:60" s="62" customFormat="1" ht="12.75">
      <c r="A198" s="62" t="s">
        <v>189</v>
      </c>
      <c r="B198" s="30" t="s">
        <v>96</v>
      </c>
      <c r="C198" s="30"/>
      <c r="D198" s="30" t="s">
        <v>14</v>
      </c>
      <c r="G198" s="59">
        <v>37.5</v>
      </c>
      <c r="H198" s="59"/>
      <c r="I198" s="59">
        <v>37.7</v>
      </c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</row>
    <row r="199" spans="1:60" s="62" customFormat="1" ht="12.75">
      <c r="A199" s="62" t="s">
        <v>189</v>
      </c>
      <c r="B199" s="30" t="s">
        <v>92</v>
      </c>
      <c r="C199" s="30"/>
      <c r="D199" s="30" t="s">
        <v>18</v>
      </c>
      <c r="G199" s="59">
        <v>490.6</v>
      </c>
      <c r="H199" s="59"/>
      <c r="I199" s="59">
        <v>487.5</v>
      </c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</row>
    <row r="201" spans="2:19" ht="12.75">
      <c r="B201" s="2" t="s">
        <v>191</v>
      </c>
      <c r="G201" s="3" t="s">
        <v>140</v>
      </c>
      <c r="H201" s="3"/>
      <c r="I201" s="3" t="s">
        <v>141</v>
      </c>
      <c r="J201" s="3"/>
      <c r="K201" s="3" t="s">
        <v>142</v>
      </c>
      <c r="L201" s="3"/>
      <c r="M201" s="3" t="s">
        <v>143</v>
      </c>
      <c r="N201" s="3"/>
      <c r="O201" s="3" t="s">
        <v>154</v>
      </c>
      <c r="P201" s="3"/>
      <c r="Q201" s="3" t="s">
        <v>153</v>
      </c>
      <c r="R201" s="3"/>
      <c r="S201" s="3" t="s">
        <v>71</v>
      </c>
    </row>
    <row r="203" spans="1:60" s="60" customFormat="1" ht="12.75">
      <c r="A203" s="60" t="s">
        <v>191</v>
      </c>
      <c r="B203" s="60" t="s">
        <v>131</v>
      </c>
      <c r="C203" s="60" t="s">
        <v>277</v>
      </c>
      <c r="D203" s="60" t="s">
        <v>66</v>
      </c>
      <c r="F203" s="59" t="s">
        <v>193</v>
      </c>
      <c r="G203" s="60">
        <v>371.9018404907975</v>
      </c>
      <c r="H203" s="59" t="s">
        <v>193</v>
      </c>
      <c r="I203" s="60">
        <v>477.48344370861</v>
      </c>
      <c r="J203" s="59" t="s">
        <v>193</v>
      </c>
      <c r="L203" s="59" t="s">
        <v>193</v>
      </c>
      <c r="N203" s="59" t="s">
        <v>193</v>
      </c>
      <c r="P203" s="59" t="s">
        <v>193</v>
      </c>
      <c r="R203" s="59" t="s">
        <v>193</v>
      </c>
      <c r="S203" s="60">
        <f>AVERAGE(G203,I203)</f>
        <v>424.6926420997038</v>
      </c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</row>
    <row r="204" spans="1:60" s="60" customFormat="1" ht="12.75">
      <c r="A204" s="60" t="s">
        <v>191</v>
      </c>
      <c r="B204" s="60" t="s">
        <v>97</v>
      </c>
      <c r="C204" s="60" t="s">
        <v>277</v>
      </c>
      <c r="D204" s="60" t="s">
        <v>66</v>
      </c>
      <c r="F204" s="59" t="s">
        <v>193</v>
      </c>
      <c r="G204" s="60">
        <v>255.95092024539875</v>
      </c>
      <c r="H204" s="59" t="s">
        <v>193</v>
      </c>
      <c r="I204" s="60">
        <v>267.94701986755</v>
      </c>
      <c r="J204" s="59" t="s">
        <v>193</v>
      </c>
      <c r="L204" s="59" t="s">
        <v>193</v>
      </c>
      <c r="N204" s="59" t="s">
        <v>193</v>
      </c>
      <c r="P204" s="59" t="s">
        <v>193</v>
      </c>
      <c r="R204" s="59" t="s">
        <v>193</v>
      </c>
      <c r="S204" s="60">
        <f>AVERAGE(G204,I204)</f>
        <v>261.94897005647437</v>
      </c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</row>
    <row r="205" spans="1:60" s="60" customFormat="1" ht="12.75">
      <c r="A205" s="60" t="s">
        <v>191</v>
      </c>
      <c r="B205" s="60" t="s">
        <v>133</v>
      </c>
      <c r="C205" s="60" t="s">
        <v>277</v>
      </c>
      <c r="D205" s="60" t="s">
        <v>66</v>
      </c>
      <c r="F205" s="59" t="s">
        <v>193</v>
      </c>
      <c r="G205" s="60">
        <v>8.159509202453988</v>
      </c>
      <c r="H205" s="59" t="s">
        <v>193</v>
      </c>
      <c r="I205" s="60">
        <v>13.629139072847682</v>
      </c>
      <c r="J205" s="59" t="s">
        <v>193</v>
      </c>
      <c r="L205" s="59" t="s">
        <v>193</v>
      </c>
      <c r="N205" s="59" t="s">
        <v>193</v>
      </c>
      <c r="P205" s="59" t="s">
        <v>193</v>
      </c>
      <c r="R205" s="59" t="s">
        <v>193</v>
      </c>
      <c r="S205" s="60">
        <f>AVERAGE(G205,I205)</f>
        <v>10.894324137650834</v>
      </c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</row>
    <row r="206" spans="1:60" s="60" customFormat="1" ht="12.75">
      <c r="A206" s="60" t="s">
        <v>191</v>
      </c>
      <c r="B206" s="60" t="s">
        <v>132</v>
      </c>
      <c r="C206" s="60" t="s">
        <v>277</v>
      </c>
      <c r="D206" s="60" t="s">
        <v>66</v>
      </c>
      <c r="F206" s="59" t="s">
        <v>193</v>
      </c>
      <c r="G206" s="60">
        <v>6.699386503067484</v>
      </c>
      <c r="H206" s="59" t="s">
        <v>193</v>
      </c>
      <c r="I206" s="60">
        <v>9.827814569536425</v>
      </c>
      <c r="J206" s="59" t="s">
        <v>193</v>
      </c>
      <c r="L206" s="59" t="s">
        <v>193</v>
      </c>
      <c r="N206" s="59" t="s">
        <v>193</v>
      </c>
      <c r="P206" s="59" t="s">
        <v>193</v>
      </c>
      <c r="R206" s="59" t="s">
        <v>193</v>
      </c>
      <c r="S206" s="60">
        <f>AVERAGE(G206,I206)</f>
        <v>8.263600536301954</v>
      </c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</row>
    <row r="208" spans="2:4" ht="12.75">
      <c r="B208" s="60" t="s">
        <v>98</v>
      </c>
      <c r="C208" s="62" t="s">
        <v>196</v>
      </c>
      <c r="D208" s="60" t="s">
        <v>277</v>
      </c>
    </row>
    <row r="209" spans="1:60" s="62" customFormat="1" ht="12.75">
      <c r="A209" s="62" t="s">
        <v>191</v>
      </c>
      <c r="B209" s="30" t="s">
        <v>93</v>
      </c>
      <c r="C209" s="30"/>
      <c r="D209" s="30" t="s">
        <v>16</v>
      </c>
      <c r="G209" s="59">
        <v>96965</v>
      </c>
      <c r="H209" s="59"/>
      <c r="I209" s="59">
        <v>95309</v>
      </c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</row>
    <row r="210" spans="1:60" s="62" customFormat="1" ht="12.75">
      <c r="A210" s="62" t="s">
        <v>191</v>
      </c>
      <c r="B210" s="30" t="s">
        <v>95</v>
      </c>
      <c r="C210" s="30"/>
      <c r="D210" s="30" t="s">
        <v>14</v>
      </c>
      <c r="G210" s="59">
        <v>4.7</v>
      </c>
      <c r="H210" s="59"/>
      <c r="I210" s="59">
        <v>5.9</v>
      </c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</row>
    <row r="211" spans="1:60" s="62" customFormat="1" ht="12.75">
      <c r="A211" s="62" t="s">
        <v>191</v>
      </c>
      <c r="B211" s="30" t="s">
        <v>96</v>
      </c>
      <c r="C211" s="30"/>
      <c r="D211" s="30" t="s">
        <v>14</v>
      </c>
      <c r="G211" s="59">
        <v>37.8</v>
      </c>
      <c r="H211" s="59"/>
      <c r="I211" s="59">
        <v>38.3</v>
      </c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</row>
    <row r="212" spans="1:60" s="62" customFormat="1" ht="12.75">
      <c r="A212" s="62" t="s">
        <v>191</v>
      </c>
      <c r="B212" s="30" t="s">
        <v>92</v>
      </c>
      <c r="C212" s="30"/>
      <c r="D212" s="30" t="s">
        <v>18</v>
      </c>
      <c r="G212" s="59">
        <v>401.4</v>
      </c>
      <c r="H212" s="59"/>
      <c r="I212" s="59">
        <v>398.1</v>
      </c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L54"/>
  <sheetViews>
    <sheetView workbookViewId="0" topLeftCell="B1">
      <selection activeCell="C25" sqref="C25"/>
    </sheetView>
  </sheetViews>
  <sheetFormatPr defaultColWidth="9.140625" defaultRowHeight="12.75"/>
  <cols>
    <col min="1" max="1" width="3.421875" style="4" hidden="1" customWidth="1"/>
    <col min="2" max="2" width="20.28125" style="9" customWidth="1"/>
    <col min="3" max="3" width="5.28125" style="9" customWidth="1"/>
    <col min="4" max="4" width="8.57421875" style="9" customWidth="1"/>
    <col min="5" max="5" width="2.8515625" style="5" customWidth="1"/>
    <col min="6" max="6" width="10.7109375" style="5" customWidth="1"/>
    <col min="7" max="7" width="2.57421875" style="5" customWidth="1"/>
    <col min="8" max="8" width="10.7109375" style="5" customWidth="1"/>
    <col min="9" max="9" width="2.57421875" style="5" customWidth="1"/>
    <col min="10" max="10" width="10.8515625" style="5" customWidth="1"/>
    <col min="11" max="11" width="2.57421875" style="5" customWidth="1"/>
    <col min="12" max="12" width="9.57421875" style="5" customWidth="1"/>
    <col min="13" max="13" width="2.57421875" style="5" customWidth="1"/>
    <col min="14" max="14" width="11.28125" style="44" customWidth="1"/>
    <col min="15" max="15" width="2.57421875" style="44" customWidth="1"/>
    <col min="16" max="16" width="8.7109375" style="44" customWidth="1"/>
    <col min="17" max="17" width="2.57421875" style="44" customWidth="1"/>
    <col min="18" max="18" width="9.28125" style="44" customWidth="1"/>
    <col min="19" max="19" width="2.57421875" style="44" customWidth="1"/>
    <col min="20" max="20" width="8.8515625" style="44" customWidth="1"/>
    <col min="21" max="21" width="2.57421875" style="44" customWidth="1"/>
    <col min="22" max="22" width="10.421875" style="44" customWidth="1"/>
    <col min="23" max="23" width="2.57421875" style="44" customWidth="1"/>
    <col min="24" max="24" width="10.140625" style="4" customWidth="1"/>
    <col min="25" max="25" width="2.57421875" style="4" customWidth="1"/>
    <col min="26" max="26" width="9.28125" style="5" customWidth="1"/>
    <col min="27" max="27" width="2.57421875" style="5" customWidth="1"/>
    <col min="28" max="28" width="9.00390625" style="5" customWidth="1"/>
    <col min="29" max="29" width="2.57421875" style="5" customWidth="1"/>
    <col min="30" max="30" width="10.00390625" style="5" customWidth="1"/>
    <col min="31" max="31" width="2.57421875" style="5" customWidth="1"/>
    <col min="32" max="32" width="9.8515625" style="5" customWidth="1"/>
    <col min="33" max="33" width="2.57421875" style="5" customWidth="1"/>
    <col min="34" max="34" width="9.421875" style="4" customWidth="1"/>
    <col min="35" max="35" width="2.57421875" style="4" customWidth="1"/>
    <col min="36" max="36" width="9.421875" style="5" customWidth="1"/>
    <col min="37" max="37" width="2.57421875" style="5" customWidth="1"/>
    <col min="38" max="38" width="8.8515625" style="5" customWidth="1"/>
    <col min="39" max="39" width="2.57421875" style="5" customWidth="1"/>
    <col min="40" max="40" width="8.7109375" style="5" customWidth="1"/>
    <col min="41" max="41" width="2.57421875" style="5" customWidth="1"/>
    <col min="42" max="42" width="9.00390625" style="5" customWidth="1"/>
    <col min="43" max="43" width="2.57421875" style="5" customWidth="1"/>
    <col min="44" max="44" width="11.421875" style="4" customWidth="1"/>
    <col min="45" max="45" width="2.57421875" style="4" customWidth="1"/>
    <col min="46" max="46" width="9.28125" style="5" customWidth="1"/>
    <col min="47" max="47" width="2.57421875" style="5" customWidth="1"/>
    <col min="48" max="48" width="9.57421875" style="5" customWidth="1"/>
    <col min="49" max="49" width="2.57421875" style="5" customWidth="1"/>
    <col min="50" max="50" width="10.00390625" style="5" customWidth="1"/>
    <col min="51" max="51" width="2.57421875" style="5" customWidth="1"/>
    <col min="52" max="52" width="9.28125" style="5" customWidth="1"/>
    <col min="53" max="53" width="2.57421875" style="5" customWidth="1"/>
    <col min="54" max="54" width="10.421875" style="4" customWidth="1"/>
    <col min="55" max="55" width="2.8515625" style="4" customWidth="1"/>
    <col min="56" max="56" width="13.140625" style="4" customWidth="1"/>
    <col min="57" max="57" width="2.57421875" style="4" customWidth="1"/>
    <col min="58" max="58" width="12.57421875" style="4" customWidth="1"/>
    <col min="59" max="59" width="2.57421875" style="4" customWidth="1"/>
    <col min="60" max="60" width="12.421875" style="4" customWidth="1"/>
    <col min="61" max="61" width="2.57421875" style="4" customWidth="1"/>
    <col min="62" max="62" width="11.421875" style="4" customWidth="1"/>
    <col min="63" max="63" width="2.57421875" style="4" customWidth="1"/>
    <col min="64" max="64" width="11.28125" style="4" customWidth="1"/>
    <col min="65" max="16384" width="8.8515625" style="4" customWidth="1"/>
  </cols>
  <sheetData>
    <row r="1" spans="2:3" ht="12.75">
      <c r="B1" s="43" t="s">
        <v>270</v>
      </c>
      <c r="C1" s="43"/>
    </row>
    <row r="3" spans="1:64" ht="12.75">
      <c r="A3" s="4" t="s">
        <v>110</v>
      </c>
      <c r="B3" s="43" t="s">
        <v>162</v>
      </c>
      <c r="C3" s="9" t="str">
        <f>'emiss 1'!C4</f>
        <v>Max comb temp, max metals, chlorine</v>
      </c>
      <c r="F3" s="5" t="s">
        <v>140</v>
      </c>
      <c r="H3" s="5" t="s">
        <v>141</v>
      </c>
      <c r="J3" s="5" t="s">
        <v>142</v>
      </c>
      <c r="L3" s="5" t="s">
        <v>143</v>
      </c>
      <c r="N3" s="44" t="s">
        <v>71</v>
      </c>
      <c r="P3" s="5" t="s">
        <v>140</v>
      </c>
      <c r="Q3" s="5"/>
      <c r="R3" s="5" t="s">
        <v>141</v>
      </c>
      <c r="S3" s="5"/>
      <c r="T3" s="5" t="s">
        <v>142</v>
      </c>
      <c r="U3" s="5"/>
      <c r="V3" s="5" t="s">
        <v>143</v>
      </c>
      <c r="W3" s="5"/>
      <c r="X3" s="4" t="s">
        <v>71</v>
      </c>
      <c r="Z3" s="5" t="s">
        <v>140</v>
      </c>
      <c r="AB3" s="5" t="s">
        <v>141</v>
      </c>
      <c r="AD3" s="5" t="s">
        <v>142</v>
      </c>
      <c r="AF3" s="5" t="s">
        <v>143</v>
      </c>
      <c r="AH3" s="4" t="s">
        <v>71</v>
      </c>
      <c r="AJ3" s="5" t="s">
        <v>140</v>
      </c>
      <c r="AL3" s="5" t="s">
        <v>141</v>
      </c>
      <c r="AN3" s="5" t="s">
        <v>142</v>
      </c>
      <c r="AP3" s="5" t="s">
        <v>143</v>
      </c>
      <c r="AR3" s="4" t="s">
        <v>71</v>
      </c>
      <c r="AT3" s="5" t="s">
        <v>140</v>
      </c>
      <c r="AV3" s="5" t="s">
        <v>141</v>
      </c>
      <c r="AX3" s="5" t="s">
        <v>142</v>
      </c>
      <c r="AZ3" s="5" t="s">
        <v>143</v>
      </c>
      <c r="BB3" s="4" t="s">
        <v>71</v>
      </c>
      <c r="BD3" s="5" t="s">
        <v>140</v>
      </c>
      <c r="BE3" s="5"/>
      <c r="BF3" s="5" t="s">
        <v>141</v>
      </c>
      <c r="BG3" s="5"/>
      <c r="BH3" s="5" t="s">
        <v>142</v>
      </c>
      <c r="BI3" s="5"/>
      <c r="BJ3" s="5" t="s">
        <v>143</v>
      </c>
      <c r="BK3" s="5"/>
      <c r="BL3" s="4" t="s">
        <v>71</v>
      </c>
    </row>
    <row r="5" spans="2:64" ht="12.75">
      <c r="B5" s="9" t="s">
        <v>309</v>
      </c>
      <c r="F5" s="5" t="s">
        <v>310</v>
      </c>
      <c r="H5" s="5" t="s">
        <v>310</v>
      </c>
      <c r="J5" s="5" t="s">
        <v>310</v>
      </c>
      <c r="L5" s="5" t="s">
        <v>310</v>
      </c>
      <c r="N5" s="5" t="s">
        <v>310</v>
      </c>
      <c r="P5" s="44" t="s">
        <v>312</v>
      </c>
      <c r="R5" s="44" t="s">
        <v>312</v>
      </c>
      <c r="T5" s="44" t="s">
        <v>312</v>
      </c>
      <c r="V5" s="44" t="s">
        <v>312</v>
      </c>
      <c r="X5" s="44" t="s">
        <v>312</v>
      </c>
      <c r="Z5" s="5" t="s">
        <v>313</v>
      </c>
      <c r="AB5" s="5" t="s">
        <v>313</v>
      </c>
      <c r="AD5" s="5" t="s">
        <v>313</v>
      </c>
      <c r="AF5" s="5" t="s">
        <v>313</v>
      </c>
      <c r="AH5" s="5" t="s">
        <v>313</v>
      </c>
      <c r="AJ5" s="5" t="s">
        <v>315</v>
      </c>
      <c r="AL5" s="5" t="s">
        <v>315</v>
      </c>
      <c r="AN5" s="5" t="s">
        <v>315</v>
      </c>
      <c r="AP5" s="5" t="s">
        <v>315</v>
      </c>
      <c r="AR5" s="5" t="s">
        <v>315</v>
      </c>
      <c r="AT5" s="5" t="s">
        <v>317</v>
      </c>
      <c r="AV5" s="5" t="s">
        <v>317</v>
      </c>
      <c r="AX5" s="5" t="s">
        <v>317</v>
      </c>
      <c r="AZ5" s="5" t="s">
        <v>317</v>
      </c>
      <c r="BB5" s="5" t="s">
        <v>317</v>
      </c>
      <c r="BD5" s="4" t="s">
        <v>318</v>
      </c>
      <c r="BF5" s="4" t="s">
        <v>318</v>
      </c>
      <c r="BH5" s="4" t="s">
        <v>318</v>
      </c>
      <c r="BJ5" s="4" t="s">
        <v>318</v>
      </c>
      <c r="BL5" s="4" t="s">
        <v>318</v>
      </c>
    </row>
    <row r="6" spans="2:64" ht="12.75">
      <c r="B6" s="9" t="s">
        <v>308</v>
      </c>
      <c r="F6" s="5" t="s">
        <v>311</v>
      </c>
      <c r="H6" s="5" t="s">
        <v>311</v>
      </c>
      <c r="J6" s="5" t="s">
        <v>311</v>
      </c>
      <c r="L6" s="5" t="s">
        <v>311</v>
      </c>
      <c r="N6" s="5" t="s">
        <v>311</v>
      </c>
      <c r="P6" s="44" t="s">
        <v>136</v>
      </c>
      <c r="R6" s="44" t="s">
        <v>136</v>
      </c>
      <c r="T6" s="44" t="s">
        <v>136</v>
      </c>
      <c r="V6" s="44" t="s">
        <v>136</v>
      </c>
      <c r="X6" s="44" t="s">
        <v>136</v>
      </c>
      <c r="Z6" s="5" t="s">
        <v>314</v>
      </c>
      <c r="AB6" s="5" t="s">
        <v>314</v>
      </c>
      <c r="AD6" s="5" t="s">
        <v>314</v>
      </c>
      <c r="AF6" s="5" t="s">
        <v>314</v>
      </c>
      <c r="AH6" s="5" t="s">
        <v>314</v>
      </c>
      <c r="AJ6" s="5" t="s">
        <v>319</v>
      </c>
      <c r="AL6" s="5" t="s">
        <v>319</v>
      </c>
      <c r="AN6" s="5" t="s">
        <v>319</v>
      </c>
      <c r="AP6" s="5" t="s">
        <v>319</v>
      </c>
      <c r="AR6" s="5" t="s">
        <v>319</v>
      </c>
      <c r="AT6" s="5" t="s">
        <v>67</v>
      </c>
      <c r="AV6" s="5" t="s">
        <v>67</v>
      </c>
      <c r="AX6" s="5" t="s">
        <v>67</v>
      </c>
      <c r="AZ6" s="5" t="s">
        <v>67</v>
      </c>
      <c r="BB6" s="5" t="s">
        <v>67</v>
      </c>
      <c r="BD6" s="4" t="s">
        <v>31</v>
      </c>
      <c r="BF6" s="4" t="s">
        <v>31</v>
      </c>
      <c r="BH6" s="4" t="s">
        <v>31</v>
      </c>
      <c r="BJ6" s="4" t="s">
        <v>31</v>
      </c>
      <c r="BL6" s="4" t="s">
        <v>31</v>
      </c>
    </row>
    <row r="7" spans="2:64" ht="12.75">
      <c r="B7" s="30" t="s">
        <v>322</v>
      </c>
      <c r="F7" s="5" t="s">
        <v>323</v>
      </c>
      <c r="H7" s="5" t="s">
        <v>323</v>
      </c>
      <c r="J7" s="5" t="s">
        <v>323</v>
      </c>
      <c r="L7" s="5" t="s">
        <v>323</v>
      </c>
      <c r="N7" s="5" t="s">
        <v>323</v>
      </c>
      <c r="P7" s="44" t="s">
        <v>136</v>
      </c>
      <c r="R7" s="44" t="s">
        <v>136</v>
      </c>
      <c r="T7" s="44" t="s">
        <v>136</v>
      </c>
      <c r="V7" s="44" t="s">
        <v>136</v>
      </c>
      <c r="X7" s="44" t="s">
        <v>136</v>
      </c>
      <c r="Z7" s="5" t="s">
        <v>325</v>
      </c>
      <c r="AB7" s="5" t="s">
        <v>325</v>
      </c>
      <c r="AD7" s="5" t="s">
        <v>325</v>
      </c>
      <c r="AF7" s="5" t="s">
        <v>325</v>
      </c>
      <c r="AH7" s="5" t="s">
        <v>325</v>
      </c>
      <c r="AJ7" s="5" t="s">
        <v>79</v>
      </c>
      <c r="AL7" s="5" t="s">
        <v>79</v>
      </c>
      <c r="AN7" s="5" t="s">
        <v>79</v>
      </c>
      <c r="AP7" s="5" t="s">
        <v>79</v>
      </c>
      <c r="AR7" s="5" t="s">
        <v>79</v>
      </c>
      <c r="AT7" s="5" t="s">
        <v>67</v>
      </c>
      <c r="AV7" s="5" t="s">
        <v>67</v>
      </c>
      <c r="AX7" s="5" t="s">
        <v>67</v>
      </c>
      <c r="AZ7" s="5" t="s">
        <v>67</v>
      </c>
      <c r="BB7" s="5" t="s">
        <v>67</v>
      </c>
      <c r="BD7" s="32" t="s">
        <v>31</v>
      </c>
      <c r="BF7" s="32" t="s">
        <v>31</v>
      </c>
      <c r="BH7" s="32" t="s">
        <v>31</v>
      </c>
      <c r="BJ7" s="32" t="s">
        <v>31</v>
      </c>
      <c r="BL7" s="32" t="s">
        <v>31</v>
      </c>
    </row>
    <row r="8" spans="2:64" ht="12.75">
      <c r="B8" s="9" t="s">
        <v>109</v>
      </c>
      <c r="F8" s="44" t="s">
        <v>135</v>
      </c>
      <c r="G8" s="44"/>
      <c r="H8" s="44" t="s">
        <v>135</v>
      </c>
      <c r="I8" s="44"/>
      <c r="J8" s="44" t="s">
        <v>135</v>
      </c>
      <c r="K8" s="44"/>
      <c r="L8" s="44" t="s">
        <v>135</v>
      </c>
      <c r="M8" s="44"/>
      <c r="N8" s="44" t="s">
        <v>135</v>
      </c>
      <c r="P8" s="44" t="s">
        <v>136</v>
      </c>
      <c r="R8" s="44" t="s">
        <v>136</v>
      </c>
      <c r="T8" s="44" t="s">
        <v>136</v>
      </c>
      <c r="V8" s="44" t="s">
        <v>136</v>
      </c>
      <c r="X8" s="44" t="s">
        <v>136</v>
      </c>
      <c r="Y8" s="44"/>
      <c r="Z8" s="44" t="s">
        <v>137</v>
      </c>
      <c r="AA8" s="44"/>
      <c r="AB8" s="44" t="s">
        <v>137</v>
      </c>
      <c r="AC8" s="44"/>
      <c r="AD8" s="44" t="s">
        <v>137</v>
      </c>
      <c r="AE8" s="44"/>
      <c r="AF8" s="44" t="s">
        <v>137</v>
      </c>
      <c r="AG8" s="44"/>
      <c r="AH8" s="44" t="s">
        <v>137</v>
      </c>
      <c r="AI8" s="44"/>
      <c r="AJ8" s="44" t="s">
        <v>138</v>
      </c>
      <c r="AK8" s="44"/>
      <c r="AL8" s="44" t="s">
        <v>138</v>
      </c>
      <c r="AM8" s="44"/>
      <c r="AN8" s="44" t="s">
        <v>138</v>
      </c>
      <c r="AO8" s="44"/>
      <c r="AP8" s="44" t="s">
        <v>138</v>
      </c>
      <c r="AQ8" s="44"/>
      <c r="AR8" s="44" t="s">
        <v>138</v>
      </c>
      <c r="AS8" s="44"/>
      <c r="AT8" s="44" t="s">
        <v>67</v>
      </c>
      <c r="AU8" s="44"/>
      <c r="AV8" s="44" t="s">
        <v>67</v>
      </c>
      <c r="AW8" s="44"/>
      <c r="AX8" s="44" t="s">
        <v>67</v>
      </c>
      <c r="AY8" s="44"/>
      <c r="AZ8" s="44" t="s">
        <v>67</v>
      </c>
      <c r="BA8" s="44"/>
      <c r="BB8" s="44" t="s">
        <v>67</v>
      </c>
      <c r="BC8" s="44"/>
      <c r="BD8" s="5" t="s">
        <v>31</v>
      </c>
      <c r="BE8" s="5"/>
      <c r="BF8" s="5" t="s">
        <v>31</v>
      </c>
      <c r="BG8" s="5"/>
      <c r="BH8" s="5" t="s">
        <v>31</v>
      </c>
      <c r="BI8" s="5"/>
      <c r="BJ8" s="5" t="s">
        <v>31</v>
      </c>
      <c r="BK8" s="5"/>
      <c r="BL8" s="5" t="s">
        <v>31</v>
      </c>
    </row>
    <row r="9" spans="2:54" ht="12.75">
      <c r="B9" s="9" t="s">
        <v>113</v>
      </c>
      <c r="D9" s="9" t="s">
        <v>134</v>
      </c>
      <c r="F9" s="25">
        <v>79700000</v>
      </c>
      <c r="G9" s="25"/>
      <c r="H9" s="25">
        <v>80600000</v>
      </c>
      <c r="I9" s="25"/>
      <c r="J9" s="25">
        <v>81000000</v>
      </c>
      <c r="K9" s="25"/>
      <c r="L9" s="25">
        <v>81400000</v>
      </c>
      <c r="M9" s="25"/>
      <c r="N9" s="25">
        <f>AVERAGE(F9:L9)</f>
        <v>80675000</v>
      </c>
      <c r="O9" s="25"/>
      <c r="P9" s="25">
        <v>2810000</v>
      </c>
      <c r="Q9" s="25"/>
      <c r="R9" s="25">
        <v>4810000</v>
      </c>
      <c r="S9" s="25"/>
      <c r="T9" s="25">
        <v>3810000</v>
      </c>
      <c r="U9" s="25"/>
      <c r="V9" s="25">
        <v>3450000</v>
      </c>
      <c r="W9" s="25"/>
      <c r="X9" s="25">
        <f>AVERAGE(P9:V9)</f>
        <v>3720000</v>
      </c>
      <c r="Y9" s="25"/>
      <c r="Z9" s="25">
        <v>1100000</v>
      </c>
      <c r="AA9" s="25"/>
      <c r="AB9" s="25">
        <v>1180000</v>
      </c>
      <c r="AC9" s="25"/>
      <c r="AD9" s="25">
        <v>1240000</v>
      </c>
      <c r="AE9" s="25"/>
      <c r="AF9" s="25">
        <v>1210000</v>
      </c>
      <c r="AG9" s="25"/>
      <c r="AH9" s="25">
        <f>AVERAGE(Z9:AF9)</f>
        <v>1182500</v>
      </c>
      <c r="AI9" s="25"/>
      <c r="AJ9" s="25">
        <v>7710000</v>
      </c>
      <c r="AK9" s="25"/>
      <c r="AL9" s="25">
        <v>7710000</v>
      </c>
      <c r="AM9" s="25"/>
      <c r="AN9" s="25">
        <v>7710000</v>
      </c>
      <c r="AO9" s="25"/>
      <c r="AP9" s="25">
        <v>7710000</v>
      </c>
      <c r="AQ9" s="25"/>
      <c r="AR9" s="25">
        <f>AVERAGE(AJ9:AP9)</f>
        <v>7710000</v>
      </c>
      <c r="AS9" s="25"/>
      <c r="AT9" s="25"/>
      <c r="AU9" s="25"/>
      <c r="AV9" s="25"/>
      <c r="AW9" s="25"/>
      <c r="AX9" s="25"/>
      <c r="AY9" s="25"/>
      <c r="AZ9" s="25"/>
      <c r="BA9" s="25"/>
      <c r="BB9" s="25"/>
    </row>
    <row r="10" spans="2:54" ht="12.75">
      <c r="B10" s="9" t="s">
        <v>64</v>
      </c>
      <c r="D10" s="9" t="s">
        <v>207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>
        <f>P11/P9*454*1000000</f>
        <v>11875.08896797153</v>
      </c>
      <c r="Q10" s="25"/>
      <c r="R10" s="25">
        <f>R11/R9*454*1000000</f>
        <v>11892.723492723493</v>
      </c>
      <c r="S10" s="25"/>
      <c r="T10" s="25">
        <f>T11/T9*454*1000000</f>
        <v>11594.278215223098</v>
      </c>
      <c r="U10" s="25"/>
      <c r="V10" s="25">
        <f>V11/V9*454*1000000</f>
        <v>12225.101449275362</v>
      </c>
      <c r="W10" s="25"/>
      <c r="X10" s="25">
        <f>X11/X9*454*1000000</f>
        <v>11890.040322580646</v>
      </c>
      <c r="Y10" s="25"/>
      <c r="Z10" s="25">
        <f>Z11/Z9*454*1000000</f>
        <v>15766.181818181822</v>
      </c>
      <c r="AA10" s="25"/>
      <c r="AB10" s="25">
        <f>AB11/AB9*454*1000000</f>
        <v>15813.050847457627</v>
      </c>
      <c r="AC10" s="25"/>
      <c r="AD10" s="25">
        <f>AD11/AD9*454*1000000</f>
        <v>15853.387096774193</v>
      </c>
      <c r="AE10" s="25"/>
      <c r="AF10" s="25">
        <f>AF11/AF9*454*1000000</f>
        <v>15758.677685950413</v>
      </c>
      <c r="AG10" s="25"/>
      <c r="AH10" s="25">
        <f>AH11/AH9*454*1000000</f>
        <v>15798.816067653279</v>
      </c>
      <c r="AI10" s="25"/>
      <c r="AJ10" s="25">
        <f>AJ11/AJ9*454*1000000</f>
        <v>15192.217898832685</v>
      </c>
      <c r="AK10" s="25"/>
      <c r="AL10" s="25">
        <f>AL11/AL9*454*1000000</f>
        <v>14662.256809338522</v>
      </c>
      <c r="AM10" s="25"/>
      <c r="AN10" s="25">
        <f>AN11/AN9*454*1000000</f>
        <v>14838.910505836579</v>
      </c>
      <c r="AO10" s="25"/>
      <c r="AP10" s="25">
        <f>AP11/AP9*454*1000000</f>
        <v>13778.988326848248</v>
      </c>
      <c r="AQ10" s="25"/>
      <c r="AR10" s="25">
        <f>AR11/AR9*454*1000000</f>
        <v>14618.093385214008</v>
      </c>
      <c r="AS10" s="25"/>
      <c r="AT10" s="25"/>
      <c r="AU10" s="25"/>
      <c r="AV10" s="25"/>
      <c r="AW10" s="25"/>
      <c r="AX10" s="25"/>
      <c r="AY10" s="25"/>
      <c r="AZ10" s="25"/>
      <c r="BA10" s="25"/>
      <c r="BB10" s="25"/>
    </row>
    <row r="11" spans="2:64" s="17" customFormat="1" ht="12.75">
      <c r="B11" s="78" t="s">
        <v>111</v>
      </c>
      <c r="C11" s="78"/>
      <c r="D11" s="78" t="s">
        <v>167</v>
      </c>
      <c r="E11" s="1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>
        <v>73.5</v>
      </c>
      <c r="Q11" s="25"/>
      <c r="R11" s="25">
        <v>126</v>
      </c>
      <c r="S11" s="25"/>
      <c r="T11" s="25">
        <v>97.3</v>
      </c>
      <c r="U11" s="25"/>
      <c r="V11" s="25">
        <v>92.9</v>
      </c>
      <c r="W11" s="25"/>
      <c r="X11" s="25">
        <f aca="true" t="shared" si="0" ref="X11:X24">AVERAGE(P11:V11)</f>
        <v>97.42500000000001</v>
      </c>
      <c r="Y11" s="25"/>
      <c r="Z11" s="25">
        <v>38.2</v>
      </c>
      <c r="AA11" s="25"/>
      <c r="AB11" s="25">
        <v>41.1</v>
      </c>
      <c r="AC11" s="25"/>
      <c r="AD11" s="25">
        <v>43.3</v>
      </c>
      <c r="AE11" s="25"/>
      <c r="AF11" s="25">
        <v>42</v>
      </c>
      <c r="AG11" s="25"/>
      <c r="AH11" s="25">
        <f aca="true" t="shared" si="1" ref="AH11:AH24">AVERAGE(Z11:AF11)</f>
        <v>41.150000000000006</v>
      </c>
      <c r="AI11" s="25"/>
      <c r="AJ11" s="25">
        <v>258</v>
      </c>
      <c r="AK11" s="25"/>
      <c r="AL11" s="25">
        <v>249</v>
      </c>
      <c r="AM11" s="25"/>
      <c r="AN11" s="25">
        <v>252</v>
      </c>
      <c r="AO11" s="25"/>
      <c r="AP11" s="25">
        <v>234</v>
      </c>
      <c r="AQ11" s="25"/>
      <c r="AR11" s="25">
        <f aca="true" t="shared" si="2" ref="AR11:AR24">AVERAGE(AJ11:AP11)</f>
        <v>248.25</v>
      </c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79"/>
      <c r="BD11" s="45">
        <f>P11+Z11+AL11</f>
        <v>360.7</v>
      </c>
      <c r="BE11" s="45"/>
      <c r="BF11" s="45">
        <f>R11+AB11+AN11</f>
        <v>419.1</v>
      </c>
      <c r="BG11" s="45"/>
      <c r="BH11" s="45">
        <f>T11+AD11+AP11</f>
        <v>374.6</v>
      </c>
      <c r="BI11" s="45"/>
      <c r="BJ11" s="45">
        <f>V11+AF11+AR11</f>
        <v>383.15</v>
      </c>
      <c r="BK11" s="45"/>
      <c r="BL11" s="45">
        <f>AVERAGE(BD11,BF11,BH11,BJ11)</f>
        <v>384.38750000000005</v>
      </c>
    </row>
    <row r="12" spans="2:63" ht="12.75">
      <c r="B12" s="9" t="s">
        <v>22</v>
      </c>
      <c r="D12" s="9" t="s">
        <v>134</v>
      </c>
      <c r="F12" s="25">
        <v>12000</v>
      </c>
      <c r="G12" s="25"/>
      <c r="H12" s="25">
        <v>13700</v>
      </c>
      <c r="I12" s="25"/>
      <c r="J12" s="25">
        <v>11300</v>
      </c>
      <c r="K12" s="25"/>
      <c r="L12" s="25">
        <v>10600</v>
      </c>
      <c r="M12" s="25"/>
      <c r="N12" s="25">
        <f aca="true" t="shared" si="3" ref="N12:N24">AVERAGE(F12:L12)</f>
        <v>11900</v>
      </c>
      <c r="O12" s="25"/>
      <c r="P12" s="25">
        <v>3440</v>
      </c>
      <c r="Q12" s="25"/>
      <c r="R12" s="25">
        <v>4920</v>
      </c>
      <c r="S12" s="25"/>
      <c r="T12" s="25">
        <v>1610</v>
      </c>
      <c r="U12" s="25"/>
      <c r="V12" s="25">
        <v>2280</v>
      </c>
      <c r="W12" s="25"/>
      <c r="X12" s="25">
        <f t="shared" si="0"/>
        <v>3062.5</v>
      </c>
      <c r="Y12" s="25"/>
      <c r="Z12" s="25">
        <v>6590</v>
      </c>
      <c r="AA12" s="25"/>
      <c r="AB12" s="25">
        <v>7080</v>
      </c>
      <c r="AC12" s="25"/>
      <c r="AD12" s="25">
        <v>7460</v>
      </c>
      <c r="AE12" s="25"/>
      <c r="AF12" s="25">
        <v>7240</v>
      </c>
      <c r="AG12" s="25"/>
      <c r="AH12" s="25">
        <f t="shared" si="1"/>
        <v>7092.5</v>
      </c>
      <c r="AI12" s="25"/>
      <c r="AJ12" s="25">
        <v>47000</v>
      </c>
      <c r="AK12" s="25"/>
      <c r="AL12" s="25">
        <v>60000</v>
      </c>
      <c r="AM12" s="25"/>
      <c r="AN12" s="25">
        <v>85000</v>
      </c>
      <c r="AO12" s="25"/>
      <c r="AP12" s="25">
        <f>230000-95100</f>
        <v>134900</v>
      </c>
      <c r="AQ12" s="25"/>
      <c r="AR12" s="25">
        <f t="shared" si="2"/>
        <v>81725</v>
      </c>
      <c r="AS12" s="25"/>
      <c r="AT12" s="25">
        <v>150000</v>
      </c>
      <c r="AU12" s="25"/>
      <c r="AV12" s="25">
        <v>116000</v>
      </c>
      <c r="AW12" s="25"/>
      <c r="AX12" s="25">
        <v>101000</v>
      </c>
      <c r="AY12" s="25"/>
      <c r="AZ12" s="25">
        <v>95100</v>
      </c>
      <c r="BA12" s="25"/>
      <c r="BB12" s="25">
        <f aca="true" t="shared" si="4" ref="BB12:BB19">AVERAGE(AT12:AZ12)</f>
        <v>115525</v>
      </c>
      <c r="BC12" s="44"/>
      <c r="BD12" s="44"/>
      <c r="BE12" s="44"/>
      <c r="BF12" s="44"/>
      <c r="BG12" s="44"/>
      <c r="BH12" s="44"/>
      <c r="BI12" s="44"/>
      <c r="BJ12" s="44"/>
      <c r="BK12" s="44"/>
    </row>
    <row r="13" spans="2:63" ht="12.75">
      <c r="B13" s="9" t="s">
        <v>103</v>
      </c>
      <c r="D13" s="9" t="s">
        <v>134</v>
      </c>
      <c r="F13">
        <v>62</v>
      </c>
      <c r="G13"/>
      <c r="H13">
        <v>63.1</v>
      </c>
      <c r="I13"/>
      <c r="J13">
        <v>63.4</v>
      </c>
      <c r="K13"/>
      <c r="L13">
        <v>63.7</v>
      </c>
      <c r="M13"/>
      <c r="N13" s="25">
        <f t="shared" si="3"/>
        <v>63.05</v>
      </c>
      <c r="O13" s="52"/>
      <c r="P13">
        <v>2.19</v>
      </c>
      <c r="Q13"/>
      <c r="R13">
        <v>3.73</v>
      </c>
      <c r="S13"/>
      <c r="T13" s="54">
        <v>2.99</v>
      </c>
      <c r="U13" s="54"/>
      <c r="V13" s="54">
        <v>2.71</v>
      </c>
      <c r="W13" s="54"/>
      <c r="X13" s="25">
        <f t="shared" si="0"/>
        <v>2.9050000000000002</v>
      </c>
      <c r="Y13" s="52"/>
      <c r="Z13">
        <v>19.8</v>
      </c>
      <c r="AA13"/>
      <c r="AB13">
        <v>21.2</v>
      </c>
      <c r="AC13"/>
      <c r="AD13">
        <v>22.4</v>
      </c>
      <c r="AE13"/>
      <c r="AF13">
        <v>21.7</v>
      </c>
      <c r="AG13"/>
      <c r="AH13" s="25">
        <f t="shared" si="1"/>
        <v>21.275</v>
      </c>
      <c r="AI13" s="52"/>
      <c r="AJ13" s="54">
        <v>14.8</v>
      </c>
      <c r="AK13" s="54"/>
      <c r="AL13" s="54">
        <v>18</v>
      </c>
      <c r="AM13" s="54"/>
      <c r="AN13" s="54">
        <v>8.64</v>
      </c>
      <c r="AO13" s="54"/>
      <c r="AP13" s="54">
        <v>9.02</v>
      </c>
      <c r="AQ13" s="54"/>
      <c r="AR13" s="25">
        <f t="shared" si="2"/>
        <v>12.614999999999998</v>
      </c>
      <c r="AS13" s="52"/>
      <c r="AT13"/>
      <c r="AU13"/>
      <c r="AV13"/>
      <c r="AW13"/>
      <c r="AX13"/>
      <c r="AY13"/>
      <c r="AZ13"/>
      <c r="BA13"/>
      <c r="BB13"/>
      <c r="BC13" s="44"/>
      <c r="BD13" s="44"/>
      <c r="BE13" s="44"/>
      <c r="BF13" s="44"/>
      <c r="BG13" s="44"/>
      <c r="BH13" s="44"/>
      <c r="BI13" s="44"/>
      <c r="BJ13" s="44"/>
      <c r="BK13" s="44"/>
    </row>
    <row r="14" spans="2:63" ht="12.75">
      <c r="B14" s="9" t="s">
        <v>99</v>
      </c>
      <c r="D14" s="9" t="s">
        <v>134</v>
      </c>
      <c r="F14">
        <v>108</v>
      </c>
      <c r="G14"/>
      <c r="H14">
        <v>174</v>
      </c>
      <c r="I14"/>
      <c r="J14">
        <v>130</v>
      </c>
      <c r="K14"/>
      <c r="L14">
        <v>175</v>
      </c>
      <c r="M14"/>
      <c r="N14" s="25">
        <f t="shared" si="3"/>
        <v>146.75</v>
      </c>
      <c r="O14" s="52"/>
      <c r="P14">
        <v>71.4</v>
      </c>
      <c r="Q14"/>
      <c r="R14">
        <v>333</v>
      </c>
      <c r="S14"/>
      <c r="T14" s="54">
        <v>135</v>
      </c>
      <c r="U14" s="54"/>
      <c r="V14" s="54">
        <v>134</v>
      </c>
      <c r="W14" s="54"/>
      <c r="X14" s="25">
        <f t="shared" si="0"/>
        <v>168.35</v>
      </c>
      <c r="Y14" s="52"/>
      <c r="Z14">
        <v>1.69</v>
      </c>
      <c r="AA14"/>
      <c r="AB14">
        <v>1.82</v>
      </c>
      <c r="AC14"/>
      <c r="AD14">
        <v>1.91</v>
      </c>
      <c r="AE14"/>
      <c r="AF14">
        <v>1.86</v>
      </c>
      <c r="AG14"/>
      <c r="AH14" s="25">
        <f t="shared" si="1"/>
        <v>1.82</v>
      </c>
      <c r="AI14" s="52"/>
      <c r="AJ14" s="54">
        <v>7.52</v>
      </c>
      <c r="AK14" s="54"/>
      <c r="AL14" s="54">
        <v>7.13</v>
      </c>
      <c r="AM14" s="54"/>
      <c r="AN14" s="54">
        <v>7.91</v>
      </c>
      <c r="AO14" s="54"/>
      <c r="AP14" s="54">
        <v>7.53</v>
      </c>
      <c r="AQ14" s="54"/>
      <c r="AR14" s="25">
        <f t="shared" si="2"/>
        <v>7.5225</v>
      </c>
      <c r="AS14" s="52"/>
      <c r="AT14" s="54">
        <v>11700</v>
      </c>
      <c r="AU14" s="54"/>
      <c r="AV14">
        <v>12100</v>
      </c>
      <c r="AW14"/>
      <c r="AX14">
        <v>12900</v>
      </c>
      <c r="AY14"/>
      <c r="AZ14">
        <v>14000</v>
      </c>
      <c r="BA14"/>
      <c r="BB14" s="25">
        <f t="shared" si="4"/>
        <v>12675</v>
      </c>
      <c r="BC14" s="44"/>
      <c r="BD14" s="44"/>
      <c r="BE14" s="44"/>
      <c r="BF14" s="44"/>
      <c r="BG14" s="44"/>
      <c r="BH14" s="44"/>
      <c r="BI14" s="44"/>
      <c r="BJ14" s="44"/>
      <c r="BK14" s="44"/>
    </row>
    <row r="15" spans="2:63" ht="12.75">
      <c r="B15" s="9" t="s">
        <v>100</v>
      </c>
      <c r="D15" s="9" t="s">
        <v>134</v>
      </c>
      <c r="F15">
        <v>1650</v>
      </c>
      <c r="G15"/>
      <c r="H15" s="54">
        <v>2020</v>
      </c>
      <c r="I15" s="54"/>
      <c r="J15">
        <v>1730</v>
      </c>
      <c r="K15"/>
      <c r="L15">
        <v>2070</v>
      </c>
      <c r="M15"/>
      <c r="N15" s="25">
        <f t="shared" si="3"/>
        <v>1867.5</v>
      </c>
      <c r="O15" s="52"/>
      <c r="P15">
        <v>61.6</v>
      </c>
      <c r="Q15"/>
      <c r="R15">
        <v>133</v>
      </c>
      <c r="S15"/>
      <c r="T15" s="54">
        <v>90.7</v>
      </c>
      <c r="U15" s="54"/>
      <c r="V15" s="54">
        <v>86.2</v>
      </c>
      <c r="W15" s="54"/>
      <c r="X15" s="25">
        <f t="shared" si="0"/>
        <v>92.875</v>
      </c>
      <c r="Y15" s="52"/>
      <c r="Z15">
        <v>9</v>
      </c>
      <c r="AA15"/>
      <c r="AB15">
        <v>9.67</v>
      </c>
      <c r="AC15"/>
      <c r="AD15">
        <v>10.2</v>
      </c>
      <c r="AE15"/>
      <c r="AF15">
        <v>9.89</v>
      </c>
      <c r="AG15"/>
      <c r="AH15" s="25">
        <f t="shared" si="1"/>
        <v>9.690000000000001</v>
      </c>
      <c r="AI15" s="52"/>
      <c r="AJ15" s="54">
        <v>6.11</v>
      </c>
      <c r="AK15" s="54"/>
      <c r="AL15" s="54">
        <v>82.5</v>
      </c>
      <c r="AM15" s="54"/>
      <c r="AN15" s="54">
        <v>2.91</v>
      </c>
      <c r="AO15" s="54"/>
      <c r="AP15" s="54">
        <v>30.4</v>
      </c>
      <c r="AQ15" s="54"/>
      <c r="AR15" s="25">
        <f t="shared" si="2"/>
        <v>30.479999999999997</v>
      </c>
      <c r="AS15" s="52"/>
      <c r="AT15"/>
      <c r="AU15"/>
      <c r="AV15"/>
      <c r="AW15"/>
      <c r="AX15"/>
      <c r="AY15"/>
      <c r="AZ15"/>
      <c r="BA15"/>
      <c r="BB15" s="25"/>
      <c r="BC15" s="44"/>
      <c r="BD15" s="44"/>
      <c r="BE15" s="44"/>
      <c r="BF15" s="44"/>
      <c r="BG15" s="44"/>
      <c r="BH15" s="44"/>
      <c r="BI15" s="44"/>
      <c r="BJ15" s="44"/>
      <c r="BK15" s="44"/>
    </row>
    <row r="16" spans="2:63" ht="12.75">
      <c r="B16" s="9" t="s">
        <v>101</v>
      </c>
      <c r="D16" s="9" t="s">
        <v>134</v>
      </c>
      <c r="F16">
        <v>15.5</v>
      </c>
      <c r="G16"/>
      <c r="H16">
        <v>15.8</v>
      </c>
      <c r="I16"/>
      <c r="J16">
        <v>15.9</v>
      </c>
      <c r="K16"/>
      <c r="L16">
        <v>15.9</v>
      </c>
      <c r="M16"/>
      <c r="N16" s="25">
        <f t="shared" si="3"/>
        <v>15.775</v>
      </c>
      <c r="O16" s="52"/>
      <c r="P16">
        <v>0.599</v>
      </c>
      <c r="Q16"/>
      <c r="R16">
        <v>1</v>
      </c>
      <c r="S16"/>
      <c r="T16" s="54">
        <v>1.04</v>
      </c>
      <c r="U16" s="54"/>
      <c r="V16" s="54">
        <v>0.917</v>
      </c>
      <c r="W16" s="54"/>
      <c r="X16" s="25">
        <f t="shared" si="0"/>
        <v>0.889</v>
      </c>
      <c r="Y16" s="52"/>
      <c r="Z16">
        <v>0.11</v>
      </c>
      <c r="AA16"/>
      <c r="AB16">
        <v>0.118</v>
      </c>
      <c r="AC16"/>
      <c r="AD16">
        <v>0.124</v>
      </c>
      <c r="AE16"/>
      <c r="AF16">
        <v>0.121</v>
      </c>
      <c r="AG16"/>
      <c r="AH16" s="25">
        <f t="shared" si="1"/>
        <v>0.11825</v>
      </c>
      <c r="AI16" s="52"/>
      <c r="AJ16" s="54">
        <v>1.5</v>
      </c>
      <c r="AK16" s="54"/>
      <c r="AL16" s="54">
        <v>1.41</v>
      </c>
      <c r="AM16" s="54"/>
      <c r="AN16" s="54">
        <v>1.44</v>
      </c>
      <c r="AO16" s="54"/>
      <c r="AP16" s="54">
        <v>1.5</v>
      </c>
      <c r="AQ16" s="54"/>
      <c r="AR16" s="25">
        <f t="shared" si="2"/>
        <v>1.4625</v>
      </c>
      <c r="AS16" s="52"/>
      <c r="AT16">
        <v>416</v>
      </c>
      <c r="AU16"/>
      <c r="AV16">
        <v>508</v>
      </c>
      <c r="AW16"/>
      <c r="AX16">
        <v>492</v>
      </c>
      <c r="AY16"/>
      <c r="AZ16">
        <v>508</v>
      </c>
      <c r="BA16"/>
      <c r="BB16" s="25">
        <f t="shared" si="4"/>
        <v>481</v>
      </c>
      <c r="BC16" s="44"/>
      <c r="BD16" s="44"/>
      <c r="BE16" s="44"/>
      <c r="BF16" s="44"/>
      <c r="BG16" s="44"/>
      <c r="BH16" s="44"/>
      <c r="BI16" s="44"/>
      <c r="BJ16" s="44"/>
      <c r="BK16" s="44"/>
    </row>
    <row r="17" spans="2:63" ht="12.75">
      <c r="B17" s="9" t="s">
        <v>106</v>
      </c>
      <c r="D17" s="9" t="s">
        <v>134</v>
      </c>
      <c r="F17">
        <v>17.6</v>
      </c>
      <c r="G17"/>
      <c r="H17">
        <v>21.4</v>
      </c>
      <c r="I17"/>
      <c r="J17">
        <v>23.8</v>
      </c>
      <c r="K17"/>
      <c r="L17">
        <v>26.8</v>
      </c>
      <c r="M17"/>
      <c r="N17" s="25">
        <f t="shared" si="3"/>
        <v>22.4</v>
      </c>
      <c r="O17" s="52"/>
      <c r="P17">
        <v>0.548</v>
      </c>
      <c r="Q17"/>
      <c r="R17">
        <v>1.15</v>
      </c>
      <c r="S17"/>
      <c r="T17" s="54">
        <v>0.747</v>
      </c>
      <c r="U17" s="54"/>
      <c r="V17" s="54">
        <v>0.765</v>
      </c>
      <c r="W17" s="54"/>
      <c r="X17" s="25">
        <f t="shared" si="0"/>
        <v>0.8025</v>
      </c>
      <c r="Y17" s="52"/>
      <c r="Z17">
        <v>4.84</v>
      </c>
      <c r="AA17"/>
      <c r="AB17">
        <v>5.2</v>
      </c>
      <c r="AC17"/>
      <c r="AD17">
        <v>5.48</v>
      </c>
      <c r="AE17"/>
      <c r="AF17">
        <v>5.32</v>
      </c>
      <c r="AG17"/>
      <c r="AH17" s="25">
        <f t="shared" si="1"/>
        <v>5.21</v>
      </c>
      <c r="AI17" s="52"/>
      <c r="AJ17" s="54">
        <v>2.71</v>
      </c>
      <c r="AK17" s="54"/>
      <c r="AL17" s="54">
        <v>3.22</v>
      </c>
      <c r="AM17" s="54"/>
      <c r="AN17" s="54">
        <v>1.44</v>
      </c>
      <c r="AO17" s="54"/>
      <c r="AP17" s="54">
        <v>1.63</v>
      </c>
      <c r="AQ17" s="54"/>
      <c r="AR17" s="25">
        <f t="shared" si="2"/>
        <v>2.25</v>
      </c>
      <c r="AS17" s="52"/>
      <c r="AT17">
        <v>1600</v>
      </c>
      <c r="AU17"/>
      <c r="AV17">
        <v>1940</v>
      </c>
      <c r="AW17"/>
      <c r="AX17">
        <v>1870</v>
      </c>
      <c r="AY17"/>
      <c r="AZ17">
        <v>2310</v>
      </c>
      <c r="BA17"/>
      <c r="BB17" s="25">
        <f t="shared" si="4"/>
        <v>1930</v>
      </c>
      <c r="BC17" s="44"/>
      <c r="BD17" s="44"/>
      <c r="BE17" s="44"/>
      <c r="BF17" s="44"/>
      <c r="BG17" s="44"/>
      <c r="BH17" s="44"/>
      <c r="BI17" s="44"/>
      <c r="BJ17" s="44"/>
      <c r="BK17" s="44"/>
    </row>
    <row r="18" spans="2:63" ht="12.75">
      <c r="B18" s="9" t="s">
        <v>108</v>
      </c>
      <c r="D18" s="9" t="s">
        <v>134</v>
      </c>
      <c r="F18">
        <v>254</v>
      </c>
      <c r="G18"/>
      <c r="H18">
        <v>431</v>
      </c>
      <c r="I18"/>
      <c r="J18">
        <v>450</v>
      </c>
      <c r="K18"/>
      <c r="L18">
        <v>386</v>
      </c>
      <c r="M18"/>
      <c r="N18" s="25">
        <f t="shared" si="3"/>
        <v>380.25</v>
      </c>
      <c r="O18" s="52"/>
      <c r="P18">
        <v>16.7</v>
      </c>
      <c r="Q18"/>
      <c r="R18">
        <v>29.4</v>
      </c>
      <c r="S18"/>
      <c r="T18" s="54">
        <v>25.8</v>
      </c>
      <c r="U18" s="54"/>
      <c r="V18" s="54">
        <v>25.7</v>
      </c>
      <c r="W18" s="54"/>
      <c r="X18" s="25">
        <f t="shared" si="0"/>
        <v>24.4</v>
      </c>
      <c r="Y18" s="52"/>
      <c r="Z18">
        <v>6.15</v>
      </c>
      <c r="AA18"/>
      <c r="AB18">
        <v>6.6</v>
      </c>
      <c r="AC18"/>
      <c r="AD18">
        <v>6.96</v>
      </c>
      <c r="AE18"/>
      <c r="AF18">
        <v>6.76</v>
      </c>
      <c r="AG18"/>
      <c r="AH18" s="25">
        <f t="shared" si="1"/>
        <v>6.6175</v>
      </c>
      <c r="AI18" s="52"/>
      <c r="AJ18" s="54">
        <v>21.4</v>
      </c>
      <c r="AK18" s="54"/>
      <c r="AL18" s="54">
        <v>70</v>
      </c>
      <c r="AM18" s="54"/>
      <c r="AN18" s="54">
        <v>17.8</v>
      </c>
      <c r="AO18" s="54"/>
      <c r="AP18" s="54">
        <v>20.4</v>
      </c>
      <c r="AQ18" s="54"/>
      <c r="AR18" s="25">
        <f t="shared" si="2"/>
        <v>32.4</v>
      </c>
      <c r="AS18" s="52"/>
      <c r="AT18">
        <v>16600</v>
      </c>
      <c r="AU18"/>
      <c r="AV18">
        <v>16600</v>
      </c>
      <c r="AW18"/>
      <c r="AX18">
        <v>17600</v>
      </c>
      <c r="AY18"/>
      <c r="AZ18">
        <v>18100</v>
      </c>
      <c r="BA18"/>
      <c r="BB18" s="25">
        <f t="shared" si="4"/>
        <v>17225</v>
      </c>
      <c r="BC18" s="44"/>
      <c r="BD18" s="44"/>
      <c r="BE18" s="44"/>
      <c r="BF18" s="44"/>
      <c r="BG18" s="44"/>
      <c r="BH18" s="44"/>
      <c r="BI18" s="44"/>
      <c r="BJ18" s="44"/>
      <c r="BK18" s="44"/>
    </row>
    <row r="19" spans="2:63" ht="12.75">
      <c r="B19" s="9" t="s">
        <v>104</v>
      </c>
      <c r="D19" s="9" t="s">
        <v>134</v>
      </c>
      <c r="F19">
        <v>144</v>
      </c>
      <c r="G19"/>
      <c r="H19">
        <v>229</v>
      </c>
      <c r="I19"/>
      <c r="J19">
        <v>314</v>
      </c>
      <c r="K19"/>
      <c r="L19">
        <v>308</v>
      </c>
      <c r="M19"/>
      <c r="N19" s="25">
        <f t="shared" si="3"/>
        <v>248.75</v>
      </c>
      <c r="O19" s="52"/>
      <c r="P19">
        <v>9.45</v>
      </c>
      <c r="Q19"/>
      <c r="R19">
        <v>18.5</v>
      </c>
      <c r="S19"/>
      <c r="T19" s="54">
        <v>15.5</v>
      </c>
      <c r="U19" s="54"/>
      <c r="V19" s="54">
        <v>16.5</v>
      </c>
      <c r="W19" s="54"/>
      <c r="X19" s="25">
        <f t="shared" si="0"/>
        <v>14.9875</v>
      </c>
      <c r="Y19" s="52"/>
      <c r="Z19">
        <v>32.2</v>
      </c>
      <c r="AA19"/>
      <c r="AB19">
        <v>34.6</v>
      </c>
      <c r="AC19"/>
      <c r="AD19">
        <v>36.4</v>
      </c>
      <c r="AE19"/>
      <c r="AF19">
        <v>35.4</v>
      </c>
      <c r="AG19"/>
      <c r="AH19" s="25">
        <f t="shared" si="1"/>
        <v>34.650000000000006</v>
      </c>
      <c r="AI19" s="52"/>
      <c r="AJ19" s="54">
        <v>17.8</v>
      </c>
      <c r="AK19" s="54"/>
      <c r="AL19" s="54">
        <v>48.3</v>
      </c>
      <c r="AM19" s="54"/>
      <c r="AN19" s="54">
        <v>23.6</v>
      </c>
      <c r="AO19" s="54"/>
      <c r="AP19" s="54">
        <v>40.1</v>
      </c>
      <c r="AQ19" s="54"/>
      <c r="AR19" s="25">
        <f t="shared" si="2"/>
        <v>32.449999999999996</v>
      </c>
      <c r="AS19" s="52"/>
      <c r="AT19">
        <v>26900</v>
      </c>
      <c r="AU19"/>
      <c r="AV19">
        <v>27000</v>
      </c>
      <c r="AW19"/>
      <c r="AX19">
        <v>28900</v>
      </c>
      <c r="AY19"/>
      <c r="AZ19">
        <v>28800</v>
      </c>
      <c r="BA19"/>
      <c r="BB19" s="25">
        <f t="shared" si="4"/>
        <v>27900</v>
      </c>
      <c r="BC19" s="44"/>
      <c r="BD19" s="44"/>
      <c r="BE19" s="44"/>
      <c r="BF19" s="44"/>
      <c r="BG19" s="44"/>
      <c r="BH19" s="44"/>
      <c r="BI19" s="44"/>
      <c r="BJ19" s="44"/>
      <c r="BK19" s="44"/>
    </row>
    <row r="20" spans="2:63" ht="12.75">
      <c r="B20" s="9" t="s">
        <v>112</v>
      </c>
      <c r="D20" s="9" t="s">
        <v>134</v>
      </c>
      <c r="F20">
        <v>7.1</v>
      </c>
      <c r="G20"/>
      <c r="H20">
        <v>6.21</v>
      </c>
      <c r="I20"/>
      <c r="J20">
        <v>7.21</v>
      </c>
      <c r="K20"/>
      <c r="L20">
        <v>7.49</v>
      </c>
      <c r="M20"/>
      <c r="N20" s="25">
        <f t="shared" si="3"/>
        <v>7.0024999999999995</v>
      </c>
      <c r="O20" s="52"/>
      <c r="P20">
        <v>0.27</v>
      </c>
      <c r="Q20"/>
      <c r="R20">
        <v>0.433</v>
      </c>
      <c r="S20"/>
      <c r="T20" s="54">
        <v>0.354</v>
      </c>
      <c r="U20" s="54"/>
      <c r="V20" s="54">
        <v>0.3</v>
      </c>
      <c r="W20" s="54"/>
      <c r="X20" s="25">
        <f t="shared" si="0"/>
        <v>0.33925</v>
      </c>
      <c r="Y20" s="52"/>
      <c r="Z20">
        <v>0.22</v>
      </c>
      <c r="AA20"/>
      <c r="AB20">
        <v>0.236</v>
      </c>
      <c r="AC20"/>
      <c r="AD20">
        <v>0.249</v>
      </c>
      <c r="AE20"/>
      <c r="AF20">
        <v>0.241</v>
      </c>
      <c r="AG20"/>
      <c r="AH20" s="25">
        <f t="shared" si="1"/>
        <v>0.2365</v>
      </c>
      <c r="AI20" s="52"/>
      <c r="AJ20">
        <v>0.748</v>
      </c>
      <c r="AK20"/>
      <c r="AL20">
        <v>0.74</v>
      </c>
      <c r="AM20"/>
      <c r="AN20">
        <v>0.756</v>
      </c>
      <c r="AO20"/>
      <c r="AP20">
        <v>0.748</v>
      </c>
      <c r="AQ20"/>
      <c r="AR20" s="25">
        <f t="shared" si="2"/>
        <v>0.748</v>
      </c>
      <c r="AS20" s="52"/>
      <c r="AT20"/>
      <c r="AU20"/>
      <c r="AV20"/>
      <c r="AW20"/>
      <c r="AX20"/>
      <c r="AY20"/>
      <c r="AZ20"/>
      <c r="BA20"/>
      <c r="BB20"/>
      <c r="BC20" s="44"/>
      <c r="BD20" s="44"/>
      <c r="BE20" s="44"/>
      <c r="BF20" s="44"/>
      <c r="BG20" s="44"/>
      <c r="BH20" s="44"/>
      <c r="BI20" s="44"/>
      <c r="BJ20" s="44"/>
      <c r="BK20" s="44"/>
    </row>
    <row r="21" spans="2:63" ht="12.75">
      <c r="B21" s="9" t="s">
        <v>105</v>
      </c>
      <c r="D21" s="9" t="s">
        <v>134</v>
      </c>
      <c r="F21">
        <v>297</v>
      </c>
      <c r="G21"/>
      <c r="H21">
        <v>338</v>
      </c>
      <c r="I21"/>
      <c r="J21">
        <v>322</v>
      </c>
      <c r="K21"/>
      <c r="L21">
        <v>358</v>
      </c>
      <c r="M21"/>
      <c r="N21" s="25">
        <f t="shared" si="3"/>
        <v>328.75</v>
      </c>
      <c r="O21" s="52"/>
      <c r="P21">
        <v>40.2</v>
      </c>
      <c r="Q21"/>
      <c r="R21">
        <v>67.3</v>
      </c>
      <c r="S21"/>
      <c r="T21" s="54">
        <v>69.7</v>
      </c>
      <c r="U21" s="54"/>
      <c r="V21" s="54">
        <v>66.5</v>
      </c>
      <c r="W21" s="54"/>
      <c r="X21" s="25">
        <f t="shared" si="0"/>
        <v>60.925</v>
      </c>
      <c r="Y21" s="52"/>
      <c r="Z21">
        <v>6.68</v>
      </c>
      <c r="AA21"/>
      <c r="AB21">
        <v>7.18</v>
      </c>
      <c r="AC21"/>
      <c r="AD21">
        <v>7.57</v>
      </c>
      <c r="AE21"/>
      <c r="AF21">
        <v>7.35</v>
      </c>
      <c r="AG21"/>
      <c r="AH21" s="25">
        <f t="shared" si="1"/>
        <v>7.195</v>
      </c>
      <c r="AI21" s="52"/>
      <c r="AJ21">
        <v>25.4</v>
      </c>
      <c r="AK21"/>
      <c r="AL21">
        <v>28.1</v>
      </c>
      <c r="AM21"/>
      <c r="AN21">
        <v>10.2</v>
      </c>
      <c r="AO21"/>
      <c r="AP21">
        <v>12</v>
      </c>
      <c r="AQ21"/>
      <c r="AR21" s="25">
        <f t="shared" si="2"/>
        <v>18.925</v>
      </c>
      <c r="AS21" s="52"/>
      <c r="AT21"/>
      <c r="AU21"/>
      <c r="AV21"/>
      <c r="AW21"/>
      <c r="AX21"/>
      <c r="AY21"/>
      <c r="AZ21"/>
      <c r="BA21"/>
      <c r="BB21"/>
      <c r="BC21" s="44"/>
      <c r="BD21" s="44"/>
      <c r="BE21" s="44"/>
      <c r="BF21" s="44"/>
      <c r="BG21" s="44"/>
      <c r="BH21" s="44"/>
      <c r="BI21" s="44"/>
      <c r="BJ21" s="44"/>
      <c r="BK21" s="44"/>
    </row>
    <row r="22" spans="2:63" ht="12.75">
      <c r="B22" s="9" t="s">
        <v>107</v>
      </c>
      <c r="D22" s="9" t="s">
        <v>134</v>
      </c>
      <c r="F22">
        <v>15.5</v>
      </c>
      <c r="G22"/>
      <c r="H22">
        <v>15.8</v>
      </c>
      <c r="I22"/>
      <c r="J22">
        <v>15.9</v>
      </c>
      <c r="K22"/>
      <c r="L22">
        <v>15.9</v>
      </c>
      <c r="M22"/>
      <c r="N22" s="25">
        <f t="shared" si="3"/>
        <v>15.775</v>
      </c>
      <c r="O22" s="52"/>
      <c r="P22">
        <v>0.548</v>
      </c>
      <c r="Q22"/>
      <c r="R22">
        <v>0.933</v>
      </c>
      <c r="S22"/>
      <c r="T22" s="54">
        <v>0.747</v>
      </c>
      <c r="U22" s="54"/>
      <c r="V22" s="54">
        <v>0.676</v>
      </c>
      <c r="W22" s="54"/>
      <c r="X22" s="25">
        <f t="shared" si="0"/>
        <v>0.7260000000000001</v>
      </c>
      <c r="Y22" s="52"/>
      <c r="Z22">
        <v>1.1</v>
      </c>
      <c r="AA22"/>
      <c r="AB22">
        <v>1.18</v>
      </c>
      <c r="AC22"/>
      <c r="AD22">
        <v>1.24</v>
      </c>
      <c r="AE22"/>
      <c r="AF22">
        <v>1.21</v>
      </c>
      <c r="AG22"/>
      <c r="AH22" s="25">
        <f t="shared" si="1"/>
        <v>1.1825</v>
      </c>
      <c r="AI22" s="52"/>
      <c r="AJ22">
        <v>1.5</v>
      </c>
      <c r="AK22"/>
      <c r="AL22">
        <v>1.41</v>
      </c>
      <c r="AM22"/>
      <c r="AN22">
        <v>1.44</v>
      </c>
      <c r="AO22"/>
      <c r="AP22">
        <v>1.5</v>
      </c>
      <c r="AQ22"/>
      <c r="AR22" s="25">
        <f t="shared" si="2"/>
        <v>1.4625</v>
      </c>
      <c r="AS22" s="52"/>
      <c r="AT22"/>
      <c r="AU22"/>
      <c r="AV22"/>
      <c r="AW22"/>
      <c r="AX22"/>
      <c r="AY22"/>
      <c r="AZ22"/>
      <c r="BA22"/>
      <c r="BB22"/>
      <c r="BC22" s="44"/>
      <c r="BD22" s="44"/>
      <c r="BE22" s="44"/>
      <c r="BF22" s="44"/>
      <c r="BG22" s="44"/>
      <c r="BH22" s="44"/>
      <c r="BI22" s="44"/>
      <c r="BJ22" s="44"/>
      <c r="BK22" s="44"/>
    </row>
    <row r="23" spans="2:63" ht="12.75">
      <c r="B23" s="9" t="s">
        <v>102</v>
      </c>
      <c r="D23" s="9" t="s">
        <v>134</v>
      </c>
      <c r="F23">
        <v>77.4</v>
      </c>
      <c r="G23"/>
      <c r="H23">
        <v>78.9</v>
      </c>
      <c r="I23"/>
      <c r="J23">
        <v>79.2</v>
      </c>
      <c r="K23"/>
      <c r="L23">
        <v>79.6</v>
      </c>
      <c r="M23"/>
      <c r="N23" s="25">
        <f t="shared" si="3"/>
        <v>78.775</v>
      </c>
      <c r="O23" s="52"/>
      <c r="P23">
        <v>2.74</v>
      </c>
      <c r="Q23"/>
      <c r="R23">
        <v>4.66</v>
      </c>
      <c r="S23"/>
      <c r="T23" s="54">
        <v>3.73</v>
      </c>
      <c r="U23" s="54"/>
      <c r="V23" s="54">
        <v>3.39</v>
      </c>
      <c r="W23" s="54"/>
      <c r="X23" s="25">
        <f t="shared" si="0"/>
        <v>3.6300000000000003</v>
      </c>
      <c r="Y23" s="52"/>
      <c r="Z23">
        <v>1.1</v>
      </c>
      <c r="AA23"/>
      <c r="AB23">
        <v>1.18</v>
      </c>
      <c r="AC23"/>
      <c r="AD23">
        <v>1.24</v>
      </c>
      <c r="AE23"/>
      <c r="AF23">
        <v>1.21</v>
      </c>
      <c r="AG23"/>
      <c r="AH23" s="25">
        <f t="shared" si="1"/>
        <v>1.1825</v>
      </c>
      <c r="AI23" s="52"/>
      <c r="AJ23">
        <v>7.52</v>
      </c>
      <c r="AK23"/>
      <c r="AL23">
        <v>7.06</v>
      </c>
      <c r="AM23"/>
      <c r="AN23">
        <v>7.19</v>
      </c>
      <c r="AO23"/>
      <c r="AP23">
        <v>7.53</v>
      </c>
      <c r="AQ23"/>
      <c r="AR23" s="25">
        <f t="shared" si="2"/>
        <v>7.325</v>
      </c>
      <c r="AS23" s="52"/>
      <c r="AT23"/>
      <c r="AU23"/>
      <c r="AV23"/>
      <c r="AW23"/>
      <c r="AX23"/>
      <c r="AY23"/>
      <c r="AZ23"/>
      <c r="BA23"/>
      <c r="BB23"/>
      <c r="BC23" s="44"/>
      <c r="BD23" s="44"/>
      <c r="BE23" s="44"/>
      <c r="BF23" s="44"/>
      <c r="BG23" s="44"/>
      <c r="BH23" s="44"/>
      <c r="BI23" s="44"/>
      <c r="BJ23" s="44"/>
      <c r="BK23" s="44"/>
    </row>
    <row r="24" spans="2:63" ht="12.75">
      <c r="B24" s="9" t="s">
        <v>139</v>
      </c>
      <c r="D24" s="9" t="s">
        <v>134</v>
      </c>
      <c r="F24">
        <v>925</v>
      </c>
      <c r="G24"/>
      <c r="H24">
        <v>1020</v>
      </c>
      <c r="I24"/>
      <c r="J24">
        <v>1130</v>
      </c>
      <c r="K24"/>
      <c r="L24">
        <v>1310</v>
      </c>
      <c r="M24"/>
      <c r="N24" s="25">
        <f t="shared" si="3"/>
        <v>1096.25</v>
      </c>
      <c r="O24" s="52"/>
      <c r="P24">
        <v>44.4</v>
      </c>
      <c r="Q24"/>
      <c r="R24">
        <v>90.4</v>
      </c>
      <c r="S24"/>
      <c r="T24" s="54">
        <v>64.8</v>
      </c>
      <c r="U24" s="54"/>
      <c r="V24" s="54">
        <v>76.2</v>
      </c>
      <c r="W24" s="54"/>
      <c r="X24" s="25">
        <f t="shared" si="0"/>
        <v>68.95</v>
      </c>
      <c r="Y24" s="52"/>
      <c r="Z24">
        <v>11000</v>
      </c>
      <c r="AA24"/>
      <c r="AB24">
        <v>11800</v>
      </c>
      <c r="AC24"/>
      <c r="AD24">
        <v>12500</v>
      </c>
      <c r="AE24"/>
      <c r="AF24">
        <v>12100</v>
      </c>
      <c r="AG24"/>
      <c r="AH24" s="25">
        <f t="shared" si="1"/>
        <v>11850</v>
      </c>
      <c r="AI24" s="52"/>
      <c r="AJ24">
        <v>831</v>
      </c>
      <c r="AK24"/>
      <c r="AL24">
        <v>1070</v>
      </c>
      <c r="AM24"/>
      <c r="AN24">
        <v>286</v>
      </c>
      <c r="AO24"/>
      <c r="AP24">
        <v>424</v>
      </c>
      <c r="AQ24"/>
      <c r="AR24" s="25">
        <f t="shared" si="2"/>
        <v>652.75</v>
      </c>
      <c r="AS24" s="52"/>
      <c r="AT24"/>
      <c r="AU24"/>
      <c r="AV24"/>
      <c r="AW24"/>
      <c r="AX24"/>
      <c r="AY24"/>
      <c r="AZ24"/>
      <c r="BA24"/>
      <c r="BB24"/>
      <c r="BC24" s="44"/>
      <c r="BD24" s="44"/>
      <c r="BE24" s="44"/>
      <c r="BF24" s="44"/>
      <c r="BG24" s="44"/>
      <c r="BH24" s="44"/>
      <c r="BI24" s="44"/>
      <c r="BJ24" s="44"/>
      <c r="BK24" s="44"/>
    </row>
    <row r="26" spans="2:64" ht="12.75">
      <c r="B26" s="9" t="s">
        <v>72</v>
      </c>
      <c r="D26" s="9" t="s">
        <v>16</v>
      </c>
      <c r="F26" s="44">
        <f>'emiss 1'!$G$42</f>
        <v>106459</v>
      </c>
      <c r="G26" s="44"/>
      <c r="H26" s="44">
        <f>'emiss 1'!$I$42</f>
        <v>107356</v>
      </c>
      <c r="I26" s="44"/>
      <c r="J26" s="44">
        <f>'emiss 1'!$K$42</f>
        <v>108117</v>
      </c>
      <c r="K26" s="44"/>
      <c r="L26" s="44">
        <f>'emiss 1'!$M$42</f>
        <v>104915</v>
      </c>
      <c r="M26" s="44"/>
      <c r="N26" s="45">
        <f>'emiss 1'!$O$42</f>
        <v>106711.75</v>
      </c>
      <c r="O26" s="45"/>
      <c r="P26" s="44">
        <f>'emiss 1'!$G$42</f>
        <v>106459</v>
      </c>
      <c r="R26" s="44">
        <f>'emiss 1'!$I$42</f>
        <v>107356</v>
      </c>
      <c r="T26" s="44">
        <f>'emiss 1'!$K$42</f>
        <v>108117</v>
      </c>
      <c r="V26" s="44">
        <f>'emiss 1'!$M$42</f>
        <v>104915</v>
      </c>
      <c r="X26" s="45">
        <f>'emiss 1'!$O$42</f>
        <v>106711.75</v>
      </c>
      <c r="Y26" s="45"/>
      <c r="Z26" s="44">
        <f>'emiss 1'!$G$42</f>
        <v>106459</v>
      </c>
      <c r="AA26" s="44"/>
      <c r="AB26" s="44">
        <f>'emiss 1'!$I$42</f>
        <v>107356</v>
      </c>
      <c r="AC26" s="44"/>
      <c r="AD26" s="44">
        <f>'emiss 1'!$K$42</f>
        <v>108117</v>
      </c>
      <c r="AE26" s="44"/>
      <c r="AF26" s="44">
        <f>'emiss 1'!$M$42</f>
        <v>104915</v>
      </c>
      <c r="AG26" s="44"/>
      <c r="AH26" s="45">
        <f>'emiss 1'!$O$42</f>
        <v>106711.75</v>
      </c>
      <c r="AI26" s="45"/>
      <c r="AJ26" s="44">
        <f>'emiss 1'!$G$42</f>
        <v>106459</v>
      </c>
      <c r="AK26" s="44"/>
      <c r="AL26" s="44">
        <f>'emiss 1'!$I$42</f>
        <v>107356</v>
      </c>
      <c r="AM26" s="44"/>
      <c r="AN26" s="44">
        <f>'emiss 1'!$K$42</f>
        <v>108117</v>
      </c>
      <c r="AO26" s="44"/>
      <c r="AP26" s="44">
        <f>'emiss 1'!$M$42</f>
        <v>104915</v>
      </c>
      <c r="AQ26" s="44"/>
      <c r="AR26" s="45">
        <f>'emiss 1'!$O$42</f>
        <v>106711.75</v>
      </c>
      <c r="AS26" s="45"/>
      <c r="AT26" s="44">
        <f>'emiss 1'!$G$42</f>
        <v>106459</v>
      </c>
      <c r="AU26" s="44"/>
      <c r="AV26" s="44">
        <f>'emiss 1'!$I$42</f>
        <v>107356</v>
      </c>
      <c r="AW26" s="44"/>
      <c r="AX26" s="44">
        <f>'emiss 1'!$K$42</f>
        <v>108117</v>
      </c>
      <c r="AY26" s="44"/>
      <c r="AZ26" s="44">
        <f>'emiss 1'!$M$42</f>
        <v>104915</v>
      </c>
      <c r="BA26" s="44"/>
      <c r="BB26" s="45">
        <f>'emiss 1'!$O$42</f>
        <v>106711.75</v>
      </c>
      <c r="BD26" s="4">
        <f>AT26</f>
        <v>106459</v>
      </c>
      <c r="BF26" s="4">
        <f>AV26</f>
        <v>107356</v>
      </c>
      <c r="BH26" s="4">
        <f>AX26</f>
        <v>108117</v>
      </c>
      <c r="BJ26" s="4">
        <f>AZ26</f>
        <v>104915</v>
      </c>
      <c r="BL26" s="45">
        <f>BB26</f>
        <v>106711.75</v>
      </c>
    </row>
    <row r="27" spans="2:64" ht="12.75">
      <c r="B27" s="9" t="s">
        <v>73</v>
      </c>
      <c r="D27" s="9" t="s">
        <v>14</v>
      </c>
      <c r="F27" s="45">
        <f>'emiss 1'!$G$43</f>
        <v>7.88</v>
      </c>
      <c r="G27" s="45"/>
      <c r="H27" s="45">
        <f>'emiss 1'!$I$43</f>
        <v>7.84</v>
      </c>
      <c r="I27" s="45"/>
      <c r="J27" s="45">
        <f>'emiss 1'!$K$43</f>
        <v>7.71</v>
      </c>
      <c r="K27" s="45"/>
      <c r="L27" s="45">
        <f>'emiss 1'!$M$43</f>
        <v>7.72</v>
      </c>
      <c r="M27" s="45"/>
      <c r="N27" s="45">
        <f>'emiss 1'!$O$43</f>
        <v>7.7875</v>
      </c>
      <c r="O27" s="45"/>
      <c r="P27" s="45">
        <f>'emiss 1'!$G$43</f>
        <v>7.88</v>
      </c>
      <c r="Q27" s="45"/>
      <c r="R27" s="45">
        <f>'emiss 1'!$I$43</f>
        <v>7.84</v>
      </c>
      <c r="S27" s="45"/>
      <c r="T27" s="45">
        <f>'emiss 1'!$K$43</f>
        <v>7.71</v>
      </c>
      <c r="U27" s="45"/>
      <c r="V27" s="45">
        <f>'emiss 1'!$M$43</f>
        <v>7.72</v>
      </c>
      <c r="W27" s="45"/>
      <c r="X27" s="45">
        <f>'emiss 1'!$O$43</f>
        <v>7.7875</v>
      </c>
      <c r="Y27" s="45"/>
      <c r="Z27" s="45">
        <f>'emiss 1'!$G$43</f>
        <v>7.88</v>
      </c>
      <c r="AA27" s="45"/>
      <c r="AB27" s="45">
        <f>'emiss 1'!$I$43</f>
        <v>7.84</v>
      </c>
      <c r="AC27" s="45"/>
      <c r="AD27" s="45">
        <f>'emiss 1'!$K$43</f>
        <v>7.71</v>
      </c>
      <c r="AE27" s="45"/>
      <c r="AF27" s="45">
        <f>'emiss 1'!$M$43</f>
        <v>7.72</v>
      </c>
      <c r="AG27" s="45"/>
      <c r="AH27" s="45">
        <f>'emiss 1'!$O$43</f>
        <v>7.7875</v>
      </c>
      <c r="AI27" s="45"/>
      <c r="AJ27" s="45">
        <f>'emiss 1'!$G$43</f>
        <v>7.88</v>
      </c>
      <c r="AK27" s="45"/>
      <c r="AL27" s="45">
        <f>'emiss 1'!$I$43</f>
        <v>7.84</v>
      </c>
      <c r="AM27" s="45"/>
      <c r="AN27" s="45">
        <f>'emiss 1'!$K$43</f>
        <v>7.71</v>
      </c>
      <c r="AO27" s="45"/>
      <c r="AP27" s="45">
        <f>'emiss 1'!$M$43</f>
        <v>7.72</v>
      </c>
      <c r="AQ27" s="45"/>
      <c r="AR27" s="45">
        <f>'emiss 1'!$O$43</f>
        <v>7.7875</v>
      </c>
      <c r="AS27" s="45"/>
      <c r="AT27" s="45">
        <f>'emiss 1'!$G$43</f>
        <v>7.88</v>
      </c>
      <c r="AU27" s="45"/>
      <c r="AV27" s="45">
        <f>'emiss 1'!$I$43</f>
        <v>7.84</v>
      </c>
      <c r="AW27" s="45"/>
      <c r="AX27" s="45">
        <f>'emiss 1'!$K$43</f>
        <v>7.71</v>
      </c>
      <c r="AY27" s="45"/>
      <c r="AZ27" s="45">
        <f>'emiss 1'!$M$43</f>
        <v>7.72</v>
      </c>
      <c r="BA27" s="45"/>
      <c r="BB27" s="45">
        <f>'emiss 1'!$O$43</f>
        <v>7.7875</v>
      </c>
      <c r="BC27" s="14"/>
      <c r="BD27" s="14">
        <f>AT27</f>
        <v>7.88</v>
      </c>
      <c r="BE27" s="14"/>
      <c r="BF27" s="14">
        <f>AV27</f>
        <v>7.84</v>
      </c>
      <c r="BG27" s="14"/>
      <c r="BH27" s="14">
        <f>AX27</f>
        <v>7.71</v>
      </c>
      <c r="BI27" s="14"/>
      <c r="BJ27" s="14">
        <f>AZ27</f>
        <v>7.72</v>
      </c>
      <c r="BK27" s="14"/>
      <c r="BL27" s="45">
        <f>'emiss 1'!$O$43</f>
        <v>7.7875</v>
      </c>
    </row>
    <row r="28" spans="6:64" ht="12.75">
      <c r="F28" s="44"/>
      <c r="G28" s="44"/>
      <c r="H28" s="44"/>
      <c r="I28" s="44"/>
      <c r="J28" s="44"/>
      <c r="K28" s="44"/>
      <c r="L28" s="44"/>
      <c r="M28" s="44"/>
      <c r="N28" s="45"/>
      <c r="O28" s="45"/>
      <c r="X28" s="45"/>
      <c r="Y28" s="45"/>
      <c r="Z28" s="44"/>
      <c r="AA28" s="44"/>
      <c r="AB28" s="44"/>
      <c r="AC28" s="44"/>
      <c r="AD28" s="44"/>
      <c r="AE28" s="44"/>
      <c r="AF28" s="44"/>
      <c r="AG28" s="44"/>
      <c r="AH28" s="45"/>
      <c r="AI28" s="45"/>
      <c r="AJ28" s="44"/>
      <c r="AK28" s="44"/>
      <c r="AL28" s="44"/>
      <c r="AM28" s="44"/>
      <c r="AN28" s="44"/>
      <c r="AO28" s="44"/>
      <c r="AP28" s="44"/>
      <c r="AQ28" s="44"/>
      <c r="AR28" s="45"/>
      <c r="AS28" s="45"/>
      <c r="AT28" s="44"/>
      <c r="AU28" s="44"/>
      <c r="AV28" s="44"/>
      <c r="AW28" s="44"/>
      <c r="AX28" s="44"/>
      <c r="AY28" s="44"/>
      <c r="AZ28" s="44"/>
      <c r="BA28" s="44"/>
      <c r="BB28" s="45"/>
      <c r="BL28" s="45"/>
    </row>
    <row r="29" spans="2:64" ht="12.75">
      <c r="B29" s="30" t="s">
        <v>326</v>
      </c>
      <c r="D29" s="30" t="s">
        <v>167</v>
      </c>
      <c r="F29" s="44"/>
      <c r="G29" s="44"/>
      <c r="H29" s="44"/>
      <c r="I29" s="44"/>
      <c r="J29" s="44"/>
      <c r="K29" s="44"/>
      <c r="L29" s="44"/>
      <c r="M29" s="44"/>
      <c r="N29" s="45"/>
      <c r="O29" s="45"/>
      <c r="X29" s="45"/>
      <c r="Y29" s="45"/>
      <c r="Z29" s="44"/>
      <c r="AA29" s="44"/>
      <c r="AB29" s="44"/>
      <c r="AC29" s="44"/>
      <c r="AD29" s="44"/>
      <c r="AE29" s="44"/>
      <c r="AF29" s="44"/>
      <c r="AG29" s="44"/>
      <c r="AH29" s="45"/>
      <c r="AI29" s="45"/>
      <c r="AJ29" s="44"/>
      <c r="AK29" s="44"/>
      <c r="AL29" s="44"/>
      <c r="AM29" s="44"/>
      <c r="AN29" s="44"/>
      <c r="AO29" s="44"/>
      <c r="AP29" s="44"/>
      <c r="AQ29" s="44"/>
      <c r="AR29" s="45"/>
      <c r="AS29" s="45"/>
      <c r="AT29" s="44"/>
      <c r="AU29" s="44"/>
      <c r="AV29" s="44"/>
      <c r="AW29" s="44"/>
      <c r="AX29" s="44"/>
      <c r="AY29" s="44"/>
      <c r="AZ29" s="44"/>
      <c r="BA29" s="44"/>
      <c r="BB29" s="45"/>
      <c r="BD29" s="39">
        <f>BD26/9000*60*(21-BD27)/21</f>
        <v>443.4101841269841</v>
      </c>
      <c r="BF29" s="39">
        <f>BF26/9000*60*(21-BF27)/21</f>
        <v>448.5095111111112</v>
      </c>
      <c r="BH29" s="39">
        <f>BH26/9000*60*(21-BH27)/21</f>
        <v>456.15077142857143</v>
      </c>
      <c r="BJ29" s="39">
        <f>BJ26/9000*60*(21-BJ27)/21</f>
        <v>442.3083174603175</v>
      </c>
      <c r="BL29" s="39">
        <f>BL26/9000*60*(21-BL27)/21</f>
        <v>447.5965069444445</v>
      </c>
    </row>
    <row r="30" ht="12.75">
      <c r="BL30" s="14"/>
    </row>
    <row r="31" spans="2:64" ht="12.75">
      <c r="B31" s="48" t="s">
        <v>89</v>
      </c>
      <c r="C31" s="48"/>
      <c r="BL31" s="14"/>
    </row>
    <row r="32" spans="2:64" ht="12.75">
      <c r="B32" s="9" t="s">
        <v>22</v>
      </c>
      <c r="D32" s="9" t="s">
        <v>70</v>
      </c>
      <c r="F32" s="73">
        <f aca="true" t="shared" si="5" ref="F32:L44">F12/F$26/60/0.0283*1000000*(21-7)/(21-F$27)</f>
        <v>70836.22004759956</v>
      </c>
      <c r="G32" s="73"/>
      <c r="H32" s="73">
        <f t="shared" si="5"/>
        <v>79951.88473633569</v>
      </c>
      <c r="I32" s="73"/>
      <c r="J32" s="73">
        <f t="shared" si="5"/>
        <v>64841.018174851844</v>
      </c>
      <c r="K32" s="73"/>
      <c r="L32" s="73">
        <f t="shared" si="5"/>
        <v>62727.87205650703</v>
      </c>
      <c r="M32" s="73"/>
      <c r="N32" s="73">
        <f aca="true" t="shared" si="6" ref="N32:BB32">N12/N$26/60/0.0283*1000000*(21-7)/(21-N$27)</f>
        <v>69588.91556597206</v>
      </c>
      <c r="O32" s="73"/>
      <c r="P32" s="73">
        <f t="shared" si="6"/>
        <v>20306.383080311873</v>
      </c>
      <c r="Q32" s="73"/>
      <c r="R32" s="73">
        <f t="shared" si="6"/>
        <v>28712.647657136607</v>
      </c>
      <c r="S32" s="73"/>
      <c r="T32" s="73">
        <f t="shared" si="6"/>
        <v>9238.41055411606</v>
      </c>
      <c r="U32" s="73"/>
      <c r="V32" s="73">
        <f t="shared" si="6"/>
        <v>13492.410215927925</v>
      </c>
      <c r="W32" s="73"/>
      <c r="X32" s="73">
        <f t="shared" si="6"/>
        <v>17908.912094183986</v>
      </c>
      <c r="Y32" s="73"/>
      <c r="Z32" s="73">
        <f t="shared" si="6"/>
        <v>38900.89084280675</v>
      </c>
      <c r="AA32" s="73"/>
      <c r="AB32" s="73">
        <f t="shared" si="6"/>
        <v>41318.20028709903</v>
      </c>
      <c r="AC32" s="73"/>
      <c r="AD32" s="73">
        <f t="shared" si="6"/>
        <v>42806.548281804855</v>
      </c>
      <c r="AE32" s="73"/>
      <c r="AF32" s="73">
        <f t="shared" si="6"/>
        <v>42844.32015935008</v>
      </c>
      <c r="AG32" s="73"/>
      <c r="AH32" s="73">
        <f t="shared" si="6"/>
        <v>41475.57845812242</v>
      </c>
      <c r="AI32" s="73"/>
      <c r="AJ32" s="73">
        <f t="shared" si="6"/>
        <v>277441.86185309826</v>
      </c>
      <c r="AK32" s="73"/>
      <c r="AL32" s="73">
        <f t="shared" si="6"/>
        <v>350154.2397211782</v>
      </c>
      <c r="AM32" s="73"/>
      <c r="AN32" s="73">
        <f t="shared" si="6"/>
        <v>487742.17211171734</v>
      </c>
      <c r="AO32" s="73"/>
      <c r="AP32" s="73">
        <f t="shared" si="6"/>
        <v>798300.9377757357</v>
      </c>
      <c r="AQ32" s="73"/>
      <c r="AR32" s="73">
        <f t="shared" si="6"/>
        <v>477912.11131336686</v>
      </c>
      <c r="AS32" s="73"/>
      <c r="AT32" s="73">
        <f t="shared" si="6"/>
        <v>885452.7505949945</v>
      </c>
      <c r="AU32" s="73"/>
      <c r="AV32" s="73">
        <f t="shared" si="6"/>
        <v>676964.8634609444</v>
      </c>
      <c r="AW32" s="73"/>
      <c r="AX32" s="73">
        <f t="shared" si="6"/>
        <v>579552.4633327465</v>
      </c>
      <c r="AY32" s="73"/>
      <c r="AZ32" s="73">
        <f t="shared" si="6"/>
        <v>562775.5313748885</v>
      </c>
      <c r="BA32" s="73"/>
      <c r="BB32" s="73">
        <f t="shared" si="6"/>
        <v>675568.0227528507</v>
      </c>
      <c r="BC32" s="73"/>
      <c r="BD32" s="74">
        <f aca="true" t="shared" si="7" ref="BD32:BD44">F32+P32+Z32+AJ32+AT32</f>
        <v>1292938.106418811</v>
      </c>
      <c r="BE32" s="74"/>
      <c r="BF32" s="74">
        <f aca="true" t="shared" si="8" ref="BF32:BF44">H32+R32+AB32+AL32+AV32</f>
        <v>1177101.8358626938</v>
      </c>
      <c r="BG32" s="74"/>
      <c r="BH32" s="74">
        <f aca="true" t="shared" si="9" ref="BH32:BH44">J32+T32+AD32+AN32+AX32</f>
        <v>1184180.6124552367</v>
      </c>
      <c r="BI32" s="74"/>
      <c r="BJ32" s="74">
        <f aca="true" t="shared" si="10" ref="BJ32:BJ44">L32+V32+AF32+AP32+AZ32</f>
        <v>1480141.0715824093</v>
      </c>
      <c r="BK32" s="74"/>
      <c r="BL32" s="74">
        <f>N32+X32+AH32+AR32+BB32</f>
        <v>1282453.540184496</v>
      </c>
    </row>
    <row r="33" spans="2:64" ht="12.75">
      <c r="B33" s="9" t="s">
        <v>103</v>
      </c>
      <c r="D33" s="9" t="s">
        <v>70</v>
      </c>
      <c r="F33" s="73">
        <f t="shared" si="5"/>
        <v>365.98713691259775</v>
      </c>
      <c r="G33" s="73"/>
      <c r="H33" s="73">
        <f t="shared" si="5"/>
        <v>368.2455421067724</v>
      </c>
      <c r="I33" s="73"/>
      <c r="J33" s="73">
        <f t="shared" si="5"/>
        <v>363.7982789633281</v>
      </c>
      <c r="K33" s="73"/>
      <c r="L33" s="73">
        <f t="shared" si="5"/>
        <v>376.9590047169337</v>
      </c>
      <c r="M33" s="73"/>
      <c r="N33" s="73">
        <f aca="true" t="shared" si="11" ref="N33:V44">N13/N$26/60/0.0283*1000000*(21-7)/(21-N$27)</f>
        <v>368.7042963390368</v>
      </c>
      <c r="O33" s="73"/>
      <c r="P33" s="73">
        <f t="shared" si="11"/>
        <v>12.92761015868692</v>
      </c>
      <c r="Q33" s="73"/>
      <c r="R33" s="73">
        <f t="shared" si="11"/>
        <v>21.767921902666576</v>
      </c>
      <c r="S33" s="73"/>
      <c r="T33" s="73">
        <f t="shared" si="11"/>
        <v>17.157048171929826</v>
      </c>
      <c r="U33" s="73"/>
      <c r="V33" s="73">
        <f t="shared" si="11"/>
        <v>16.037031440861703</v>
      </c>
      <c r="W33" s="73"/>
      <c r="X33" s="73">
        <f aca="true" t="shared" si="12" ref="X33:AF44">X13/X$26/60/0.0283*1000000*(21-7)/(21-X$27)</f>
        <v>16.987882329340238</v>
      </c>
      <c r="Y33" s="73"/>
      <c r="Z33" s="73">
        <f t="shared" si="12"/>
        <v>116.87976307853928</v>
      </c>
      <c r="AA33" s="73"/>
      <c r="AB33" s="73">
        <f t="shared" si="12"/>
        <v>123.72116470148295</v>
      </c>
      <c r="AC33" s="73"/>
      <c r="AD33" s="73">
        <f t="shared" si="12"/>
        <v>128.53440770944084</v>
      </c>
      <c r="AE33" s="73"/>
      <c r="AF33" s="73">
        <f t="shared" si="12"/>
        <v>128.41460600247194</v>
      </c>
      <c r="AG33" s="73"/>
      <c r="AH33" s="73">
        <f aca="true" t="shared" si="13" ref="AH33:AP44">AH13/AH$26/60/0.0283*1000000*(21-7)/(21-AH$27)</f>
        <v>124.41211585429038</v>
      </c>
      <c r="AI33" s="73"/>
      <c r="AJ33" s="73">
        <f t="shared" si="13"/>
        <v>87.36467139203947</v>
      </c>
      <c r="AK33" s="73"/>
      <c r="AL33" s="73">
        <f t="shared" si="13"/>
        <v>105.04627191635343</v>
      </c>
      <c r="AM33" s="73"/>
      <c r="AN33" s="73">
        <f t="shared" si="13"/>
        <v>49.57755725935575</v>
      </c>
      <c r="AO33" s="73"/>
      <c r="AP33" s="73">
        <f t="shared" si="13"/>
        <v>53.37786848582012</v>
      </c>
      <c r="AQ33" s="73"/>
      <c r="AR33" s="73">
        <f aca="true" t="shared" si="14" ref="AR33:AZ44">AR13/AR$26/60/0.0283*1000000*(21-7)/(21-AR$27)</f>
        <v>73.77009830796112</v>
      </c>
      <c r="AS33" s="73"/>
      <c r="AT33" s="73">
        <f t="shared" si="14"/>
        <v>0</v>
      </c>
      <c r="AU33" s="73"/>
      <c r="AV33" s="73">
        <f t="shared" si="14"/>
        <v>0</v>
      </c>
      <c r="AW33" s="73"/>
      <c r="AX33" s="73">
        <f t="shared" si="14"/>
        <v>0</v>
      </c>
      <c r="AY33" s="73"/>
      <c r="AZ33" s="73">
        <f t="shared" si="14"/>
        <v>0</v>
      </c>
      <c r="BA33" s="73"/>
      <c r="BB33" s="73">
        <f aca="true" t="shared" si="15" ref="BB33:BB44">BB13/BB$26/60/0.0283*1000000*(21-7)/(21-BB$27)</f>
        <v>0</v>
      </c>
      <c r="BC33" s="73"/>
      <c r="BD33" s="74">
        <f t="shared" si="7"/>
        <v>583.1591815418634</v>
      </c>
      <c r="BE33" s="74"/>
      <c r="BF33" s="74">
        <f t="shared" si="8"/>
        <v>618.7809006272754</v>
      </c>
      <c r="BG33" s="74"/>
      <c r="BH33" s="74">
        <f t="shared" si="9"/>
        <v>559.0672921040546</v>
      </c>
      <c r="BI33" s="74"/>
      <c r="BJ33" s="74">
        <f t="shared" si="10"/>
        <v>574.7885106460875</v>
      </c>
      <c r="BK33" s="74"/>
      <c r="BL33" s="74">
        <f aca="true" t="shared" si="16" ref="BL33:BL44">N33+X33+AH33+AR33+BB33</f>
        <v>583.8743928306285</v>
      </c>
    </row>
    <row r="34" spans="2:64" ht="12.75">
      <c r="B34" s="9" t="s">
        <v>99</v>
      </c>
      <c r="D34" s="9" t="s">
        <v>70</v>
      </c>
      <c r="F34" s="73">
        <f t="shared" si="5"/>
        <v>637.5259804283958</v>
      </c>
      <c r="G34" s="73"/>
      <c r="H34" s="73">
        <f t="shared" si="5"/>
        <v>1015.4472951914167</v>
      </c>
      <c r="I34" s="73"/>
      <c r="J34" s="73">
        <f t="shared" si="5"/>
        <v>745.958616170862</v>
      </c>
      <c r="K34" s="73"/>
      <c r="L34" s="73">
        <f t="shared" si="5"/>
        <v>1035.6016613102577</v>
      </c>
      <c r="M34" s="73"/>
      <c r="N34" s="73">
        <f t="shared" si="11"/>
        <v>858.1658285131427</v>
      </c>
      <c r="O34" s="73"/>
      <c r="P34" s="73">
        <f t="shared" si="11"/>
        <v>421.4755092832174</v>
      </c>
      <c r="Q34" s="73"/>
      <c r="R34" s="73">
        <f t="shared" si="11"/>
        <v>1943.356030452539</v>
      </c>
      <c r="S34" s="73"/>
      <c r="T34" s="73">
        <f t="shared" si="11"/>
        <v>774.6493321774336</v>
      </c>
      <c r="U34" s="73"/>
      <c r="V34" s="73">
        <f t="shared" si="11"/>
        <v>792.9749863747115</v>
      </c>
      <c r="W34" s="73"/>
      <c r="X34" s="73">
        <f t="shared" si="12"/>
        <v>984.4784819774284</v>
      </c>
      <c r="Y34" s="73"/>
      <c r="Z34" s="73">
        <f t="shared" si="12"/>
        <v>9.976100990036935</v>
      </c>
      <c r="AA34" s="73"/>
      <c r="AB34" s="73">
        <f t="shared" si="12"/>
        <v>10.621345271542406</v>
      </c>
      <c r="AC34" s="73"/>
      <c r="AD34" s="73">
        <f t="shared" si="12"/>
        <v>10.959853514510355</v>
      </c>
      <c r="AE34" s="73"/>
      <c r="AF34" s="73">
        <f t="shared" si="12"/>
        <v>11.006966228783313</v>
      </c>
      <c r="AG34" s="73"/>
      <c r="AH34" s="73">
        <f t="shared" si="13"/>
        <v>10.6430106159722</v>
      </c>
      <c r="AI34" s="73"/>
      <c r="AJ34" s="73">
        <f t="shared" si="13"/>
        <v>44.39069789649571</v>
      </c>
      <c r="AK34" s="73"/>
      <c r="AL34" s="73">
        <f t="shared" si="13"/>
        <v>41.60999548686667</v>
      </c>
      <c r="AM34" s="73"/>
      <c r="AN34" s="73">
        <f t="shared" si="13"/>
        <v>45.388712722396285</v>
      </c>
      <c r="AO34" s="73"/>
      <c r="AP34" s="73">
        <f t="shared" si="13"/>
        <v>44.56046005523565</v>
      </c>
      <c r="AQ34" s="73"/>
      <c r="AR34" s="73">
        <f t="shared" si="14"/>
        <v>43.99013591134663</v>
      </c>
      <c r="AS34" s="73"/>
      <c r="AT34" s="73">
        <f t="shared" si="14"/>
        <v>69065.31454640957</v>
      </c>
      <c r="AU34" s="73"/>
      <c r="AV34" s="73">
        <f t="shared" si="14"/>
        <v>70614.43834377095</v>
      </c>
      <c r="AW34" s="73"/>
      <c r="AX34" s="73">
        <f t="shared" si="14"/>
        <v>74022.04729695477</v>
      </c>
      <c r="AY34" s="73"/>
      <c r="AZ34" s="73">
        <f t="shared" si="14"/>
        <v>82848.13290482061</v>
      </c>
      <c r="BA34" s="73"/>
      <c r="BB34" s="73">
        <f t="shared" si="15"/>
        <v>74120.96678980638</v>
      </c>
      <c r="BC34" s="73"/>
      <c r="BD34" s="74">
        <f t="shared" si="7"/>
        <v>70178.68283500771</v>
      </c>
      <c r="BE34" s="74"/>
      <c r="BF34" s="74">
        <f t="shared" si="8"/>
        <v>73625.47301017331</v>
      </c>
      <c r="BG34" s="74"/>
      <c r="BH34" s="74">
        <f t="shared" si="9"/>
        <v>75599.00381153997</v>
      </c>
      <c r="BI34" s="74"/>
      <c r="BJ34" s="74">
        <f t="shared" si="10"/>
        <v>84732.2769787896</v>
      </c>
      <c r="BK34" s="74"/>
      <c r="BL34" s="74">
        <f t="shared" si="16"/>
        <v>76018.24424682427</v>
      </c>
    </row>
    <row r="35" spans="2:64" ht="12.75">
      <c r="B35" s="9" t="s">
        <v>100</v>
      </c>
      <c r="D35" s="9" t="s">
        <v>70</v>
      </c>
      <c r="F35" s="73">
        <f t="shared" si="5"/>
        <v>9739.980256544937</v>
      </c>
      <c r="G35" s="73"/>
      <c r="H35" s="73">
        <f t="shared" si="5"/>
        <v>11788.526070613001</v>
      </c>
      <c r="I35" s="73"/>
      <c r="J35" s="73">
        <f t="shared" si="5"/>
        <v>9926.98773827378</v>
      </c>
      <c r="K35" s="73"/>
      <c r="L35" s="73">
        <f t="shared" si="5"/>
        <v>12249.688222355617</v>
      </c>
      <c r="M35" s="73"/>
      <c r="N35" s="73">
        <f t="shared" si="11"/>
        <v>10920.78149743301</v>
      </c>
      <c r="O35" s="73"/>
      <c r="P35" s="73">
        <f t="shared" si="11"/>
        <v>363.62592957767777</v>
      </c>
      <c r="Q35" s="73"/>
      <c r="R35" s="73">
        <f t="shared" si="11"/>
        <v>776.1752313819451</v>
      </c>
      <c r="S35" s="73"/>
      <c r="T35" s="73">
        <f t="shared" si="11"/>
        <v>520.449588359209</v>
      </c>
      <c r="U35" s="73"/>
      <c r="V35" s="73">
        <f t="shared" si="11"/>
        <v>510.10778974253833</v>
      </c>
      <c r="W35" s="73"/>
      <c r="X35" s="73">
        <f t="shared" si="12"/>
        <v>543.1151708562736</v>
      </c>
      <c r="Y35" s="73"/>
      <c r="Z35" s="73">
        <f t="shared" si="12"/>
        <v>53.12716503569967</v>
      </c>
      <c r="AA35" s="73"/>
      <c r="AB35" s="73">
        <f t="shared" si="12"/>
        <v>56.43319163506322</v>
      </c>
      <c r="AC35" s="73"/>
      <c r="AD35" s="73">
        <f t="shared" si="12"/>
        <v>58.5290606534061</v>
      </c>
      <c r="AE35" s="73"/>
      <c r="AF35" s="73">
        <f t="shared" si="12"/>
        <v>58.52628817347685</v>
      </c>
      <c r="AG35" s="73"/>
      <c r="AH35" s="73">
        <f t="shared" si="13"/>
        <v>56.665259818005836</v>
      </c>
      <c r="AI35" s="73"/>
      <c r="AJ35" s="73">
        <f t="shared" si="13"/>
        <v>36.06744204090278</v>
      </c>
      <c r="AK35" s="73"/>
      <c r="AL35" s="73">
        <f t="shared" si="13"/>
        <v>481.46207961662003</v>
      </c>
      <c r="AM35" s="73"/>
      <c r="AN35" s="73">
        <f t="shared" si="13"/>
        <v>16.697996715824683</v>
      </c>
      <c r="AO35" s="73"/>
      <c r="AP35" s="73">
        <f t="shared" si="13"/>
        <v>179.89880287903904</v>
      </c>
      <c r="AQ35" s="73"/>
      <c r="AR35" s="73">
        <f t="shared" si="14"/>
        <v>178.24118877738053</v>
      </c>
      <c r="AS35" s="73"/>
      <c r="AT35" s="73">
        <f t="shared" si="14"/>
        <v>0</v>
      </c>
      <c r="AU35" s="73"/>
      <c r="AV35" s="73">
        <f t="shared" si="14"/>
        <v>0</v>
      </c>
      <c r="AW35" s="73"/>
      <c r="AX35" s="73">
        <f t="shared" si="14"/>
        <v>0</v>
      </c>
      <c r="AY35" s="73"/>
      <c r="AZ35" s="73">
        <f t="shared" si="14"/>
        <v>0</v>
      </c>
      <c r="BA35" s="73"/>
      <c r="BB35" s="73">
        <f t="shared" si="15"/>
        <v>0</v>
      </c>
      <c r="BC35" s="73"/>
      <c r="BD35" s="74">
        <f t="shared" si="7"/>
        <v>10192.800793199218</v>
      </c>
      <c r="BE35" s="74"/>
      <c r="BF35" s="74">
        <f t="shared" si="8"/>
        <v>13102.59657324663</v>
      </c>
      <c r="BG35" s="74"/>
      <c r="BH35" s="74">
        <f t="shared" si="9"/>
        <v>10522.664384002219</v>
      </c>
      <c r="BI35" s="74"/>
      <c r="BJ35" s="74">
        <f t="shared" si="10"/>
        <v>12998.22110315067</v>
      </c>
      <c r="BK35" s="74"/>
      <c r="BL35" s="74">
        <f t="shared" si="16"/>
        <v>11698.80311688467</v>
      </c>
    </row>
    <row r="36" spans="2:64" ht="12.75">
      <c r="B36" s="9" t="s">
        <v>101</v>
      </c>
      <c r="D36" s="9" t="s">
        <v>70</v>
      </c>
      <c r="F36" s="73">
        <f t="shared" si="5"/>
        <v>91.49678422814944</v>
      </c>
      <c r="G36" s="73"/>
      <c r="H36" s="73">
        <f t="shared" si="5"/>
        <v>92.20728312657693</v>
      </c>
      <c r="I36" s="73"/>
      <c r="J36" s="73">
        <f t="shared" si="5"/>
        <v>91.23647690089773</v>
      </c>
      <c r="K36" s="73"/>
      <c r="L36" s="73">
        <f t="shared" si="5"/>
        <v>94.09180808476056</v>
      </c>
      <c r="M36" s="73"/>
      <c r="N36" s="73">
        <f t="shared" si="11"/>
        <v>92.24917168514362</v>
      </c>
      <c r="O36" s="73"/>
      <c r="P36" s="73">
        <f t="shared" si="11"/>
        <v>3.535907984042677</v>
      </c>
      <c r="Q36" s="73"/>
      <c r="R36" s="73">
        <f t="shared" si="11"/>
        <v>5.83590399535297</v>
      </c>
      <c r="S36" s="73"/>
      <c r="T36" s="73">
        <f t="shared" si="11"/>
        <v>5.967668929366896</v>
      </c>
      <c r="U36" s="73"/>
      <c r="V36" s="73">
        <f t="shared" si="11"/>
        <v>5.426552705265749</v>
      </c>
      <c r="W36" s="73"/>
      <c r="X36" s="73">
        <f t="shared" si="12"/>
        <v>5.198701339340266</v>
      </c>
      <c r="Y36" s="73"/>
      <c r="Z36" s="73">
        <f t="shared" si="12"/>
        <v>0.6493320171029959</v>
      </c>
      <c r="AA36" s="73"/>
      <c r="AB36" s="73">
        <f t="shared" si="12"/>
        <v>0.6886366714516503</v>
      </c>
      <c r="AC36" s="73"/>
      <c r="AD36" s="73">
        <f t="shared" si="12"/>
        <v>0.711529756962976</v>
      </c>
      <c r="AE36" s="73"/>
      <c r="AF36" s="73">
        <f t="shared" si="12"/>
        <v>0.7160445772488065</v>
      </c>
      <c r="AG36" s="73"/>
      <c r="AH36" s="73">
        <f t="shared" si="13"/>
        <v>0.6915032996366552</v>
      </c>
      <c r="AI36" s="73"/>
      <c r="AJ36" s="73">
        <f t="shared" si="13"/>
        <v>8.854527505949944</v>
      </c>
      <c r="AK36" s="73"/>
      <c r="AL36" s="73">
        <f t="shared" si="13"/>
        <v>8.228624633447687</v>
      </c>
      <c r="AM36" s="73"/>
      <c r="AN36" s="73">
        <f t="shared" si="13"/>
        <v>8.262926209892624</v>
      </c>
      <c r="AO36" s="73"/>
      <c r="AP36" s="73">
        <f t="shared" si="13"/>
        <v>8.876585668373636</v>
      </c>
      <c r="AQ36" s="73"/>
      <c r="AR36" s="73">
        <f t="shared" si="14"/>
        <v>8.552419244977656</v>
      </c>
      <c r="AS36" s="73"/>
      <c r="AT36" s="73">
        <f t="shared" si="14"/>
        <v>2455.6556283167843</v>
      </c>
      <c r="AU36" s="73"/>
      <c r="AV36" s="73">
        <f t="shared" si="14"/>
        <v>2964.639229639309</v>
      </c>
      <c r="AW36" s="73"/>
      <c r="AX36" s="73">
        <f t="shared" si="14"/>
        <v>2823.166455046646</v>
      </c>
      <c r="AY36" s="73"/>
      <c r="AZ36" s="73">
        <f t="shared" si="14"/>
        <v>3006.203679689205</v>
      </c>
      <c r="BA36" s="73"/>
      <c r="BB36" s="73">
        <f t="shared" si="15"/>
        <v>2812.795662792653</v>
      </c>
      <c r="BC36" s="73"/>
      <c r="BD36" s="74">
        <f t="shared" si="7"/>
        <v>2560.1921800520295</v>
      </c>
      <c r="BE36" s="74"/>
      <c r="BF36" s="74">
        <f t="shared" si="8"/>
        <v>3071.5996780661385</v>
      </c>
      <c r="BG36" s="74"/>
      <c r="BH36" s="74">
        <f t="shared" si="9"/>
        <v>2929.3450568437665</v>
      </c>
      <c r="BI36" s="74"/>
      <c r="BJ36" s="74">
        <f t="shared" si="10"/>
        <v>3115.3146707248534</v>
      </c>
      <c r="BK36" s="74"/>
      <c r="BL36" s="74">
        <f t="shared" si="16"/>
        <v>2919.487458361751</v>
      </c>
    </row>
    <row r="37" spans="2:64" ht="12.75">
      <c r="B37" s="9" t="s">
        <v>106</v>
      </c>
      <c r="D37" s="9" t="s">
        <v>70</v>
      </c>
      <c r="F37" s="73">
        <f t="shared" si="5"/>
        <v>103.89312273647936</v>
      </c>
      <c r="G37" s="73"/>
      <c r="H37" s="73">
        <f t="shared" si="5"/>
        <v>124.88834550055356</v>
      </c>
      <c r="I37" s="73"/>
      <c r="J37" s="73">
        <f t="shared" si="5"/>
        <v>136.56780819128088</v>
      </c>
      <c r="K37" s="73"/>
      <c r="L37" s="73">
        <f t="shared" si="5"/>
        <v>158.5949972749423</v>
      </c>
      <c r="M37" s="73"/>
      <c r="N37" s="73">
        <f t="shared" si="11"/>
        <v>130.99089988888858</v>
      </c>
      <c r="O37" s="73"/>
      <c r="P37" s="73">
        <f t="shared" si="11"/>
        <v>3.23485404884038</v>
      </c>
      <c r="Q37" s="73"/>
      <c r="R37" s="73">
        <f t="shared" si="11"/>
        <v>6.711289594655915</v>
      </c>
      <c r="S37" s="73"/>
      <c r="T37" s="73">
        <f t="shared" si="11"/>
        <v>4.286392971381799</v>
      </c>
      <c r="U37" s="73"/>
      <c r="V37" s="73">
        <f t="shared" si="11"/>
        <v>4.527058690870554</v>
      </c>
      <c r="W37" s="73"/>
      <c r="X37" s="73">
        <f t="shared" si="12"/>
        <v>4.692865944680048</v>
      </c>
      <c r="Y37" s="73"/>
      <c r="Z37" s="73">
        <f t="shared" si="12"/>
        <v>28.570608752531818</v>
      </c>
      <c r="AA37" s="73"/>
      <c r="AB37" s="73">
        <f t="shared" si="12"/>
        <v>30.346700775835444</v>
      </c>
      <c r="AC37" s="73"/>
      <c r="AD37" s="73">
        <f t="shared" si="12"/>
        <v>31.445024743202488</v>
      </c>
      <c r="AE37" s="73"/>
      <c r="AF37" s="73">
        <f t="shared" si="12"/>
        <v>31.482290503831827</v>
      </c>
      <c r="AG37" s="73"/>
      <c r="AH37" s="73">
        <f t="shared" si="13"/>
        <v>30.467079840228106</v>
      </c>
      <c r="AI37" s="73"/>
      <c r="AJ37" s="73">
        <f t="shared" si="13"/>
        <v>15.997179694082899</v>
      </c>
      <c r="AK37" s="73"/>
      <c r="AL37" s="73">
        <f t="shared" si="13"/>
        <v>18.791610865036564</v>
      </c>
      <c r="AM37" s="73"/>
      <c r="AN37" s="73">
        <f t="shared" si="13"/>
        <v>8.262926209892624</v>
      </c>
      <c r="AO37" s="73"/>
      <c r="AP37" s="73">
        <f t="shared" si="13"/>
        <v>9.645889759632684</v>
      </c>
      <c r="AQ37" s="73"/>
      <c r="AR37" s="73">
        <f t="shared" si="14"/>
        <v>13.157568069196397</v>
      </c>
      <c r="AS37" s="73"/>
      <c r="AT37" s="73">
        <f t="shared" si="14"/>
        <v>9444.829339679942</v>
      </c>
      <c r="AU37" s="73"/>
      <c r="AV37" s="73">
        <f t="shared" si="14"/>
        <v>11321.65375098476</v>
      </c>
      <c r="AW37" s="73"/>
      <c r="AX37" s="73">
        <f t="shared" si="14"/>
        <v>10730.327786457783</v>
      </c>
      <c r="AY37" s="73"/>
      <c r="AZ37" s="73">
        <f t="shared" si="14"/>
        <v>13669.941929295399</v>
      </c>
      <c r="BA37" s="73"/>
      <c r="BB37" s="73">
        <f t="shared" si="15"/>
        <v>11286.26949935513</v>
      </c>
      <c r="BC37" s="73"/>
      <c r="BD37" s="74">
        <f t="shared" si="7"/>
        <v>9596.525104911876</v>
      </c>
      <c r="BE37" s="74"/>
      <c r="BF37" s="74">
        <f t="shared" si="8"/>
        <v>11502.391697720841</v>
      </c>
      <c r="BG37" s="74"/>
      <c r="BH37" s="74">
        <f t="shared" si="9"/>
        <v>10910.88993857354</v>
      </c>
      <c r="BI37" s="74"/>
      <c r="BJ37" s="74">
        <f t="shared" si="10"/>
        <v>13874.192165524677</v>
      </c>
      <c r="BK37" s="74"/>
      <c r="BL37" s="74">
        <f t="shared" si="16"/>
        <v>11465.577913098123</v>
      </c>
    </row>
    <row r="38" spans="2:64" ht="12.75">
      <c r="B38" s="9" t="s">
        <v>108</v>
      </c>
      <c r="D38" s="9" t="s">
        <v>70</v>
      </c>
      <c r="F38" s="73">
        <f t="shared" si="5"/>
        <v>1499.3666576741905</v>
      </c>
      <c r="G38" s="73"/>
      <c r="H38" s="73">
        <f t="shared" si="5"/>
        <v>2515.2746219971305</v>
      </c>
      <c r="I38" s="73"/>
      <c r="J38" s="73">
        <f t="shared" si="5"/>
        <v>2582.164440591445</v>
      </c>
      <c r="K38" s="73"/>
      <c r="L38" s="73">
        <f t="shared" si="5"/>
        <v>2284.2413786614825</v>
      </c>
      <c r="M38" s="73"/>
      <c r="N38" s="73">
        <f t="shared" si="11"/>
        <v>2223.6290036941914</v>
      </c>
      <c r="O38" s="73"/>
      <c r="P38" s="73">
        <f t="shared" si="11"/>
        <v>98.58040623290937</v>
      </c>
      <c r="Q38" s="73"/>
      <c r="R38" s="73">
        <f t="shared" si="11"/>
        <v>171.57557746337727</v>
      </c>
      <c r="S38" s="73"/>
      <c r="T38" s="73">
        <f t="shared" si="11"/>
        <v>148.0440945939095</v>
      </c>
      <c r="U38" s="73"/>
      <c r="V38" s="73">
        <f t="shared" si="11"/>
        <v>152.08550111813497</v>
      </c>
      <c r="W38" s="73"/>
      <c r="X38" s="73">
        <f t="shared" si="12"/>
        <v>142.6865159503965</v>
      </c>
      <c r="Y38" s="73"/>
      <c r="Z38" s="73">
        <f t="shared" si="12"/>
        <v>36.30356277439478</v>
      </c>
      <c r="AA38" s="73"/>
      <c r="AB38" s="73">
        <f t="shared" si="12"/>
        <v>38.516966369329594</v>
      </c>
      <c r="AC38" s="73"/>
      <c r="AD38" s="73">
        <f t="shared" si="12"/>
        <v>39.937476681147686</v>
      </c>
      <c r="AE38" s="73"/>
      <c r="AF38" s="73">
        <f t="shared" si="12"/>
        <v>40.00381274547051</v>
      </c>
      <c r="AG38" s="73"/>
      <c r="AH38" s="73">
        <f t="shared" si="13"/>
        <v>38.697869643514295</v>
      </c>
      <c r="AI38" s="73"/>
      <c r="AJ38" s="73">
        <f t="shared" si="13"/>
        <v>126.32459241821921</v>
      </c>
      <c r="AK38" s="73"/>
      <c r="AL38" s="73">
        <f t="shared" si="13"/>
        <v>408.51327967470786</v>
      </c>
      <c r="AM38" s="73"/>
      <c r="AN38" s="73">
        <f t="shared" si="13"/>
        <v>102.13894898339495</v>
      </c>
      <c r="AO38" s="73"/>
      <c r="AP38" s="73">
        <f t="shared" si="13"/>
        <v>120.72156508988145</v>
      </c>
      <c r="AQ38" s="73"/>
      <c r="AR38" s="73">
        <f t="shared" si="14"/>
        <v>189.46898019642813</v>
      </c>
      <c r="AS38" s="73"/>
      <c r="AT38" s="73">
        <f t="shared" si="14"/>
        <v>97990.10439917938</v>
      </c>
      <c r="AU38" s="73"/>
      <c r="AV38" s="73">
        <f t="shared" si="14"/>
        <v>96876.00632285929</v>
      </c>
      <c r="AW38" s="73"/>
      <c r="AX38" s="73">
        <f t="shared" si="14"/>
        <v>100991.32034313207</v>
      </c>
      <c r="AY38" s="73"/>
      <c r="AZ38" s="73">
        <f t="shared" si="14"/>
        <v>107110.8003983752</v>
      </c>
      <c r="BA38" s="73"/>
      <c r="BB38" s="73">
        <f t="shared" si="15"/>
        <v>100728.49332973688</v>
      </c>
      <c r="BC38" s="73"/>
      <c r="BD38" s="74">
        <f t="shared" si="7"/>
        <v>99750.6796182791</v>
      </c>
      <c r="BE38" s="74"/>
      <c r="BF38" s="74">
        <f t="shared" si="8"/>
        <v>100009.88676836384</v>
      </c>
      <c r="BG38" s="74"/>
      <c r="BH38" s="74">
        <f t="shared" si="9"/>
        <v>103863.60530398197</v>
      </c>
      <c r="BI38" s="74"/>
      <c r="BJ38" s="74">
        <f t="shared" si="10"/>
        <v>109707.85265599017</v>
      </c>
      <c r="BK38" s="74"/>
      <c r="BL38" s="74">
        <f t="shared" si="16"/>
        <v>103322.97569922141</v>
      </c>
    </row>
    <row r="39" spans="2:64" ht="12.75">
      <c r="B39" s="9" t="s">
        <v>104</v>
      </c>
      <c r="D39" s="9" t="s">
        <v>70</v>
      </c>
      <c r="F39" s="73">
        <f t="shared" si="5"/>
        <v>850.0346405711947</v>
      </c>
      <c r="G39" s="73"/>
      <c r="H39" s="73">
        <f t="shared" si="5"/>
        <v>1336.42201493583</v>
      </c>
      <c r="I39" s="73"/>
      <c r="J39" s="73">
        <f t="shared" si="5"/>
        <v>1801.7769652126974</v>
      </c>
      <c r="K39" s="73"/>
      <c r="L39" s="73">
        <f t="shared" si="5"/>
        <v>1822.6589239060531</v>
      </c>
      <c r="M39" s="73"/>
      <c r="N39" s="73">
        <f t="shared" si="11"/>
        <v>1454.6422476500466</v>
      </c>
      <c r="O39" s="73"/>
      <c r="P39" s="73">
        <f t="shared" si="11"/>
        <v>55.78352328748464</v>
      </c>
      <c r="Q39" s="73"/>
      <c r="R39" s="73">
        <f t="shared" si="11"/>
        <v>107.96422391402994</v>
      </c>
      <c r="S39" s="73"/>
      <c r="T39" s="73">
        <f t="shared" si="11"/>
        <v>88.94121962037201</v>
      </c>
      <c r="U39" s="73"/>
      <c r="V39" s="73">
        <f t="shared" si="11"/>
        <v>97.64244235211</v>
      </c>
      <c r="W39" s="73"/>
      <c r="X39" s="73">
        <f t="shared" si="12"/>
        <v>87.64402286092489</v>
      </c>
      <c r="Y39" s="73"/>
      <c r="Z39" s="73">
        <f t="shared" si="12"/>
        <v>190.07719046105882</v>
      </c>
      <c r="AA39" s="73"/>
      <c r="AB39" s="73">
        <f t="shared" si="12"/>
        <v>201.92227823921277</v>
      </c>
      <c r="AC39" s="73"/>
      <c r="AD39" s="73">
        <f t="shared" si="12"/>
        <v>208.86841252784134</v>
      </c>
      <c r="AE39" s="73"/>
      <c r="AF39" s="73">
        <f t="shared" si="12"/>
        <v>209.48742177361783</v>
      </c>
      <c r="AG39" s="73"/>
      <c r="AH39" s="73">
        <f t="shared" si="13"/>
        <v>202.6265482656246</v>
      </c>
      <c r="AI39" s="73"/>
      <c r="AJ39" s="73">
        <f t="shared" si="13"/>
        <v>105.07372640393936</v>
      </c>
      <c r="AK39" s="73"/>
      <c r="AL39" s="73">
        <f t="shared" si="13"/>
        <v>281.8741629755484</v>
      </c>
      <c r="AM39" s="73"/>
      <c r="AN39" s="73">
        <f t="shared" si="13"/>
        <v>135.42017955101804</v>
      </c>
      <c r="AO39" s="73"/>
      <c r="AP39" s="73">
        <f t="shared" si="13"/>
        <v>237.30072353452184</v>
      </c>
      <c r="AQ39" s="73"/>
      <c r="AR39" s="73">
        <f t="shared" si="14"/>
        <v>189.76137059796582</v>
      </c>
      <c r="AS39" s="73"/>
      <c r="AT39" s="73">
        <f t="shared" si="14"/>
        <v>158791.193273369</v>
      </c>
      <c r="AU39" s="73"/>
      <c r="AV39" s="73">
        <f t="shared" si="14"/>
        <v>157569.40787453018</v>
      </c>
      <c r="AW39" s="73"/>
      <c r="AX39" s="73">
        <f t="shared" si="14"/>
        <v>165832.3385179839</v>
      </c>
      <c r="AY39" s="73"/>
      <c r="AZ39" s="73">
        <f t="shared" si="14"/>
        <v>170430.44483277382</v>
      </c>
      <c r="BA39" s="73"/>
      <c r="BB39" s="73">
        <f t="shared" si="15"/>
        <v>163153.84405803538</v>
      </c>
      <c r="BC39" s="73"/>
      <c r="BD39" s="74">
        <f t="shared" si="7"/>
        <v>159992.16235409267</v>
      </c>
      <c r="BE39" s="74"/>
      <c r="BF39" s="74">
        <f t="shared" si="8"/>
        <v>159497.5905545948</v>
      </c>
      <c r="BG39" s="74"/>
      <c r="BH39" s="74">
        <f t="shared" si="9"/>
        <v>168067.34529489584</v>
      </c>
      <c r="BI39" s="74"/>
      <c r="BJ39" s="74">
        <f t="shared" si="10"/>
        <v>172797.53434434012</v>
      </c>
      <c r="BK39" s="74"/>
      <c r="BL39" s="74">
        <f t="shared" si="16"/>
        <v>165088.51824740993</v>
      </c>
    </row>
    <row r="40" spans="2:64" ht="12.75">
      <c r="B40" s="9" t="s">
        <v>112</v>
      </c>
      <c r="D40" s="9" t="s">
        <v>70</v>
      </c>
      <c r="F40" s="73">
        <f t="shared" si="5"/>
        <v>41.911430194829734</v>
      </c>
      <c r="G40" s="73"/>
      <c r="H40" s="73">
        <f t="shared" si="5"/>
        <v>36.24096381114194</v>
      </c>
      <c r="I40" s="73"/>
      <c r="J40" s="73">
        <f t="shared" si="5"/>
        <v>41.37201248147627</v>
      </c>
      <c r="K40" s="73"/>
      <c r="L40" s="73">
        <f t="shared" si="5"/>
        <v>44.32375110407902</v>
      </c>
      <c r="M40" s="73"/>
      <c r="N40" s="73">
        <f t="shared" si="11"/>
        <v>40.94927573535456</v>
      </c>
      <c r="O40" s="73"/>
      <c r="P40" s="73">
        <f t="shared" si="11"/>
        <v>1.59381495107099</v>
      </c>
      <c r="Q40" s="73"/>
      <c r="R40" s="73">
        <f t="shared" si="11"/>
        <v>2.526946429987836</v>
      </c>
      <c r="S40" s="73"/>
      <c r="T40" s="73">
        <f t="shared" si="11"/>
        <v>2.03130269326527</v>
      </c>
      <c r="U40" s="73"/>
      <c r="V40" s="73">
        <f t="shared" si="11"/>
        <v>1.775317133674727</v>
      </c>
      <c r="W40" s="73"/>
      <c r="X40" s="73">
        <f t="shared" si="12"/>
        <v>1.983868874433279</v>
      </c>
      <c r="Y40" s="73"/>
      <c r="Z40" s="73">
        <f t="shared" si="12"/>
        <v>1.2986640342059919</v>
      </c>
      <c r="AA40" s="73"/>
      <c r="AB40" s="73">
        <f t="shared" si="12"/>
        <v>1.3772733429033006</v>
      </c>
      <c r="AC40" s="73"/>
      <c r="AD40" s="73">
        <f t="shared" si="12"/>
        <v>1.4287976571272663</v>
      </c>
      <c r="AE40" s="73"/>
      <c r="AF40" s="73">
        <f t="shared" si="12"/>
        <v>1.4261714307186977</v>
      </c>
      <c r="AG40" s="73"/>
      <c r="AH40" s="73">
        <f t="shared" si="13"/>
        <v>1.3830065992733105</v>
      </c>
      <c r="AI40" s="73"/>
      <c r="AJ40" s="73">
        <f t="shared" si="13"/>
        <v>4.415457716300373</v>
      </c>
      <c r="AK40" s="73"/>
      <c r="AL40" s="73">
        <f t="shared" si="13"/>
        <v>4.318568956561197</v>
      </c>
      <c r="AM40" s="73"/>
      <c r="AN40" s="73">
        <f t="shared" si="13"/>
        <v>4.338036260193628</v>
      </c>
      <c r="AO40" s="73"/>
      <c r="AP40" s="73">
        <f t="shared" si="13"/>
        <v>4.426457386628987</v>
      </c>
      <c r="AQ40" s="73"/>
      <c r="AR40" s="73">
        <f t="shared" si="14"/>
        <v>4.3741604070039575</v>
      </c>
      <c r="AS40" s="73"/>
      <c r="AT40" s="73">
        <f t="shared" si="14"/>
        <v>0</v>
      </c>
      <c r="AU40" s="73"/>
      <c r="AV40" s="73">
        <f t="shared" si="14"/>
        <v>0</v>
      </c>
      <c r="AW40" s="73"/>
      <c r="AX40" s="73">
        <f t="shared" si="14"/>
        <v>0</v>
      </c>
      <c r="AY40" s="73"/>
      <c r="AZ40" s="73">
        <f t="shared" si="14"/>
        <v>0</v>
      </c>
      <c r="BA40" s="73"/>
      <c r="BB40" s="73">
        <f t="shared" si="15"/>
        <v>0</v>
      </c>
      <c r="BC40" s="73"/>
      <c r="BD40" s="74">
        <f t="shared" si="7"/>
        <v>49.21936689640709</v>
      </c>
      <c r="BE40" s="74"/>
      <c r="BF40" s="74">
        <f t="shared" si="8"/>
        <v>44.46375254059427</v>
      </c>
      <c r="BG40" s="74"/>
      <c r="BH40" s="74">
        <f t="shared" si="9"/>
        <v>49.17014909206243</v>
      </c>
      <c r="BI40" s="74"/>
      <c r="BJ40" s="74">
        <f t="shared" si="10"/>
        <v>51.951697055101434</v>
      </c>
      <c r="BK40" s="74"/>
      <c r="BL40" s="74">
        <f t="shared" si="16"/>
        <v>48.6903116160651</v>
      </c>
    </row>
    <row r="41" spans="2:64" ht="12.75">
      <c r="B41" s="9" t="s">
        <v>105</v>
      </c>
      <c r="D41" s="9" t="s">
        <v>70</v>
      </c>
      <c r="F41" s="73">
        <f t="shared" si="5"/>
        <v>1753.1964461780888</v>
      </c>
      <c r="G41" s="73"/>
      <c r="H41" s="73">
        <f t="shared" si="5"/>
        <v>1972.5355504293038</v>
      </c>
      <c r="I41" s="73"/>
      <c r="J41" s="73">
        <f t="shared" si="5"/>
        <v>1847.6821108232116</v>
      </c>
      <c r="K41" s="73"/>
      <c r="L41" s="73">
        <f t="shared" si="5"/>
        <v>2118.545112851841</v>
      </c>
      <c r="M41" s="73"/>
      <c r="N41" s="73">
        <f t="shared" si="11"/>
        <v>1922.4668901103626</v>
      </c>
      <c r="O41" s="73"/>
      <c r="P41" s="73">
        <f t="shared" si="11"/>
        <v>237.30133715945854</v>
      </c>
      <c r="Q41" s="73"/>
      <c r="R41" s="73">
        <f t="shared" si="11"/>
        <v>392.7563388872549</v>
      </c>
      <c r="S41" s="73"/>
      <c r="T41" s="73">
        <f t="shared" si="11"/>
        <v>399.9485811316083</v>
      </c>
      <c r="U41" s="73"/>
      <c r="V41" s="73">
        <f t="shared" si="11"/>
        <v>393.5286312978979</v>
      </c>
      <c r="W41" s="73"/>
      <c r="X41" s="73">
        <f t="shared" si="12"/>
        <v>356.27770427368466</v>
      </c>
      <c r="Y41" s="73"/>
      <c r="Z41" s="73">
        <f t="shared" si="12"/>
        <v>39.43216249316376</v>
      </c>
      <c r="AA41" s="73"/>
      <c r="AB41" s="73">
        <f t="shared" si="12"/>
        <v>41.90179068663432</v>
      </c>
      <c r="AC41" s="73"/>
      <c r="AD41" s="73">
        <f t="shared" si="12"/>
        <v>43.437744033949436</v>
      </c>
      <c r="AE41" s="73"/>
      <c r="AF41" s="73">
        <f t="shared" si="12"/>
        <v>43.49526977503081</v>
      </c>
      <c r="AG41" s="73"/>
      <c r="AH41" s="73">
        <f t="shared" si="13"/>
        <v>42.07497878127471</v>
      </c>
      <c r="AI41" s="73"/>
      <c r="AJ41" s="73">
        <f t="shared" si="13"/>
        <v>149.93666576741907</v>
      </c>
      <c r="AK41" s="73"/>
      <c r="AL41" s="73">
        <f t="shared" si="13"/>
        <v>163.98890226941847</v>
      </c>
      <c r="AM41" s="73"/>
      <c r="AN41" s="73">
        <f t="shared" si="13"/>
        <v>58.5290606534061</v>
      </c>
      <c r="AO41" s="73"/>
      <c r="AP41" s="73">
        <f t="shared" si="13"/>
        <v>71.01268534698909</v>
      </c>
      <c r="AQ41" s="73"/>
      <c r="AR41" s="73">
        <f t="shared" si="14"/>
        <v>110.6697669820186</v>
      </c>
      <c r="AS41" s="73"/>
      <c r="AT41" s="73">
        <f t="shared" si="14"/>
        <v>0</v>
      </c>
      <c r="AU41" s="73"/>
      <c r="AV41" s="73">
        <f t="shared" si="14"/>
        <v>0</v>
      </c>
      <c r="AW41" s="73"/>
      <c r="AX41" s="73">
        <f t="shared" si="14"/>
        <v>0</v>
      </c>
      <c r="AY41" s="73"/>
      <c r="AZ41" s="73">
        <f t="shared" si="14"/>
        <v>0</v>
      </c>
      <c r="BA41" s="73"/>
      <c r="BB41" s="73">
        <f t="shared" si="15"/>
        <v>0</v>
      </c>
      <c r="BC41" s="73"/>
      <c r="BD41" s="74">
        <f t="shared" si="7"/>
        <v>2179.8666115981305</v>
      </c>
      <c r="BE41" s="74"/>
      <c r="BF41" s="74">
        <f t="shared" si="8"/>
        <v>2571.1825822726114</v>
      </c>
      <c r="BG41" s="74"/>
      <c r="BH41" s="74">
        <f t="shared" si="9"/>
        <v>2349.5974966421754</v>
      </c>
      <c r="BI41" s="74"/>
      <c r="BJ41" s="74">
        <f t="shared" si="10"/>
        <v>2626.581699271759</v>
      </c>
      <c r="BK41" s="74"/>
      <c r="BL41" s="74">
        <f t="shared" si="16"/>
        <v>2431.4893401473405</v>
      </c>
    </row>
    <row r="42" spans="2:64" ht="12.75">
      <c r="B42" s="9" t="s">
        <v>107</v>
      </c>
      <c r="D42" s="9" t="s">
        <v>70</v>
      </c>
      <c r="F42" s="73">
        <f t="shared" si="5"/>
        <v>91.49678422814944</v>
      </c>
      <c r="G42" s="73"/>
      <c r="H42" s="73">
        <f t="shared" si="5"/>
        <v>92.20728312657693</v>
      </c>
      <c r="I42" s="73"/>
      <c r="J42" s="73">
        <f t="shared" si="5"/>
        <v>91.23647690089773</v>
      </c>
      <c r="K42" s="73"/>
      <c r="L42" s="73">
        <f t="shared" si="5"/>
        <v>94.09180808476056</v>
      </c>
      <c r="M42" s="73"/>
      <c r="N42" s="73">
        <f t="shared" si="11"/>
        <v>92.24917168514362</v>
      </c>
      <c r="O42" s="73"/>
      <c r="P42" s="73">
        <f t="shared" si="11"/>
        <v>3.23485404884038</v>
      </c>
      <c r="Q42" s="73"/>
      <c r="R42" s="73">
        <f t="shared" si="11"/>
        <v>5.44489842766432</v>
      </c>
      <c r="S42" s="73"/>
      <c r="T42" s="73">
        <f t="shared" si="11"/>
        <v>4.286392971381799</v>
      </c>
      <c r="U42" s="73"/>
      <c r="V42" s="73">
        <f t="shared" si="11"/>
        <v>4.000381274547053</v>
      </c>
      <c r="W42" s="73"/>
      <c r="X42" s="73">
        <f t="shared" si="12"/>
        <v>4.245508630327373</v>
      </c>
      <c r="Y42" s="73"/>
      <c r="Z42" s="73">
        <f t="shared" si="12"/>
        <v>6.49332017102996</v>
      </c>
      <c r="AA42" s="73"/>
      <c r="AB42" s="73">
        <f t="shared" si="12"/>
        <v>6.8863667145165035</v>
      </c>
      <c r="AC42" s="73"/>
      <c r="AD42" s="73">
        <f t="shared" si="12"/>
        <v>7.115297569629761</v>
      </c>
      <c r="AE42" s="73"/>
      <c r="AF42" s="73">
        <f t="shared" si="12"/>
        <v>7.160445772488067</v>
      </c>
      <c r="AG42" s="73"/>
      <c r="AH42" s="73">
        <f t="shared" si="13"/>
        <v>6.915032996366552</v>
      </c>
      <c r="AI42" s="73"/>
      <c r="AJ42" s="73">
        <f t="shared" si="13"/>
        <v>8.854527505949944</v>
      </c>
      <c r="AK42" s="73"/>
      <c r="AL42" s="73">
        <f t="shared" si="13"/>
        <v>8.228624633447687</v>
      </c>
      <c r="AM42" s="73"/>
      <c r="AN42" s="73">
        <f t="shared" si="13"/>
        <v>8.262926209892624</v>
      </c>
      <c r="AO42" s="73"/>
      <c r="AP42" s="73">
        <f t="shared" si="13"/>
        <v>8.876585668373636</v>
      </c>
      <c r="AQ42" s="73"/>
      <c r="AR42" s="73">
        <f t="shared" si="14"/>
        <v>8.552419244977656</v>
      </c>
      <c r="AS42" s="73"/>
      <c r="AT42" s="73">
        <f t="shared" si="14"/>
        <v>0</v>
      </c>
      <c r="AU42" s="73"/>
      <c r="AV42" s="73">
        <f t="shared" si="14"/>
        <v>0</v>
      </c>
      <c r="AW42" s="73"/>
      <c r="AX42" s="73">
        <f t="shared" si="14"/>
        <v>0</v>
      </c>
      <c r="AY42" s="73"/>
      <c r="AZ42" s="73">
        <f t="shared" si="14"/>
        <v>0</v>
      </c>
      <c r="BA42" s="73"/>
      <c r="BB42" s="73">
        <f t="shared" si="15"/>
        <v>0</v>
      </c>
      <c r="BC42" s="73"/>
      <c r="BD42" s="74">
        <f t="shared" si="7"/>
        <v>110.07948595396972</v>
      </c>
      <c r="BE42" s="74"/>
      <c r="BF42" s="74">
        <f t="shared" si="8"/>
        <v>112.76717290220543</v>
      </c>
      <c r="BG42" s="74"/>
      <c r="BH42" s="74">
        <f t="shared" si="9"/>
        <v>110.90109365180192</v>
      </c>
      <c r="BI42" s="74"/>
      <c r="BJ42" s="74">
        <f t="shared" si="10"/>
        <v>114.1292208001693</v>
      </c>
      <c r="BK42" s="74"/>
      <c r="BL42" s="74">
        <f t="shared" si="16"/>
        <v>111.9621325568152</v>
      </c>
    </row>
    <row r="43" spans="2:64" ht="12.75">
      <c r="B43" s="9" t="s">
        <v>102</v>
      </c>
      <c r="D43" s="9" t="s">
        <v>70</v>
      </c>
      <c r="F43" s="73">
        <f t="shared" si="5"/>
        <v>456.8936193070172</v>
      </c>
      <c r="G43" s="73"/>
      <c r="H43" s="73">
        <f t="shared" si="5"/>
        <v>460.4528252333493</v>
      </c>
      <c r="I43" s="73"/>
      <c r="J43" s="73">
        <f t="shared" si="5"/>
        <v>454.4609415440943</v>
      </c>
      <c r="K43" s="73"/>
      <c r="L43" s="73">
        <f t="shared" si="5"/>
        <v>471.0508128016943</v>
      </c>
      <c r="M43" s="73"/>
      <c r="N43" s="73">
        <f t="shared" si="11"/>
        <v>460.6610776226428</v>
      </c>
      <c r="O43" s="73"/>
      <c r="P43" s="73">
        <f t="shared" si="11"/>
        <v>16.1742702442019</v>
      </c>
      <c r="Q43" s="73"/>
      <c r="R43" s="73">
        <f t="shared" si="11"/>
        <v>27.19531261834484</v>
      </c>
      <c r="S43" s="73"/>
      <c r="T43" s="73">
        <f t="shared" si="11"/>
        <v>21.403274140902425</v>
      </c>
      <c r="U43" s="73"/>
      <c r="V43" s="73">
        <f t="shared" si="11"/>
        <v>20.061083610524417</v>
      </c>
      <c r="W43" s="73"/>
      <c r="X43" s="73">
        <f t="shared" si="12"/>
        <v>21.22754315163686</v>
      </c>
      <c r="Y43" s="73"/>
      <c r="Z43" s="73">
        <f t="shared" si="12"/>
        <v>6.49332017102996</v>
      </c>
      <c r="AA43" s="73"/>
      <c r="AB43" s="73">
        <f t="shared" si="12"/>
        <v>6.8863667145165035</v>
      </c>
      <c r="AC43" s="73"/>
      <c r="AD43" s="73">
        <f t="shared" si="12"/>
        <v>7.115297569629761</v>
      </c>
      <c r="AE43" s="73"/>
      <c r="AF43" s="73">
        <f t="shared" si="12"/>
        <v>7.160445772488067</v>
      </c>
      <c r="AG43" s="73"/>
      <c r="AH43" s="73">
        <f t="shared" si="13"/>
        <v>6.915032996366552</v>
      </c>
      <c r="AI43" s="73"/>
      <c r="AJ43" s="73">
        <f t="shared" si="13"/>
        <v>44.39069789649571</v>
      </c>
      <c r="AK43" s="73"/>
      <c r="AL43" s="73">
        <f t="shared" si="13"/>
        <v>41.20148220719195</v>
      </c>
      <c r="AM43" s="73"/>
      <c r="AN43" s="73">
        <f t="shared" si="13"/>
        <v>41.25724961744997</v>
      </c>
      <c r="AO43" s="73"/>
      <c r="AP43" s="73">
        <f t="shared" si="13"/>
        <v>44.56046005523565</v>
      </c>
      <c r="AQ43" s="73"/>
      <c r="AR43" s="73">
        <f t="shared" si="14"/>
        <v>42.83519382527272</v>
      </c>
      <c r="AS43" s="73"/>
      <c r="AT43" s="73">
        <f t="shared" si="14"/>
        <v>0</v>
      </c>
      <c r="AU43" s="73"/>
      <c r="AV43" s="73">
        <f t="shared" si="14"/>
        <v>0</v>
      </c>
      <c r="AW43" s="73"/>
      <c r="AX43" s="73">
        <f t="shared" si="14"/>
        <v>0</v>
      </c>
      <c r="AY43" s="73"/>
      <c r="AZ43" s="73">
        <f t="shared" si="14"/>
        <v>0</v>
      </c>
      <c r="BA43" s="73"/>
      <c r="BB43" s="73">
        <f t="shared" si="15"/>
        <v>0</v>
      </c>
      <c r="BC43" s="73"/>
      <c r="BD43" s="74">
        <f t="shared" si="7"/>
        <v>523.9519076187448</v>
      </c>
      <c r="BE43" s="74"/>
      <c r="BF43" s="74">
        <f t="shared" si="8"/>
        <v>535.7359867734026</v>
      </c>
      <c r="BG43" s="74"/>
      <c r="BH43" s="74">
        <f t="shared" si="9"/>
        <v>524.2367628720764</v>
      </c>
      <c r="BI43" s="74"/>
      <c r="BJ43" s="74">
        <f t="shared" si="10"/>
        <v>542.8328022399425</v>
      </c>
      <c r="BK43" s="74"/>
      <c r="BL43" s="74">
        <f t="shared" si="16"/>
        <v>531.638847595919</v>
      </c>
    </row>
    <row r="44" spans="2:64" ht="12.75">
      <c r="B44" s="9" t="s">
        <v>139</v>
      </c>
      <c r="D44" s="9" t="s">
        <v>70</v>
      </c>
      <c r="F44" s="73">
        <f t="shared" si="5"/>
        <v>5460.291962002466</v>
      </c>
      <c r="G44" s="73"/>
      <c r="H44" s="73">
        <f t="shared" si="5"/>
        <v>5952.622075260029</v>
      </c>
      <c r="I44" s="73"/>
      <c r="J44" s="73">
        <f t="shared" si="5"/>
        <v>6484.101817485185</v>
      </c>
      <c r="K44" s="73"/>
      <c r="L44" s="73">
        <f t="shared" si="5"/>
        <v>7752.218150379642</v>
      </c>
      <c r="M44" s="73"/>
      <c r="N44" s="73">
        <f t="shared" si="11"/>
        <v>6410.659553714023</v>
      </c>
      <c r="O44" s="73"/>
      <c r="P44" s="73">
        <f t="shared" si="11"/>
        <v>262.0940141761184</v>
      </c>
      <c r="Q44" s="73"/>
      <c r="R44" s="73">
        <f t="shared" si="11"/>
        <v>527.5657211799086</v>
      </c>
      <c r="S44" s="73"/>
      <c r="T44" s="73">
        <f t="shared" si="11"/>
        <v>371.83167944516816</v>
      </c>
      <c r="U44" s="73"/>
      <c r="V44" s="73">
        <f t="shared" si="11"/>
        <v>450.93055195338076</v>
      </c>
      <c r="W44" s="73"/>
      <c r="X44" s="73">
        <f t="shared" si="12"/>
        <v>403.20636372048523</v>
      </c>
      <c r="Y44" s="73"/>
      <c r="Z44" s="73">
        <f t="shared" si="12"/>
        <v>64933.201710299596</v>
      </c>
      <c r="AA44" s="73"/>
      <c r="AB44" s="73">
        <f t="shared" si="12"/>
        <v>68863.66714516503</v>
      </c>
      <c r="AC44" s="73"/>
      <c r="AD44" s="73">
        <f t="shared" si="12"/>
        <v>71726.79001642903</v>
      </c>
      <c r="AE44" s="73"/>
      <c r="AF44" s="73">
        <f t="shared" si="12"/>
        <v>71604.45772488067</v>
      </c>
      <c r="AG44" s="73"/>
      <c r="AH44" s="73">
        <f t="shared" si="13"/>
        <v>69296.52516443437</v>
      </c>
      <c r="AI44" s="73"/>
      <c r="AJ44" s="73">
        <f t="shared" si="13"/>
        <v>4905.408238296269</v>
      </c>
      <c r="AK44" s="73"/>
      <c r="AL44" s="73">
        <f t="shared" si="13"/>
        <v>6244.4172750276775</v>
      </c>
      <c r="AM44" s="73"/>
      <c r="AN44" s="73">
        <f t="shared" si="13"/>
        <v>1641.1089555758963</v>
      </c>
      <c r="AO44" s="73"/>
      <c r="AP44" s="73">
        <f t="shared" si="13"/>
        <v>2509.1148822602813</v>
      </c>
      <c r="AQ44" s="73"/>
      <c r="AR44" s="73">
        <f t="shared" si="14"/>
        <v>3817.156692074644</v>
      </c>
      <c r="AS44" s="73"/>
      <c r="AT44" s="73">
        <f t="shared" si="14"/>
        <v>0</v>
      </c>
      <c r="AU44" s="73"/>
      <c r="AV44" s="73">
        <f t="shared" si="14"/>
        <v>0</v>
      </c>
      <c r="AW44" s="73"/>
      <c r="AX44" s="73">
        <f t="shared" si="14"/>
        <v>0</v>
      </c>
      <c r="AY44" s="73"/>
      <c r="AZ44" s="73">
        <f t="shared" si="14"/>
        <v>0</v>
      </c>
      <c r="BA44" s="73"/>
      <c r="BB44" s="73">
        <f t="shared" si="15"/>
        <v>0</v>
      </c>
      <c r="BC44" s="73"/>
      <c r="BD44" s="74">
        <f t="shared" si="7"/>
        <v>75560.99592477444</v>
      </c>
      <c r="BE44" s="74"/>
      <c r="BF44" s="74">
        <f t="shared" si="8"/>
        <v>81588.27221663264</v>
      </c>
      <c r="BG44" s="74"/>
      <c r="BH44" s="74">
        <f t="shared" si="9"/>
        <v>80223.83246893529</v>
      </c>
      <c r="BI44" s="74"/>
      <c r="BJ44" s="74">
        <f t="shared" si="10"/>
        <v>82316.72130947399</v>
      </c>
      <c r="BK44" s="74"/>
      <c r="BL44" s="74">
        <f t="shared" si="16"/>
        <v>79927.54777394352</v>
      </c>
    </row>
    <row r="45" spans="6:64" ht="12.75"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4"/>
      <c r="BD45" s="74"/>
      <c r="BE45" s="74"/>
      <c r="BF45" s="74"/>
      <c r="BG45" s="74"/>
      <c r="BH45" s="74"/>
      <c r="BI45" s="74"/>
      <c r="BJ45" s="74"/>
      <c r="BK45" s="74"/>
      <c r="BL45" s="74"/>
    </row>
    <row r="46" spans="2:64" ht="12.75">
      <c r="B46" s="9" t="s">
        <v>77</v>
      </c>
      <c r="D46" s="9" t="s">
        <v>70</v>
      </c>
      <c r="F46" s="73">
        <f aca="true" t="shared" si="17" ref="F46:BB46">F37+F39</f>
        <v>953.927763307674</v>
      </c>
      <c r="G46" s="73"/>
      <c r="H46" s="73">
        <f t="shared" si="17"/>
        <v>1461.3103604363837</v>
      </c>
      <c r="I46" s="73"/>
      <c r="J46" s="73">
        <f t="shared" si="17"/>
        <v>1938.3447734039783</v>
      </c>
      <c r="K46" s="73"/>
      <c r="L46" s="73">
        <f t="shared" si="17"/>
        <v>1981.2539211809953</v>
      </c>
      <c r="M46" s="73"/>
      <c r="N46" s="73">
        <f t="shared" si="17"/>
        <v>1585.6331475389352</v>
      </c>
      <c r="O46" s="73"/>
      <c r="P46" s="73">
        <f t="shared" si="17"/>
        <v>59.018377336325024</v>
      </c>
      <c r="Q46" s="73"/>
      <c r="R46" s="73">
        <f t="shared" si="17"/>
        <v>114.67551350868585</v>
      </c>
      <c r="S46" s="73"/>
      <c r="T46" s="73">
        <f t="shared" si="17"/>
        <v>93.22761259175381</v>
      </c>
      <c r="U46" s="73"/>
      <c r="V46" s="73">
        <f t="shared" si="17"/>
        <v>102.16950104298056</v>
      </c>
      <c r="W46" s="73"/>
      <c r="X46" s="73">
        <f t="shared" si="17"/>
        <v>92.33688880560494</v>
      </c>
      <c r="Y46" s="73"/>
      <c r="Z46" s="73">
        <f t="shared" si="17"/>
        <v>218.64779921359064</v>
      </c>
      <c r="AA46" s="73"/>
      <c r="AB46" s="73">
        <f t="shared" si="17"/>
        <v>232.26897901504822</v>
      </c>
      <c r="AC46" s="73"/>
      <c r="AD46" s="73">
        <f t="shared" si="17"/>
        <v>240.31343727104382</v>
      </c>
      <c r="AE46" s="73"/>
      <c r="AF46" s="73">
        <f t="shared" si="17"/>
        <v>240.96971227744964</v>
      </c>
      <c r="AG46" s="73"/>
      <c r="AH46" s="73">
        <f t="shared" si="17"/>
        <v>233.0936281058527</v>
      </c>
      <c r="AI46" s="73"/>
      <c r="AJ46" s="73">
        <f t="shared" si="17"/>
        <v>121.07090609802226</v>
      </c>
      <c r="AK46" s="73"/>
      <c r="AL46" s="73">
        <f t="shared" si="17"/>
        <v>300.66577384058496</v>
      </c>
      <c r="AM46" s="73"/>
      <c r="AN46" s="73">
        <f t="shared" si="17"/>
        <v>143.68310576091065</v>
      </c>
      <c r="AO46" s="73"/>
      <c r="AP46" s="73">
        <f t="shared" si="17"/>
        <v>246.94661329415453</v>
      </c>
      <c r="AQ46" s="73"/>
      <c r="AR46" s="73">
        <f t="shared" si="17"/>
        <v>202.91893866716222</v>
      </c>
      <c r="AS46" s="73"/>
      <c r="AT46" s="73">
        <f t="shared" si="17"/>
        <v>168236.02261304893</v>
      </c>
      <c r="AU46" s="73"/>
      <c r="AV46" s="73">
        <f t="shared" si="17"/>
        <v>168891.06162551494</v>
      </c>
      <c r="AW46" s="73"/>
      <c r="AX46" s="73">
        <f t="shared" si="17"/>
        <v>176562.6663044417</v>
      </c>
      <c r="AY46" s="73"/>
      <c r="AZ46" s="73">
        <f t="shared" si="17"/>
        <v>184100.38676206922</v>
      </c>
      <c r="BA46" s="73"/>
      <c r="BB46" s="73">
        <f t="shared" si="17"/>
        <v>174440.11355739052</v>
      </c>
      <c r="BC46" s="74"/>
      <c r="BD46" s="73">
        <f>BD37+BD39</f>
        <v>169588.68745900455</v>
      </c>
      <c r="BE46" s="73"/>
      <c r="BF46" s="73">
        <f>BF37+BF39</f>
        <v>170999.98225231562</v>
      </c>
      <c r="BG46" s="73"/>
      <c r="BH46" s="73">
        <f>BH37+BH39</f>
        <v>178978.23523346937</v>
      </c>
      <c r="BI46" s="73"/>
      <c r="BJ46" s="73">
        <f>BJ37+BJ39</f>
        <v>186671.7265098648</v>
      </c>
      <c r="BK46" s="73"/>
      <c r="BL46" s="73">
        <f>BL37+BL39</f>
        <v>176554.09616050805</v>
      </c>
    </row>
    <row r="47" spans="2:64" ht="12.75">
      <c r="B47" s="9" t="s">
        <v>78</v>
      </c>
      <c r="D47" s="9" t="s">
        <v>70</v>
      </c>
      <c r="F47" s="73">
        <f aca="true" t="shared" si="18" ref="F47:BB47">F34+F36+F38</f>
        <v>2228.3894223307357</v>
      </c>
      <c r="G47" s="73"/>
      <c r="H47" s="73">
        <f t="shared" si="18"/>
        <v>3622.929200315124</v>
      </c>
      <c r="I47" s="73"/>
      <c r="J47" s="73">
        <f t="shared" si="18"/>
        <v>3419.3595336632047</v>
      </c>
      <c r="K47" s="73"/>
      <c r="L47" s="73">
        <f t="shared" si="18"/>
        <v>3413.9348480565004</v>
      </c>
      <c r="M47" s="73"/>
      <c r="N47" s="73">
        <f t="shared" si="18"/>
        <v>3174.044003892478</v>
      </c>
      <c r="O47" s="73"/>
      <c r="P47" s="73">
        <f t="shared" si="18"/>
        <v>523.5918235001694</v>
      </c>
      <c r="Q47" s="73"/>
      <c r="R47" s="73">
        <f t="shared" si="18"/>
        <v>2120.767511911269</v>
      </c>
      <c r="S47" s="73"/>
      <c r="T47" s="73">
        <f t="shared" si="18"/>
        <v>928.6610957007101</v>
      </c>
      <c r="U47" s="73"/>
      <c r="V47" s="73">
        <f t="shared" si="18"/>
        <v>950.4870401981123</v>
      </c>
      <c r="W47" s="73"/>
      <c r="X47" s="73">
        <f t="shared" si="18"/>
        <v>1132.3636992671652</v>
      </c>
      <c r="Y47" s="73"/>
      <c r="Z47" s="73">
        <f t="shared" si="18"/>
        <v>46.92899578153471</v>
      </c>
      <c r="AA47" s="73"/>
      <c r="AB47" s="73">
        <f t="shared" si="18"/>
        <v>49.82694831232365</v>
      </c>
      <c r="AC47" s="73"/>
      <c r="AD47" s="73">
        <f t="shared" si="18"/>
        <v>51.60885995262102</v>
      </c>
      <c r="AE47" s="73"/>
      <c r="AF47" s="73">
        <f t="shared" si="18"/>
        <v>51.72682355150263</v>
      </c>
      <c r="AG47" s="73"/>
      <c r="AH47" s="73">
        <f t="shared" si="18"/>
        <v>50.03238355912315</v>
      </c>
      <c r="AI47" s="73"/>
      <c r="AJ47" s="73">
        <f t="shared" si="18"/>
        <v>179.56981782066487</v>
      </c>
      <c r="AK47" s="73"/>
      <c r="AL47" s="73">
        <f t="shared" si="18"/>
        <v>458.35189979502223</v>
      </c>
      <c r="AM47" s="73"/>
      <c r="AN47" s="73">
        <f t="shared" si="18"/>
        <v>155.79058791568386</v>
      </c>
      <c r="AO47" s="73"/>
      <c r="AP47" s="73">
        <f t="shared" si="18"/>
        <v>174.15861081349072</v>
      </c>
      <c r="AQ47" s="73"/>
      <c r="AR47" s="73">
        <f t="shared" si="18"/>
        <v>242.01153535275242</v>
      </c>
      <c r="AS47" s="73"/>
      <c r="AT47" s="73">
        <f t="shared" si="18"/>
        <v>169511.07457390573</v>
      </c>
      <c r="AU47" s="73"/>
      <c r="AV47" s="73">
        <f t="shared" si="18"/>
        <v>170455.08389626956</v>
      </c>
      <c r="AW47" s="73"/>
      <c r="AX47" s="73">
        <f t="shared" si="18"/>
        <v>177836.53409513348</v>
      </c>
      <c r="AY47" s="73"/>
      <c r="AZ47" s="73">
        <f t="shared" si="18"/>
        <v>192965.13698288501</v>
      </c>
      <c r="BA47" s="73"/>
      <c r="BB47" s="73">
        <f t="shared" si="18"/>
        <v>177662.2557823359</v>
      </c>
      <c r="BC47" s="74"/>
      <c r="BD47" s="73">
        <f>BD34+BD36+BD38</f>
        <v>172489.55463333885</v>
      </c>
      <c r="BE47" s="73"/>
      <c r="BF47" s="73">
        <f>BF34+BF36+BF38</f>
        <v>176706.95945660328</v>
      </c>
      <c r="BG47" s="73"/>
      <c r="BH47" s="73">
        <f>BH34+BH36+BH38</f>
        <v>182391.95417236572</v>
      </c>
      <c r="BI47" s="73"/>
      <c r="BJ47" s="73">
        <f>BJ34+BJ36+BJ38</f>
        <v>197555.4443055046</v>
      </c>
      <c r="BK47" s="73"/>
      <c r="BL47" s="73">
        <f>BL34+BL36+BL38</f>
        <v>182260.70740440744</v>
      </c>
    </row>
    <row r="49" ht="12.75">
      <c r="B49" s="43" t="s">
        <v>163</v>
      </c>
    </row>
    <row r="50" ht="12.75">
      <c r="B50" s="43"/>
    </row>
    <row r="51" ht="12.75">
      <c r="B51" s="9" t="s">
        <v>109</v>
      </c>
    </row>
    <row r="52" spans="2:64" ht="12.75">
      <c r="B52" s="9" t="s">
        <v>113</v>
      </c>
      <c r="D52" s="9" t="s">
        <v>134</v>
      </c>
      <c r="F52"/>
      <c r="G52"/>
      <c r="H52"/>
      <c r="I52"/>
      <c r="J52"/>
      <c r="K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2:64" ht="12.75">
      <c r="B53" s="9" t="s">
        <v>64</v>
      </c>
      <c r="D53" s="9" t="s">
        <v>144</v>
      </c>
      <c r="F53"/>
      <c r="G53"/>
      <c r="H53"/>
      <c r="I53"/>
      <c r="J53"/>
      <c r="K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2:64" ht="12.75">
      <c r="B54" s="9" t="s">
        <v>22</v>
      </c>
      <c r="D54" s="9" t="s">
        <v>134</v>
      </c>
      <c r="F54"/>
      <c r="G54"/>
      <c r="H54"/>
      <c r="I54"/>
      <c r="J54"/>
      <c r="K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A141"/>
  <sheetViews>
    <sheetView workbookViewId="0" topLeftCell="DD1">
      <selection activeCell="C25" sqref="C25"/>
    </sheetView>
  </sheetViews>
  <sheetFormatPr defaultColWidth="9.140625" defaultRowHeight="12.75"/>
  <cols>
    <col min="1" max="1" width="9.140625" style="62" hidden="1" customWidth="1"/>
    <col min="2" max="2" width="21.140625" style="62" customWidth="1"/>
    <col min="3" max="3" width="3.57421875" style="62" customWidth="1"/>
    <col min="4" max="4" width="9.140625" style="62" customWidth="1"/>
    <col min="5" max="5" width="3.8515625" style="62" customWidth="1"/>
    <col min="6" max="6" width="11.28125" style="62" customWidth="1"/>
    <col min="7" max="7" width="4.140625" style="62" customWidth="1"/>
    <col min="8" max="8" width="10.00390625" style="62" bestFit="1" customWidth="1"/>
    <col min="9" max="9" width="4.140625" style="62" customWidth="1"/>
    <col min="10" max="10" width="10.00390625" style="62" bestFit="1" customWidth="1"/>
    <col min="11" max="11" width="3.421875" style="62" customWidth="1"/>
    <col min="12" max="12" width="10.00390625" style="62" bestFit="1" customWidth="1"/>
    <col min="13" max="13" width="3.7109375" style="62" customWidth="1"/>
    <col min="14" max="14" width="10.00390625" style="62" bestFit="1" customWidth="1"/>
    <col min="15" max="15" width="3.8515625" style="62" customWidth="1"/>
    <col min="16" max="16" width="12.421875" style="62" customWidth="1"/>
    <col min="17" max="17" width="2.00390625" style="62" bestFit="1" customWidth="1"/>
    <col min="18" max="18" width="13.00390625" style="62" customWidth="1"/>
    <col min="19" max="19" width="3.28125" style="62" customWidth="1"/>
    <col min="20" max="20" width="11.7109375" style="62" customWidth="1"/>
    <col min="21" max="21" width="2.00390625" style="62" bestFit="1" customWidth="1"/>
    <col min="22" max="22" width="10.00390625" style="62" bestFit="1" customWidth="1"/>
    <col min="23" max="23" width="2.00390625" style="62" bestFit="1" customWidth="1"/>
    <col min="24" max="24" width="11.28125" style="62" customWidth="1"/>
    <col min="25" max="25" width="2.00390625" style="62" bestFit="1" customWidth="1"/>
    <col min="26" max="26" width="11.00390625" style="62" customWidth="1"/>
    <col min="27" max="27" width="3.28125" style="62" customWidth="1"/>
    <col min="28" max="28" width="9.00390625" style="62" bestFit="1" customWidth="1"/>
    <col min="29" max="29" width="4.00390625" style="62" customWidth="1"/>
    <col min="30" max="30" width="10.57421875" style="62" bestFit="1" customWidth="1"/>
    <col min="31" max="31" width="4.00390625" style="62" customWidth="1"/>
    <col min="32" max="32" width="12.7109375" style="62" customWidth="1"/>
    <col min="33" max="33" width="3.7109375" style="62" customWidth="1"/>
    <col min="34" max="34" width="12.7109375" style="62" customWidth="1"/>
    <col min="35" max="35" width="4.00390625" style="62" customWidth="1"/>
    <col min="36" max="36" width="11.421875" style="62" customWidth="1"/>
    <col min="37" max="37" width="4.00390625" style="62" customWidth="1"/>
    <col min="38" max="38" width="10.421875" style="62" customWidth="1"/>
    <col min="39" max="39" width="4.421875" style="62" customWidth="1"/>
    <col min="40" max="40" width="12.140625" style="62" customWidth="1"/>
    <col min="41" max="41" width="4.28125" style="62" customWidth="1"/>
    <col min="42" max="42" width="9.00390625" style="62" bestFit="1" customWidth="1"/>
    <col min="43" max="43" width="3.140625" style="62" customWidth="1"/>
    <col min="44" max="44" width="9.00390625" style="62" bestFit="1" customWidth="1"/>
    <col min="45" max="45" width="3.140625" style="62" customWidth="1"/>
    <col min="46" max="46" width="9.00390625" style="62" bestFit="1" customWidth="1"/>
    <col min="47" max="47" width="3.140625" style="62" customWidth="1"/>
    <col min="48" max="48" width="9.00390625" style="62" bestFit="1" customWidth="1"/>
    <col min="49" max="49" width="3.140625" style="62" customWidth="1"/>
    <col min="50" max="50" width="9.00390625" style="62" bestFit="1" customWidth="1"/>
    <col min="51" max="51" width="3.140625" style="62" customWidth="1"/>
    <col min="52" max="52" width="10.28125" style="62" customWidth="1"/>
    <col min="53" max="53" width="4.00390625" style="62" customWidth="1"/>
    <col min="54" max="54" width="12.00390625" style="62" bestFit="1" customWidth="1"/>
    <col min="55" max="55" width="4.140625" style="62" customWidth="1"/>
    <col min="56" max="56" width="12.00390625" style="62" bestFit="1" customWidth="1"/>
    <col min="57" max="57" width="3.7109375" style="62" customWidth="1"/>
    <col min="58" max="58" width="12.00390625" style="62" bestFit="1" customWidth="1"/>
    <col min="59" max="59" width="3.8515625" style="62" customWidth="1"/>
    <col min="60" max="60" width="12.00390625" style="62" bestFit="1" customWidth="1"/>
    <col min="61" max="61" width="4.421875" style="62" customWidth="1"/>
    <col min="62" max="62" width="12.00390625" style="62" bestFit="1" customWidth="1"/>
    <col min="63" max="63" width="4.140625" style="62" customWidth="1"/>
    <col min="64" max="64" width="12.00390625" style="62" bestFit="1" customWidth="1"/>
    <col min="65" max="65" width="2.7109375" style="62" customWidth="1"/>
    <col min="66" max="66" width="12.00390625" style="62" bestFit="1" customWidth="1"/>
    <col min="67" max="67" width="2.7109375" style="62" customWidth="1"/>
    <col min="68" max="68" width="12.00390625" style="62" bestFit="1" customWidth="1"/>
    <col min="69" max="69" width="2.421875" style="62" customWidth="1"/>
    <col min="70" max="70" width="12.00390625" style="62" bestFit="1" customWidth="1"/>
    <col min="71" max="71" width="2.421875" style="62" customWidth="1"/>
    <col min="72" max="72" width="12.00390625" style="62" bestFit="1" customWidth="1"/>
    <col min="73" max="73" width="2.8515625" style="62" customWidth="1"/>
    <col min="74" max="74" width="8.00390625" style="62" customWidth="1"/>
    <col min="75" max="75" width="2.8515625" style="62" customWidth="1"/>
    <col min="76" max="76" width="12.00390625" style="62" customWidth="1"/>
    <col min="77" max="77" width="2.8515625" style="62" customWidth="1"/>
    <col min="78" max="78" width="12.00390625" style="62" bestFit="1" customWidth="1"/>
    <col min="79" max="79" width="2.421875" style="62" customWidth="1"/>
    <col min="80" max="80" width="12.00390625" style="62" bestFit="1" customWidth="1"/>
    <col min="81" max="81" width="1.7109375" style="62" customWidth="1"/>
    <col min="82" max="82" width="12.00390625" style="62" bestFit="1" customWidth="1"/>
    <col min="83" max="83" width="3.28125" style="62" customWidth="1"/>
    <col min="84" max="84" width="12.00390625" style="62" bestFit="1" customWidth="1"/>
    <col min="85" max="85" width="3.28125" style="62" customWidth="1"/>
    <col min="86" max="86" width="12.00390625" style="62" customWidth="1"/>
    <col min="87" max="87" width="3.421875" style="62" customWidth="1"/>
    <col min="88" max="88" width="12.00390625" style="62" customWidth="1"/>
    <col min="89" max="89" width="2.57421875" style="62" customWidth="1"/>
    <col min="90" max="90" width="8.57421875" style="62" customWidth="1"/>
    <col min="91" max="91" width="2.00390625" style="62" customWidth="1"/>
    <col min="92" max="92" width="7.00390625" style="62" bestFit="1" customWidth="1"/>
    <col min="93" max="93" width="1.8515625" style="62" customWidth="1"/>
    <col min="94" max="94" width="7.00390625" style="62" bestFit="1" customWidth="1"/>
    <col min="95" max="95" width="2.421875" style="62" customWidth="1"/>
    <col min="96" max="96" width="8.140625" style="62" customWidth="1"/>
    <col min="97" max="97" width="2.00390625" style="62" customWidth="1"/>
    <col min="98" max="98" width="7.00390625" style="62" bestFit="1" customWidth="1"/>
    <col min="99" max="99" width="1.8515625" style="62" customWidth="1"/>
    <col min="100" max="100" width="7.00390625" style="62" bestFit="1" customWidth="1"/>
    <col min="101" max="101" width="2.8515625" style="62" customWidth="1"/>
    <col min="102" max="102" width="7.00390625" style="62" bestFit="1" customWidth="1"/>
    <col min="103" max="103" width="2.8515625" style="62" customWidth="1"/>
    <col min="104" max="104" width="7.00390625" style="62" bestFit="1" customWidth="1"/>
    <col min="105" max="105" width="2.8515625" style="62" customWidth="1"/>
    <col min="106" max="106" width="7.00390625" style="62" bestFit="1" customWidth="1"/>
    <col min="107" max="107" width="2.8515625" style="62" customWidth="1"/>
    <col min="108" max="108" width="7.00390625" style="62" bestFit="1" customWidth="1"/>
    <col min="109" max="109" width="2.8515625" style="62" customWidth="1"/>
    <col min="110" max="110" width="7.00390625" style="62" bestFit="1" customWidth="1"/>
    <col min="111" max="111" width="2.8515625" style="62" customWidth="1"/>
    <col min="112" max="112" width="7.00390625" style="62" bestFit="1" customWidth="1"/>
    <col min="113" max="113" width="4.57421875" style="62" customWidth="1"/>
    <col min="114" max="114" width="9.57421875" style="62" customWidth="1"/>
    <col min="115" max="115" width="2.8515625" style="62" customWidth="1"/>
    <col min="116" max="116" width="10.140625" style="62" customWidth="1"/>
    <col min="117" max="117" width="3.421875" style="62" customWidth="1"/>
    <col min="118" max="118" width="8.00390625" style="62" bestFit="1" customWidth="1"/>
    <col min="119" max="119" width="3.28125" style="62" customWidth="1"/>
    <col min="120" max="120" width="8.00390625" style="62" bestFit="1" customWidth="1"/>
    <col min="121" max="121" width="2.7109375" style="62" customWidth="1"/>
    <col min="122" max="122" width="8.00390625" style="62" bestFit="1" customWidth="1"/>
    <col min="123" max="123" width="3.421875" style="62" customWidth="1"/>
    <col min="124" max="124" width="8.00390625" style="62" bestFit="1" customWidth="1"/>
    <col min="125" max="125" width="4.28125" style="62" customWidth="1"/>
    <col min="126" max="126" width="11.00390625" style="62" customWidth="1"/>
    <col min="127" max="127" width="9.140625" style="62" hidden="1" customWidth="1"/>
    <col min="128" max="131" width="0" style="62" hidden="1" customWidth="1"/>
    <col min="132" max="16384" width="9.140625" style="62" customWidth="1"/>
  </cols>
  <sheetData>
    <row r="1" spans="2:3" ht="12.75">
      <c r="B1" s="2" t="s">
        <v>271</v>
      </c>
      <c r="C1" s="2"/>
    </row>
    <row r="2" spans="128:131" ht="12.75">
      <c r="DX2" t="s">
        <v>79</v>
      </c>
      <c r="DY2" t="s">
        <v>67</v>
      </c>
      <c r="DZ2" t="s">
        <v>82</v>
      </c>
      <c r="EA2" t="s">
        <v>31</v>
      </c>
    </row>
    <row r="4" spans="2:126" ht="12.75">
      <c r="B4" s="29" t="s">
        <v>174</v>
      </c>
      <c r="C4" s="29"/>
      <c r="D4" s="29"/>
      <c r="F4" s="72" t="s">
        <v>140</v>
      </c>
      <c r="G4" s="72"/>
      <c r="H4" s="72" t="s">
        <v>141</v>
      </c>
      <c r="I4" s="72"/>
      <c r="J4" s="72" t="s">
        <v>142</v>
      </c>
      <c r="K4" s="72"/>
      <c r="L4" s="72" t="s">
        <v>143</v>
      </c>
      <c r="M4" s="72"/>
      <c r="N4" s="72" t="s">
        <v>154</v>
      </c>
      <c r="O4" s="72"/>
      <c r="P4" s="72" t="s">
        <v>153</v>
      </c>
      <c r="Q4" s="72"/>
      <c r="R4" s="72" t="s">
        <v>140</v>
      </c>
      <c r="S4" s="72"/>
      <c r="T4" s="72" t="s">
        <v>141</v>
      </c>
      <c r="U4" s="72"/>
      <c r="V4" s="72" t="s">
        <v>142</v>
      </c>
      <c r="W4" s="72"/>
      <c r="X4" s="72" t="s">
        <v>143</v>
      </c>
      <c r="Y4" s="72"/>
      <c r="Z4" s="72" t="s">
        <v>154</v>
      </c>
      <c r="AA4" s="72"/>
      <c r="AB4" s="72" t="s">
        <v>153</v>
      </c>
      <c r="AC4" s="72"/>
      <c r="AD4" s="72" t="s">
        <v>140</v>
      </c>
      <c r="AE4" s="72"/>
      <c r="AF4" s="72" t="s">
        <v>141</v>
      </c>
      <c r="AG4" s="72"/>
      <c r="AH4" s="72" t="s">
        <v>142</v>
      </c>
      <c r="AI4" s="72"/>
      <c r="AJ4" s="72" t="s">
        <v>143</v>
      </c>
      <c r="AK4" s="72"/>
      <c r="AL4" s="72" t="s">
        <v>154</v>
      </c>
      <c r="AM4" s="72"/>
      <c r="AN4" s="72" t="s">
        <v>153</v>
      </c>
      <c r="AO4" s="72"/>
      <c r="AP4" s="72" t="s">
        <v>140</v>
      </c>
      <c r="AQ4" s="72"/>
      <c r="AR4" s="72" t="s">
        <v>141</v>
      </c>
      <c r="AS4" s="72"/>
      <c r="AT4" s="72" t="s">
        <v>142</v>
      </c>
      <c r="AU4" s="72"/>
      <c r="AV4" s="72" t="s">
        <v>143</v>
      </c>
      <c r="AW4" s="72"/>
      <c r="AX4" s="72" t="s">
        <v>154</v>
      </c>
      <c r="AY4" s="72"/>
      <c r="AZ4" s="72" t="s">
        <v>153</v>
      </c>
      <c r="BA4" s="72"/>
      <c r="BB4" s="72" t="s">
        <v>140</v>
      </c>
      <c r="BC4" s="72"/>
      <c r="BD4" s="72" t="s">
        <v>141</v>
      </c>
      <c r="BE4" s="72"/>
      <c r="BF4" s="72" t="s">
        <v>142</v>
      </c>
      <c r="BG4" s="72"/>
      <c r="BH4" s="72" t="s">
        <v>143</v>
      </c>
      <c r="BI4" s="72"/>
      <c r="BJ4" s="72" t="s">
        <v>154</v>
      </c>
      <c r="BK4" s="72"/>
      <c r="BL4" s="72" t="s">
        <v>153</v>
      </c>
      <c r="BM4" s="72"/>
      <c r="BN4" s="72" t="s">
        <v>140</v>
      </c>
      <c r="BO4" s="72"/>
      <c r="BP4" s="72" t="s">
        <v>141</v>
      </c>
      <c r="BQ4" s="72"/>
      <c r="BR4" s="72" t="s">
        <v>142</v>
      </c>
      <c r="BS4" s="72"/>
      <c r="BT4" s="72" t="s">
        <v>143</v>
      </c>
      <c r="BU4" s="72"/>
      <c r="BV4" s="72" t="s">
        <v>154</v>
      </c>
      <c r="BW4" s="72"/>
      <c r="BX4" s="72" t="s">
        <v>153</v>
      </c>
      <c r="BY4" s="72"/>
      <c r="BZ4" s="72" t="s">
        <v>140</v>
      </c>
      <c r="CA4" s="72"/>
      <c r="CB4" s="72" t="s">
        <v>141</v>
      </c>
      <c r="CC4" s="72"/>
      <c r="CD4" s="72" t="s">
        <v>142</v>
      </c>
      <c r="CE4" s="72"/>
      <c r="CF4" s="72" t="s">
        <v>143</v>
      </c>
      <c r="CG4" s="72"/>
      <c r="CH4" s="72" t="s">
        <v>154</v>
      </c>
      <c r="CI4" s="72"/>
      <c r="CJ4" s="72" t="s">
        <v>153</v>
      </c>
      <c r="CK4" s="72"/>
      <c r="CL4" s="72" t="s">
        <v>140</v>
      </c>
      <c r="CM4" s="72"/>
      <c r="CN4" s="72" t="s">
        <v>141</v>
      </c>
      <c r="CO4" s="72"/>
      <c r="CP4" s="72" t="s">
        <v>142</v>
      </c>
      <c r="CQ4" s="72"/>
      <c r="CR4" s="72" t="s">
        <v>143</v>
      </c>
      <c r="CS4" s="72"/>
      <c r="CT4" s="72" t="s">
        <v>154</v>
      </c>
      <c r="CU4" s="72"/>
      <c r="CV4" s="72" t="s">
        <v>153</v>
      </c>
      <c r="CW4" s="72"/>
      <c r="CX4" s="72" t="s">
        <v>140</v>
      </c>
      <c r="CY4" s="72"/>
      <c r="CZ4" s="72" t="s">
        <v>141</v>
      </c>
      <c r="DA4" s="72"/>
      <c r="DB4" s="72" t="s">
        <v>142</v>
      </c>
      <c r="DC4" s="72"/>
      <c r="DD4" s="72" t="s">
        <v>143</v>
      </c>
      <c r="DE4" s="72"/>
      <c r="DF4" s="72" t="s">
        <v>154</v>
      </c>
      <c r="DG4" s="72"/>
      <c r="DH4" s="72" t="s">
        <v>153</v>
      </c>
      <c r="DI4" s="72"/>
      <c r="DJ4" s="72" t="s">
        <v>140</v>
      </c>
      <c r="DK4" s="72"/>
      <c r="DL4" s="72" t="s">
        <v>141</v>
      </c>
      <c r="DM4" s="72"/>
      <c r="DN4" s="72" t="s">
        <v>142</v>
      </c>
      <c r="DO4" s="72"/>
      <c r="DP4" s="72" t="s">
        <v>143</v>
      </c>
      <c r="DQ4" s="72"/>
      <c r="DR4" s="72" t="s">
        <v>154</v>
      </c>
      <c r="DS4" s="72"/>
      <c r="DT4" s="72" t="s">
        <v>153</v>
      </c>
      <c r="DU4" s="72"/>
      <c r="DV4" s="72" t="s">
        <v>71</v>
      </c>
    </row>
    <row r="6" spans="2:126" ht="12.75">
      <c r="B6" s="62" t="s">
        <v>309</v>
      </c>
      <c r="F6" s="62" t="s">
        <v>310</v>
      </c>
      <c r="H6" s="62" t="s">
        <v>310</v>
      </c>
      <c r="J6" s="62" t="s">
        <v>310</v>
      </c>
      <c r="L6" s="62" t="s">
        <v>310</v>
      </c>
      <c r="N6" s="62" t="s">
        <v>310</v>
      </c>
      <c r="P6" s="62" t="s">
        <v>310</v>
      </c>
      <c r="R6" s="62" t="s">
        <v>312</v>
      </c>
      <c r="T6" s="62" t="s">
        <v>312</v>
      </c>
      <c r="V6" s="62" t="s">
        <v>312</v>
      </c>
      <c r="X6" s="62" t="s">
        <v>312</v>
      </c>
      <c r="Z6" s="62" t="s">
        <v>312</v>
      </c>
      <c r="AB6" s="62" t="s">
        <v>312</v>
      </c>
      <c r="AD6" s="62" t="s">
        <v>313</v>
      </c>
      <c r="AF6" s="62" t="s">
        <v>313</v>
      </c>
      <c r="AH6" s="62" t="s">
        <v>313</v>
      </c>
      <c r="AJ6" s="62" t="s">
        <v>313</v>
      </c>
      <c r="AL6" s="62" t="s">
        <v>313</v>
      </c>
      <c r="AN6" s="62" t="s">
        <v>313</v>
      </c>
      <c r="BB6" s="62" t="s">
        <v>315</v>
      </c>
      <c r="BD6" s="62" t="s">
        <v>315</v>
      </c>
      <c r="BF6" s="62" t="s">
        <v>315</v>
      </c>
      <c r="BH6" s="62" t="s">
        <v>315</v>
      </c>
      <c r="BJ6" s="62" t="s">
        <v>315</v>
      </c>
      <c r="BL6" s="62" t="s">
        <v>315</v>
      </c>
      <c r="CL6" s="62" t="s">
        <v>317</v>
      </c>
      <c r="CN6" s="62" t="s">
        <v>317</v>
      </c>
      <c r="CP6" s="62" t="s">
        <v>317</v>
      </c>
      <c r="CR6" s="62" t="s">
        <v>317</v>
      </c>
      <c r="CT6" s="62" t="s">
        <v>317</v>
      </c>
      <c r="CV6" s="62" t="s">
        <v>317</v>
      </c>
      <c r="DJ6" s="62" t="s">
        <v>318</v>
      </c>
      <c r="DL6" s="62" t="s">
        <v>318</v>
      </c>
      <c r="DN6" s="62" t="s">
        <v>318</v>
      </c>
      <c r="DP6" s="62" t="s">
        <v>318</v>
      </c>
      <c r="DR6" s="62" t="s">
        <v>318</v>
      </c>
      <c r="DT6" s="62" t="s">
        <v>318</v>
      </c>
      <c r="DV6" s="62" t="s">
        <v>318</v>
      </c>
    </row>
    <row r="7" spans="2:126" ht="12.75">
      <c r="B7" s="62" t="s">
        <v>308</v>
      </c>
      <c r="F7" s="62" t="s">
        <v>136</v>
      </c>
      <c r="H7" s="62" t="s">
        <v>136</v>
      </c>
      <c r="J7" s="62" t="s">
        <v>136</v>
      </c>
      <c r="L7" s="62" t="s">
        <v>136</v>
      </c>
      <c r="N7" s="62" t="s">
        <v>136</v>
      </c>
      <c r="P7" s="62" t="s">
        <v>136</v>
      </c>
      <c r="R7" s="62" t="s">
        <v>319</v>
      </c>
      <c r="T7" s="62" t="s">
        <v>319</v>
      </c>
      <c r="V7" s="62" t="s">
        <v>319</v>
      </c>
      <c r="X7" s="62" t="s">
        <v>319</v>
      </c>
      <c r="Z7" s="62" t="s">
        <v>319</v>
      </c>
      <c r="AB7" s="62" t="s">
        <v>319</v>
      </c>
      <c r="AD7" s="62" t="s">
        <v>316</v>
      </c>
      <c r="AF7" s="62" t="s">
        <v>316</v>
      </c>
      <c r="AH7" s="62" t="s">
        <v>316</v>
      </c>
      <c r="AJ7" s="62" t="s">
        <v>316</v>
      </c>
      <c r="AL7" s="62" t="s">
        <v>316</v>
      </c>
      <c r="AN7" s="62" t="s">
        <v>316</v>
      </c>
      <c r="BB7" s="62" t="s">
        <v>311</v>
      </c>
      <c r="BD7" s="62" t="s">
        <v>311</v>
      </c>
      <c r="BF7" s="62" t="s">
        <v>311</v>
      </c>
      <c r="BH7" s="62" t="s">
        <v>311</v>
      </c>
      <c r="BJ7" s="62" t="s">
        <v>311</v>
      </c>
      <c r="BL7" s="62" t="s">
        <v>311</v>
      </c>
      <c r="CL7" s="62" t="s">
        <v>67</v>
      </c>
      <c r="CN7" s="62" t="s">
        <v>67</v>
      </c>
      <c r="CP7" s="62" t="s">
        <v>67</v>
      </c>
      <c r="CR7" s="62" t="s">
        <v>67</v>
      </c>
      <c r="CT7" s="62" t="s">
        <v>67</v>
      </c>
      <c r="CV7" s="62" t="s">
        <v>67</v>
      </c>
      <c r="DJ7" s="62" t="s">
        <v>31</v>
      </c>
      <c r="DL7" s="62" t="s">
        <v>31</v>
      </c>
      <c r="DN7" s="62" t="s">
        <v>31</v>
      </c>
      <c r="DP7" s="62" t="s">
        <v>31</v>
      </c>
      <c r="DR7" s="62" t="s">
        <v>31</v>
      </c>
      <c r="DT7" s="62" t="s">
        <v>31</v>
      </c>
      <c r="DV7" s="62" t="s">
        <v>31</v>
      </c>
    </row>
    <row r="8" spans="2:126" ht="12.75">
      <c r="B8" s="30" t="s">
        <v>322</v>
      </c>
      <c r="C8" s="30"/>
      <c r="F8" s="62" t="s">
        <v>136</v>
      </c>
      <c r="H8" s="62" t="s">
        <v>136</v>
      </c>
      <c r="J8" s="62" t="s">
        <v>136</v>
      </c>
      <c r="L8" s="62" t="s">
        <v>136</v>
      </c>
      <c r="N8" s="62" t="s">
        <v>136</v>
      </c>
      <c r="P8" s="62" t="s">
        <v>136</v>
      </c>
      <c r="AP8" s="62" t="s">
        <v>79</v>
      </c>
      <c r="AR8" s="62" t="s">
        <v>79</v>
      </c>
      <c r="AT8" s="62" t="s">
        <v>79</v>
      </c>
      <c r="AV8" s="62" t="s">
        <v>79</v>
      </c>
      <c r="AX8" s="62" t="s">
        <v>79</v>
      </c>
      <c r="AZ8" s="62" t="s">
        <v>79</v>
      </c>
      <c r="BB8" s="62" t="s">
        <v>323</v>
      </c>
      <c r="BD8" s="62" t="s">
        <v>323</v>
      </c>
      <c r="BF8" s="62" t="s">
        <v>323</v>
      </c>
      <c r="BH8" s="62" t="s">
        <v>323</v>
      </c>
      <c r="BJ8" s="62" t="s">
        <v>323</v>
      </c>
      <c r="BL8" s="62" t="s">
        <v>323</v>
      </c>
      <c r="CX8" s="62" t="s">
        <v>67</v>
      </c>
      <c r="CZ8" s="62" t="s">
        <v>67</v>
      </c>
      <c r="DB8" s="62" t="s">
        <v>67</v>
      </c>
      <c r="DD8" s="62" t="s">
        <v>67</v>
      </c>
      <c r="DF8" s="62" t="s">
        <v>67</v>
      </c>
      <c r="DH8" s="62" t="s">
        <v>67</v>
      </c>
      <c r="DJ8" s="62" t="s">
        <v>31</v>
      </c>
      <c r="DL8" s="62" t="s">
        <v>31</v>
      </c>
      <c r="DN8" s="62" t="s">
        <v>31</v>
      </c>
      <c r="DP8" s="62" t="s">
        <v>31</v>
      </c>
      <c r="DR8" s="62" t="s">
        <v>31</v>
      </c>
      <c r="DT8" s="62" t="s">
        <v>31</v>
      </c>
      <c r="DV8" s="62" t="s">
        <v>31</v>
      </c>
    </row>
    <row r="9" spans="2:126" ht="12.75">
      <c r="B9" s="62" t="s">
        <v>109</v>
      </c>
      <c r="F9" s="62" t="s">
        <v>136</v>
      </c>
      <c r="H9" s="62" t="s">
        <v>136</v>
      </c>
      <c r="J9" s="62" t="s">
        <v>136</v>
      </c>
      <c r="L9" s="62" t="s">
        <v>136</v>
      </c>
      <c r="N9" s="62" t="s">
        <v>136</v>
      </c>
      <c r="P9" s="62" t="s">
        <v>136</v>
      </c>
      <c r="R9" s="62" t="s">
        <v>199</v>
      </c>
      <c r="AD9" s="62" t="s">
        <v>200</v>
      </c>
      <c r="AF9" s="62" t="s">
        <v>200</v>
      </c>
      <c r="AH9" s="62" t="s">
        <v>200</v>
      </c>
      <c r="AJ9" s="62" t="s">
        <v>200</v>
      </c>
      <c r="AL9" s="62" t="s">
        <v>200</v>
      </c>
      <c r="AN9" s="62" t="s">
        <v>200</v>
      </c>
      <c r="BB9" s="62" t="s">
        <v>201</v>
      </c>
      <c r="BN9" s="62" t="s">
        <v>202</v>
      </c>
      <c r="BZ9" s="62" t="s">
        <v>202</v>
      </c>
      <c r="CL9" s="62" t="s">
        <v>203</v>
      </c>
      <c r="DJ9" s="62" t="s">
        <v>31</v>
      </c>
      <c r="DL9" s="62" t="s">
        <v>31</v>
      </c>
      <c r="DN9" s="62" t="s">
        <v>31</v>
      </c>
      <c r="DP9" s="62" t="s">
        <v>31</v>
      </c>
      <c r="DR9" s="62" t="s">
        <v>31</v>
      </c>
      <c r="DT9" s="62" t="s">
        <v>31</v>
      </c>
      <c r="DV9" s="62" t="s">
        <v>31</v>
      </c>
    </row>
    <row r="10" spans="1:113" ht="12.75">
      <c r="A10" s="62" t="s">
        <v>174</v>
      </c>
      <c r="B10" s="62" t="s">
        <v>204</v>
      </c>
      <c r="D10" s="62" t="s">
        <v>205</v>
      </c>
      <c r="E10" s="59"/>
      <c r="F10" s="59">
        <v>11520</v>
      </c>
      <c r="G10" s="59"/>
      <c r="H10" s="59">
        <v>12489</v>
      </c>
      <c r="I10" s="59"/>
      <c r="J10" s="59">
        <v>13392</v>
      </c>
      <c r="K10" s="59"/>
      <c r="L10" s="59">
        <v>14955</v>
      </c>
      <c r="M10" s="59"/>
      <c r="N10" s="59">
        <v>14626</v>
      </c>
      <c r="O10" s="59"/>
      <c r="P10" s="59">
        <v>14603</v>
      </c>
      <c r="Q10" s="59"/>
      <c r="R10" s="59">
        <v>14380</v>
      </c>
      <c r="S10" s="59"/>
      <c r="T10" s="59">
        <v>14400</v>
      </c>
      <c r="U10" s="59"/>
      <c r="V10" s="59">
        <v>14400</v>
      </c>
      <c r="W10" s="59"/>
      <c r="X10" s="59">
        <v>14620</v>
      </c>
      <c r="Y10" s="59"/>
      <c r="Z10" s="59">
        <v>14600</v>
      </c>
      <c r="AA10" s="59"/>
      <c r="AB10" s="59">
        <v>14620</v>
      </c>
      <c r="AC10" s="59"/>
      <c r="AD10" s="59">
        <v>5320</v>
      </c>
      <c r="AE10" s="59"/>
      <c r="AF10" s="59">
        <v>5220</v>
      </c>
      <c r="AG10" s="59"/>
      <c r="AH10" s="59">
        <v>4980</v>
      </c>
      <c r="AI10" s="59"/>
      <c r="AJ10" s="59">
        <v>4780</v>
      </c>
      <c r="AK10" s="59"/>
      <c r="AL10" s="59">
        <v>4680</v>
      </c>
      <c r="AM10" s="59"/>
      <c r="AN10" s="59">
        <v>4680</v>
      </c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>
        <v>178280</v>
      </c>
      <c r="BD10">
        <v>177240</v>
      </c>
      <c r="BF10">
        <v>176720</v>
      </c>
      <c r="BH10">
        <v>158500</v>
      </c>
      <c r="BI10" s="59"/>
      <c r="BJ10">
        <v>158260</v>
      </c>
      <c r="BK10" s="59"/>
      <c r="BL10">
        <v>159380</v>
      </c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/>
      <c r="CM10"/>
      <c r="CN10"/>
      <c r="CO10"/>
      <c r="CP10"/>
      <c r="CQ10"/>
      <c r="CR10"/>
      <c r="CS10"/>
      <c r="CT10"/>
      <c r="CU10"/>
      <c r="CV10"/>
      <c r="CW10" s="59"/>
      <c r="CX10"/>
      <c r="CY10" s="59"/>
      <c r="CZ10"/>
      <c r="DA10" s="59"/>
      <c r="DB10"/>
      <c r="DC10" s="59"/>
      <c r="DD10"/>
      <c r="DE10" s="59"/>
      <c r="DF10"/>
      <c r="DG10" s="59"/>
      <c r="DH10"/>
      <c r="DI10" s="59"/>
    </row>
    <row r="11" spans="1:113" ht="12.75">
      <c r="A11" s="62" t="s">
        <v>174</v>
      </c>
      <c r="B11" s="62" t="s">
        <v>206</v>
      </c>
      <c r="D11" s="62" t="s">
        <v>207</v>
      </c>
      <c r="E11" s="59"/>
      <c r="F11" s="25">
        <f>F12*1000000/F10</f>
        <v>13368.055555555555</v>
      </c>
      <c r="G11"/>
      <c r="H11" s="25">
        <f>H12*1000000/H10</f>
        <v>13291.69669308992</v>
      </c>
      <c r="I11"/>
      <c r="J11" s="25">
        <f>J12*1000000/J10</f>
        <v>13291.517323775388</v>
      </c>
      <c r="K11"/>
      <c r="L11" s="25">
        <f>L12*1000000/L10</f>
        <v>13507.18823136075</v>
      </c>
      <c r="M11"/>
      <c r="N11" s="25">
        <f>N12*1000000/N10</f>
        <v>13469.164501572543</v>
      </c>
      <c r="O11"/>
      <c r="P11" s="25">
        <f>P12*1000000/P10</f>
        <v>13284.941450386907</v>
      </c>
      <c r="Q11"/>
      <c r="R11" s="25">
        <f>R12*1000000/R10</f>
        <v>13838.664812239222</v>
      </c>
      <c r="S11"/>
      <c r="T11" s="25">
        <f>T12*1000000/T10</f>
        <v>11527.777777777777</v>
      </c>
      <c r="U11"/>
      <c r="V11" s="25">
        <f>V12*1000000/V10</f>
        <v>13333.333333333334</v>
      </c>
      <c r="W11"/>
      <c r="X11" s="25">
        <f>X12*1000000/X10</f>
        <v>11422.708618331053</v>
      </c>
      <c r="Y11"/>
      <c r="Z11" s="25">
        <f>Z12*1000000/Z10</f>
        <v>14726.027397260274</v>
      </c>
      <c r="AA11"/>
      <c r="AB11" s="25">
        <f>AB12*1000000/AB10</f>
        <v>14295.48563611491</v>
      </c>
      <c r="AC11"/>
      <c r="AD11" s="25">
        <f>AD12*1000000/AD10</f>
        <v>9906.015037593985</v>
      </c>
      <c r="AE11"/>
      <c r="AF11" s="25">
        <f>AF12*1000000/AF10</f>
        <v>8716.475095785441</v>
      </c>
      <c r="AG11"/>
      <c r="AH11" s="25">
        <f>AH12*1000000/AH10</f>
        <v>8895.582329317269</v>
      </c>
      <c r="AI11"/>
      <c r="AJ11" s="25">
        <f>AJ12*1000000/AJ10</f>
        <v>9958.1589958159</v>
      </c>
      <c r="AK11"/>
      <c r="AL11" s="25">
        <f>AL12*1000000/AL10</f>
        <v>8162.393162393162</v>
      </c>
      <c r="AM11"/>
      <c r="AN11" s="25">
        <f>AN12*1000000/AN10</f>
        <v>7948.717948717948</v>
      </c>
      <c r="AO11"/>
      <c r="AP11" s="66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/>
      <c r="CM11"/>
      <c r="CN11"/>
      <c r="CO11"/>
      <c r="CP11"/>
      <c r="CQ11"/>
      <c r="CR11"/>
      <c r="CS11"/>
      <c r="CT11"/>
      <c r="CU11"/>
      <c r="CV11"/>
      <c r="CW11" s="59"/>
      <c r="CX11"/>
      <c r="CY11" s="59"/>
      <c r="CZ11"/>
      <c r="DA11" s="59"/>
      <c r="DB11"/>
      <c r="DC11" s="59"/>
      <c r="DD11"/>
      <c r="DE11" s="59"/>
      <c r="DF11"/>
      <c r="DG11" s="59"/>
      <c r="DH11"/>
      <c r="DI11" s="59"/>
    </row>
    <row r="12" spans="2:126" ht="12.75">
      <c r="B12" s="62" t="s">
        <v>111</v>
      </c>
      <c r="D12" s="62" t="s">
        <v>167</v>
      </c>
      <c r="E12" s="59"/>
      <c r="F12" s="25">
        <v>154</v>
      </c>
      <c r="G12"/>
      <c r="H12">
        <v>166</v>
      </c>
      <c r="I12"/>
      <c r="J12">
        <v>178</v>
      </c>
      <c r="K12"/>
      <c r="L12">
        <v>202</v>
      </c>
      <c r="M12"/>
      <c r="N12">
        <v>197</v>
      </c>
      <c r="O12"/>
      <c r="P12">
        <v>194</v>
      </c>
      <c r="Q12"/>
      <c r="R12" s="62">
        <v>199</v>
      </c>
      <c r="T12" s="62">
        <v>166</v>
      </c>
      <c r="V12">
        <v>192</v>
      </c>
      <c r="W12"/>
      <c r="X12">
        <v>167</v>
      </c>
      <c r="Y12"/>
      <c r="Z12">
        <v>215</v>
      </c>
      <c r="AA12"/>
      <c r="AB12">
        <v>209</v>
      </c>
      <c r="AC12"/>
      <c r="AD12">
        <v>52.7</v>
      </c>
      <c r="AE12"/>
      <c r="AF12">
        <v>45.5</v>
      </c>
      <c r="AG12"/>
      <c r="AH12">
        <v>44.3</v>
      </c>
      <c r="AI12"/>
      <c r="AJ12">
        <v>47.6</v>
      </c>
      <c r="AK12"/>
      <c r="AL12">
        <v>38.2</v>
      </c>
      <c r="AM12"/>
      <c r="AN12">
        <v>37.2</v>
      </c>
      <c r="AO12"/>
      <c r="AP12" s="66">
        <f>R12+AD12</f>
        <v>251.7</v>
      </c>
      <c r="AQ12"/>
      <c r="AR12" s="66">
        <f>T12+AF12</f>
        <v>211.5</v>
      </c>
      <c r="AS12"/>
      <c r="AT12" s="66">
        <f>V12+AH12</f>
        <v>236.3</v>
      </c>
      <c r="AU12"/>
      <c r="AV12" s="66">
        <f>X12+AJ12</f>
        <v>214.6</v>
      </c>
      <c r="AW12"/>
      <c r="AX12" s="66">
        <f>Z12+AL12</f>
        <v>253.2</v>
      </c>
      <c r="AY12"/>
      <c r="AZ12" s="66">
        <f>AB12+AN12</f>
        <v>246.2</v>
      </c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/>
      <c r="CM12"/>
      <c r="CN12"/>
      <c r="CO12"/>
      <c r="CP12"/>
      <c r="CQ12"/>
      <c r="CR12"/>
      <c r="CS12"/>
      <c r="CT12"/>
      <c r="CU12"/>
      <c r="CV12"/>
      <c r="CW12" s="59"/>
      <c r="CX12"/>
      <c r="CY12" s="59"/>
      <c r="CZ12"/>
      <c r="DA12" s="59"/>
      <c r="DB12"/>
      <c r="DC12" s="59"/>
      <c r="DD12"/>
      <c r="DE12" s="59"/>
      <c r="DF12"/>
      <c r="DG12" s="59"/>
      <c r="DH12"/>
      <c r="DI12" s="59"/>
      <c r="DJ12" s="66">
        <f>AP12+F12</f>
        <v>405.7</v>
      </c>
      <c r="DK12" s="66"/>
      <c r="DL12" s="66">
        <f>AR12+H12</f>
        <v>377.5</v>
      </c>
      <c r="DM12" s="66"/>
      <c r="DN12" s="66">
        <f>AT12+J12</f>
        <v>414.3</v>
      </c>
      <c r="DO12" s="66"/>
      <c r="DP12" s="66">
        <f>AV12+L12</f>
        <v>416.6</v>
      </c>
      <c r="DQ12" s="66"/>
      <c r="DR12" s="66">
        <f>AX12+N12</f>
        <v>450.2</v>
      </c>
      <c r="DS12" s="66"/>
      <c r="DT12" s="66">
        <f>AZ12+P12</f>
        <v>440.2</v>
      </c>
      <c r="DU12" s="66"/>
      <c r="DV12" s="66">
        <f>AVERAGE(DJ12,DL12,DN12,DP12,DR12,DT12)</f>
        <v>417.4166666666666</v>
      </c>
    </row>
    <row r="13" spans="1:113" ht="12.75">
      <c r="A13" s="62" t="s">
        <v>174</v>
      </c>
      <c r="B13" s="62" t="s">
        <v>22</v>
      </c>
      <c r="D13" s="62" t="s">
        <v>205</v>
      </c>
      <c r="E13" s="59">
        <v>1</v>
      </c>
      <c r="F13" s="59">
        <v>12</v>
      </c>
      <c r="G13" s="59">
        <v>1</v>
      </c>
      <c r="H13" s="59">
        <v>13</v>
      </c>
      <c r="I13" s="59">
        <v>1</v>
      </c>
      <c r="J13" s="59">
        <v>15</v>
      </c>
      <c r="K13" s="59">
        <v>1</v>
      </c>
      <c r="L13" s="59">
        <v>15</v>
      </c>
      <c r="M13" s="59">
        <v>1</v>
      </c>
      <c r="N13" s="59">
        <v>15</v>
      </c>
      <c r="O13" s="59">
        <v>1</v>
      </c>
      <c r="P13" s="59">
        <v>15</v>
      </c>
      <c r="Q13" s="59"/>
      <c r="R13" s="59">
        <v>561</v>
      </c>
      <c r="S13" s="59"/>
      <c r="T13" s="59">
        <v>648</v>
      </c>
      <c r="U13" s="59"/>
      <c r="V13" s="59">
        <v>605</v>
      </c>
      <c r="W13" s="59"/>
      <c r="X13" s="59">
        <v>570</v>
      </c>
      <c r="Y13" s="59"/>
      <c r="Z13" s="59">
        <v>613</v>
      </c>
      <c r="AA13" s="59"/>
      <c r="AB13" s="59">
        <v>556</v>
      </c>
      <c r="AC13" s="59"/>
      <c r="AD13" s="59">
        <v>11</v>
      </c>
      <c r="AE13" s="59"/>
      <c r="AF13" s="59">
        <v>26</v>
      </c>
      <c r="AG13" s="59"/>
      <c r="AH13" s="59">
        <v>15</v>
      </c>
      <c r="AI13" s="59"/>
      <c r="AJ13" s="59">
        <v>124</v>
      </c>
      <c r="AK13" s="59"/>
      <c r="AL13" s="59">
        <v>19</v>
      </c>
      <c r="AM13" s="59"/>
      <c r="AN13" s="59">
        <v>23</v>
      </c>
      <c r="AO13" s="59">
        <v>1</v>
      </c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>
        <v>178</v>
      </c>
      <c r="BC13" s="59">
        <v>1</v>
      </c>
      <c r="BD13" s="59">
        <v>177</v>
      </c>
      <c r="BE13" s="59">
        <v>1</v>
      </c>
      <c r="BF13" s="59">
        <v>177</v>
      </c>
      <c r="BG13" s="59">
        <v>1</v>
      </c>
      <c r="BH13" s="59">
        <v>159</v>
      </c>
      <c r="BI13" s="59">
        <v>1</v>
      </c>
      <c r="BJ13" s="59">
        <v>158</v>
      </c>
      <c r="BK13" s="59">
        <v>1</v>
      </c>
      <c r="BL13" s="59">
        <v>159</v>
      </c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</row>
    <row r="14" spans="1:113" ht="12.75">
      <c r="A14" s="62" t="s">
        <v>174</v>
      </c>
      <c r="B14" s="62" t="s">
        <v>103</v>
      </c>
      <c r="D14" s="62" t="s">
        <v>205</v>
      </c>
      <c r="E14" s="59">
        <v>1</v>
      </c>
      <c r="F14" s="64">
        <v>0.07248</v>
      </c>
      <c r="G14" s="59">
        <v>1</v>
      </c>
      <c r="H14" s="59">
        <v>0.07956</v>
      </c>
      <c r="I14" s="59">
        <v>1</v>
      </c>
      <c r="J14" s="59">
        <v>0.09084</v>
      </c>
      <c r="K14" s="59"/>
      <c r="L14" s="59">
        <v>0.12064</v>
      </c>
      <c r="M14" s="59">
        <v>1</v>
      </c>
      <c r="N14" s="59">
        <v>0.08904</v>
      </c>
      <c r="O14" s="59"/>
      <c r="P14" s="59">
        <v>0.16082</v>
      </c>
      <c r="Q14" s="59"/>
      <c r="R14" s="59">
        <v>0.08628</v>
      </c>
      <c r="S14" s="59"/>
      <c r="T14" s="59">
        <v>0.0864</v>
      </c>
      <c r="U14" s="59"/>
      <c r="V14" s="59">
        <v>0.0864</v>
      </c>
      <c r="W14" s="59"/>
      <c r="X14" s="59">
        <v>0.04386</v>
      </c>
      <c r="Y14" s="59"/>
      <c r="Z14" s="59">
        <v>0.0584</v>
      </c>
      <c r="AA14" s="59">
        <v>1</v>
      </c>
      <c r="AB14" s="59">
        <v>0.04386</v>
      </c>
      <c r="AC14" s="59"/>
      <c r="AD14" s="59">
        <v>0.09576</v>
      </c>
      <c r="AE14" s="59"/>
      <c r="AF14" s="59">
        <v>0.39672</v>
      </c>
      <c r="AG14" s="59"/>
      <c r="AH14" s="59">
        <v>0.11454</v>
      </c>
      <c r="AI14" s="59"/>
      <c r="AJ14" s="59">
        <v>0.01912</v>
      </c>
      <c r="AK14" s="59">
        <v>1</v>
      </c>
      <c r="AL14" s="59">
        <v>0.01404</v>
      </c>
      <c r="AM14" s="59">
        <v>1</v>
      </c>
      <c r="AN14" s="59">
        <v>0.01404</v>
      </c>
      <c r="AO14" s="59">
        <v>1</v>
      </c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>
        <v>1.06968</v>
      </c>
      <c r="BC14" s="59">
        <v>1</v>
      </c>
      <c r="BD14" s="59">
        <v>1.06344</v>
      </c>
      <c r="BE14" s="59">
        <v>1</v>
      </c>
      <c r="BF14" s="59">
        <v>1.06032</v>
      </c>
      <c r="BG14" s="59">
        <v>1</v>
      </c>
      <c r="BH14" s="59">
        <v>0.4755</v>
      </c>
      <c r="BI14" s="59">
        <v>1</v>
      </c>
      <c r="BJ14" s="59">
        <v>0.47478</v>
      </c>
      <c r="BK14" s="59">
        <v>1</v>
      </c>
      <c r="BL14" s="59">
        <v>0.47814</v>
      </c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</row>
    <row r="15" spans="1:113" ht="12.75">
      <c r="A15" s="62" t="s">
        <v>174</v>
      </c>
      <c r="B15" s="62" t="s">
        <v>99</v>
      </c>
      <c r="D15" s="62" t="s">
        <v>205</v>
      </c>
      <c r="E15" s="59"/>
      <c r="F15" s="64">
        <v>0.7248</v>
      </c>
      <c r="G15" s="59"/>
      <c r="H15" s="59">
        <v>1.1934</v>
      </c>
      <c r="I15" s="59"/>
      <c r="J15" s="59">
        <v>1.12036</v>
      </c>
      <c r="K15" s="59"/>
      <c r="L15" s="59">
        <v>1.32704</v>
      </c>
      <c r="M15" s="59"/>
      <c r="N15" s="59">
        <v>1.08332</v>
      </c>
      <c r="O15" s="59"/>
      <c r="P15" s="59">
        <v>1.7544</v>
      </c>
      <c r="Q15" s="59"/>
      <c r="R15" s="59">
        <v>1.7256</v>
      </c>
      <c r="S15" s="59"/>
      <c r="T15" s="59">
        <v>1.728</v>
      </c>
      <c r="U15" s="59"/>
      <c r="V15" s="59">
        <v>1.728</v>
      </c>
      <c r="W15" s="59"/>
      <c r="X15" s="59">
        <v>3.2164</v>
      </c>
      <c r="Y15" s="59"/>
      <c r="Z15" s="59">
        <v>2.19</v>
      </c>
      <c r="AA15" s="59"/>
      <c r="AB15" s="59">
        <v>2.0468</v>
      </c>
      <c r="AC15" s="59"/>
      <c r="AD15" s="59">
        <v>0.0266</v>
      </c>
      <c r="AE15" s="59"/>
      <c r="AF15" s="59">
        <v>0.027144</v>
      </c>
      <c r="AG15" s="59"/>
      <c r="AH15" s="59">
        <v>0.03486</v>
      </c>
      <c r="AI15" s="59"/>
      <c r="AJ15" s="59">
        <v>0.08604</v>
      </c>
      <c r="AK15" s="59"/>
      <c r="AL15" s="59">
        <v>0.0702</v>
      </c>
      <c r="AM15" s="59"/>
      <c r="AN15" s="59">
        <v>0.06552</v>
      </c>
      <c r="AO15" s="59">
        <v>1</v>
      </c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>
        <v>0.53484</v>
      </c>
      <c r="BC15" s="59">
        <v>1</v>
      </c>
      <c r="BD15" s="59">
        <v>0.53172</v>
      </c>
      <c r="BE15" s="59">
        <v>1</v>
      </c>
      <c r="BF15" s="59">
        <v>0.53016</v>
      </c>
      <c r="BG15" s="59">
        <v>1</v>
      </c>
      <c r="BH15" s="59">
        <v>0.4755</v>
      </c>
      <c r="BI15" s="59">
        <v>1</v>
      </c>
      <c r="BJ15" s="59">
        <v>0.47478</v>
      </c>
      <c r="BK15" s="59">
        <v>1</v>
      </c>
      <c r="BL15" s="59">
        <v>0.47814</v>
      </c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>
        <v>7.4</v>
      </c>
      <c r="CM15" s="59"/>
      <c r="CN15" s="59">
        <v>7.4</v>
      </c>
      <c r="CO15" s="59"/>
      <c r="CP15" s="59">
        <v>7.5</v>
      </c>
      <c r="CQ15" s="59"/>
      <c r="CR15" s="59">
        <v>13.3</v>
      </c>
      <c r="CS15" s="59"/>
      <c r="CT15" s="59">
        <v>8.21</v>
      </c>
      <c r="CU15" s="59"/>
      <c r="CV15" s="59">
        <v>14.4</v>
      </c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</row>
    <row r="16" spans="1:113" ht="12.75">
      <c r="A16" s="62" t="s">
        <v>174</v>
      </c>
      <c r="B16" s="62" t="s">
        <v>100</v>
      </c>
      <c r="D16" s="62" t="s">
        <v>205</v>
      </c>
      <c r="E16" s="59"/>
      <c r="F16" s="64">
        <v>0.39864</v>
      </c>
      <c r="G16" s="59"/>
      <c r="H16" s="59">
        <v>0.45084</v>
      </c>
      <c r="I16" s="59"/>
      <c r="J16" s="59">
        <v>0.54504</v>
      </c>
      <c r="K16" s="59"/>
      <c r="L16" s="59">
        <v>0.57304</v>
      </c>
      <c r="M16" s="59"/>
      <c r="N16" s="59">
        <v>0.92008</v>
      </c>
      <c r="O16" s="59"/>
      <c r="P16" s="59">
        <v>0.78948</v>
      </c>
      <c r="Q16" s="59"/>
      <c r="R16" s="59">
        <v>9.2032</v>
      </c>
      <c r="S16" s="59"/>
      <c r="T16" s="59">
        <v>13.824</v>
      </c>
      <c r="U16" s="59"/>
      <c r="V16" s="59">
        <v>14.112</v>
      </c>
      <c r="W16" s="59"/>
      <c r="X16" s="59">
        <v>30.702</v>
      </c>
      <c r="Y16" s="59"/>
      <c r="Z16" s="59">
        <v>29.2</v>
      </c>
      <c r="AA16" s="59"/>
      <c r="AB16" s="59">
        <v>32.164</v>
      </c>
      <c r="AC16" s="59"/>
      <c r="AD16" s="59">
        <v>1.2236</v>
      </c>
      <c r="AE16" s="59"/>
      <c r="AF16" s="59">
        <v>11.484</v>
      </c>
      <c r="AG16" s="59"/>
      <c r="AH16" s="59">
        <v>5.478</v>
      </c>
      <c r="AI16" s="59"/>
      <c r="AJ16" s="59">
        <v>2.39</v>
      </c>
      <c r="AK16" s="59"/>
      <c r="AL16" s="59">
        <v>2.4336</v>
      </c>
      <c r="AM16" s="59"/>
      <c r="AN16" s="59">
        <v>5.85</v>
      </c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>
        <v>4.99184</v>
      </c>
      <c r="BC16" s="59"/>
      <c r="BD16" s="59">
        <v>3.72204</v>
      </c>
      <c r="BE16" s="59"/>
      <c r="BF16" s="59">
        <v>4.94816</v>
      </c>
      <c r="BG16" s="59"/>
      <c r="BH16" s="59">
        <v>3.804</v>
      </c>
      <c r="BI16" s="59"/>
      <c r="BJ16" s="59">
        <v>3.63998</v>
      </c>
      <c r="BK16" s="59"/>
      <c r="BL16" s="59">
        <v>5.25954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</row>
    <row r="17" spans="1:113" ht="12.75">
      <c r="A17" s="62" t="s">
        <v>174</v>
      </c>
      <c r="B17" s="62" t="s">
        <v>101</v>
      </c>
      <c r="D17" s="62" t="s">
        <v>205</v>
      </c>
      <c r="E17" s="59"/>
      <c r="F17" s="64">
        <v>0.004832</v>
      </c>
      <c r="G17" s="59"/>
      <c r="H17" s="59">
        <v>0.005304</v>
      </c>
      <c r="I17" s="59"/>
      <c r="J17" s="59">
        <v>0.006056</v>
      </c>
      <c r="K17" s="59"/>
      <c r="L17" s="59">
        <v>0.006032</v>
      </c>
      <c r="M17" s="59"/>
      <c r="N17" s="59">
        <v>0.011872</v>
      </c>
      <c r="O17" s="59"/>
      <c r="P17" s="59">
        <v>0.00731</v>
      </c>
      <c r="Q17" s="59"/>
      <c r="R17" s="59">
        <v>0.112164</v>
      </c>
      <c r="S17" s="59"/>
      <c r="T17" s="59">
        <v>0.13536</v>
      </c>
      <c r="U17" s="59"/>
      <c r="V17" s="59">
        <v>0.2448</v>
      </c>
      <c r="W17" s="59">
        <v>1</v>
      </c>
      <c r="X17" s="59">
        <v>0.001462</v>
      </c>
      <c r="Y17" s="59">
        <v>1</v>
      </c>
      <c r="Z17" s="59">
        <v>0.00146</v>
      </c>
      <c r="AA17" s="59">
        <v>1</v>
      </c>
      <c r="AB17" s="59">
        <v>0.001462</v>
      </c>
      <c r="AC17" s="59">
        <v>1</v>
      </c>
      <c r="AD17" s="59">
        <v>0.000266</v>
      </c>
      <c r="AE17" s="59">
        <v>1</v>
      </c>
      <c r="AF17" s="59">
        <v>0.000261</v>
      </c>
      <c r="AG17" s="59">
        <v>1</v>
      </c>
      <c r="AH17" s="59">
        <v>0.000249</v>
      </c>
      <c r="AI17" s="59">
        <v>1</v>
      </c>
      <c r="AJ17" s="59">
        <v>0.000478</v>
      </c>
      <c r="AK17" s="59"/>
      <c r="AL17" s="59">
        <v>0.001404</v>
      </c>
      <c r="AM17" s="59">
        <v>1</v>
      </c>
      <c r="AN17" s="59">
        <v>0.000468</v>
      </c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>
        <v>0.035656</v>
      </c>
      <c r="BC17" s="59"/>
      <c r="BD17" s="59">
        <v>0.035448</v>
      </c>
      <c r="BE17" s="59"/>
      <c r="BF17" s="59">
        <v>0.035344</v>
      </c>
      <c r="BG17" s="59"/>
      <c r="BH17" s="59">
        <v>0.0317</v>
      </c>
      <c r="BI17" s="59"/>
      <c r="BJ17" s="59">
        <v>0.031652</v>
      </c>
      <c r="BK17" s="59"/>
      <c r="BL17" s="59">
        <v>0.031876</v>
      </c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</row>
    <row r="18" spans="1:113" ht="12.75">
      <c r="A18" s="62" t="s">
        <v>174</v>
      </c>
      <c r="B18" s="62" t="s">
        <v>106</v>
      </c>
      <c r="D18" s="62" t="s">
        <v>205</v>
      </c>
      <c r="E18" s="59">
        <v>1</v>
      </c>
      <c r="F18" s="64">
        <v>0.004832</v>
      </c>
      <c r="G18" s="59">
        <v>1</v>
      </c>
      <c r="H18" s="59">
        <v>0.005304</v>
      </c>
      <c r="I18" s="59">
        <v>1</v>
      </c>
      <c r="J18" s="59">
        <v>0.006056</v>
      </c>
      <c r="K18" s="59">
        <v>1</v>
      </c>
      <c r="L18" s="59">
        <v>0.006032</v>
      </c>
      <c r="M18" s="59">
        <v>1</v>
      </c>
      <c r="N18" s="59">
        <v>0.005936</v>
      </c>
      <c r="O18" s="59">
        <v>1</v>
      </c>
      <c r="P18" s="59">
        <v>0.005848</v>
      </c>
      <c r="Q18" s="59"/>
      <c r="R18" s="59">
        <v>0.17256</v>
      </c>
      <c r="S18" s="59"/>
      <c r="T18" s="59">
        <v>0.1584</v>
      </c>
      <c r="U18" s="59"/>
      <c r="V18" s="59">
        <v>0.2304</v>
      </c>
      <c r="W18" s="59"/>
      <c r="X18" s="59">
        <v>1.0965</v>
      </c>
      <c r="Y18" s="59"/>
      <c r="Z18" s="59">
        <v>1.168</v>
      </c>
      <c r="AA18" s="59"/>
      <c r="AB18" s="59">
        <v>1.28656</v>
      </c>
      <c r="AC18" s="59"/>
      <c r="AD18" s="59">
        <v>0.051072</v>
      </c>
      <c r="AE18" s="59"/>
      <c r="AF18" s="59">
        <v>0.42804</v>
      </c>
      <c r="AG18" s="59"/>
      <c r="AH18" s="59">
        <v>0.01245</v>
      </c>
      <c r="AI18" s="59"/>
      <c r="AJ18" s="59">
        <v>0.016252</v>
      </c>
      <c r="AK18" s="59"/>
      <c r="AL18" s="59">
        <v>0.15444</v>
      </c>
      <c r="AM18" s="59"/>
      <c r="AN18" s="59">
        <v>0.014508</v>
      </c>
      <c r="AO18" s="59">
        <v>1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>
        <v>0.071312</v>
      </c>
      <c r="BC18" s="59">
        <v>1</v>
      </c>
      <c r="BD18" s="59">
        <v>0.070896</v>
      </c>
      <c r="BE18" s="59">
        <v>1</v>
      </c>
      <c r="BF18" s="59">
        <v>0.070688</v>
      </c>
      <c r="BG18" s="59">
        <v>1</v>
      </c>
      <c r="BH18" s="59">
        <v>0.0634</v>
      </c>
      <c r="BI18" s="59">
        <v>1</v>
      </c>
      <c r="BJ18" s="59">
        <v>0.063304</v>
      </c>
      <c r="BK18" s="59">
        <v>1</v>
      </c>
      <c r="BL18" s="59">
        <v>0.063752</v>
      </c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>
        <v>1.4</v>
      </c>
      <c r="CS18" s="59"/>
      <c r="CT18" s="59">
        <v>0.899</v>
      </c>
      <c r="CU18" s="59"/>
      <c r="CV18" s="59">
        <v>1.57</v>
      </c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</row>
    <row r="19" spans="1:113" ht="12.75">
      <c r="A19" s="62" t="s">
        <v>174</v>
      </c>
      <c r="B19" s="62" t="s">
        <v>108</v>
      </c>
      <c r="D19" s="62" t="s">
        <v>205</v>
      </c>
      <c r="E19" s="59"/>
      <c r="F19" s="64">
        <v>0.043488</v>
      </c>
      <c r="G19" s="59"/>
      <c r="H19" s="59">
        <v>0.034476</v>
      </c>
      <c r="I19" s="59"/>
      <c r="J19" s="59">
        <v>0.021196</v>
      </c>
      <c r="K19" s="59"/>
      <c r="L19" s="59">
        <v>0.078416</v>
      </c>
      <c r="M19" s="59"/>
      <c r="N19" s="59">
        <v>0.13356</v>
      </c>
      <c r="O19" s="59"/>
      <c r="P19" s="59">
        <v>0.11696</v>
      </c>
      <c r="Q19" s="59"/>
      <c r="R19" s="59">
        <v>4.6016</v>
      </c>
      <c r="S19" s="59"/>
      <c r="T19" s="59">
        <v>7.488</v>
      </c>
      <c r="U19" s="59"/>
      <c r="V19" s="59">
        <v>6.624</v>
      </c>
      <c r="W19" s="59"/>
      <c r="X19" s="59">
        <v>23.392</v>
      </c>
      <c r="Y19" s="59"/>
      <c r="Z19" s="59">
        <v>21.9</v>
      </c>
      <c r="AA19" s="59"/>
      <c r="AB19" s="59">
        <v>23.392</v>
      </c>
      <c r="AC19" s="59"/>
      <c r="AD19" s="59">
        <v>2.5536</v>
      </c>
      <c r="AE19" s="59"/>
      <c r="AF19" s="59">
        <v>3.6018</v>
      </c>
      <c r="AG19" s="59"/>
      <c r="AH19" s="59">
        <v>1.0458</v>
      </c>
      <c r="AI19" s="59"/>
      <c r="AJ19" s="59">
        <v>0.956</v>
      </c>
      <c r="AK19" s="59"/>
      <c r="AL19" s="59">
        <v>3.1824</v>
      </c>
      <c r="AM19" s="59"/>
      <c r="AN19" s="59">
        <v>3.6036</v>
      </c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>
        <v>0.784432</v>
      </c>
      <c r="BC19" s="59"/>
      <c r="BD19" s="59">
        <v>0.691236</v>
      </c>
      <c r="BE19" s="59"/>
      <c r="BF19" s="59">
        <v>0.742224</v>
      </c>
      <c r="BG19" s="59"/>
      <c r="BH19" s="59">
        <v>0.317</v>
      </c>
      <c r="BI19" s="59"/>
      <c r="BJ19" s="59">
        <v>0.253216</v>
      </c>
      <c r="BK19" s="59"/>
      <c r="BL19" s="59">
        <v>0.525954</v>
      </c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>
        <v>37.7</v>
      </c>
      <c r="CM19" s="59"/>
      <c r="CN19" s="59">
        <v>37.6</v>
      </c>
      <c r="CO19" s="59"/>
      <c r="CP19" s="59">
        <v>38.6</v>
      </c>
      <c r="CQ19" s="59"/>
      <c r="CR19" s="59">
        <v>36.5</v>
      </c>
      <c r="CS19" s="59"/>
      <c r="CT19" s="59">
        <v>21.8</v>
      </c>
      <c r="CU19" s="59"/>
      <c r="CV19" s="59">
        <v>38.2</v>
      </c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</row>
    <row r="20" spans="1:113" ht="12.75">
      <c r="A20" s="62" t="s">
        <v>174</v>
      </c>
      <c r="B20" s="62" t="s">
        <v>104</v>
      </c>
      <c r="D20" s="62" t="s">
        <v>205</v>
      </c>
      <c r="E20" s="59"/>
      <c r="F20" s="64">
        <v>0.04832</v>
      </c>
      <c r="G20" s="59"/>
      <c r="H20" s="59">
        <v>0.10608</v>
      </c>
      <c r="I20" s="59"/>
      <c r="J20" s="59">
        <v>0.09084</v>
      </c>
      <c r="K20" s="59"/>
      <c r="L20" s="59">
        <v>0.06032</v>
      </c>
      <c r="M20" s="59"/>
      <c r="N20" s="59">
        <v>0.08904</v>
      </c>
      <c r="O20" s="59"/>
      <c r="P20" s="59">
        <v>0.0731</v>
      </c>
      <c r="Q20" s="59"/>
      <c r="R20" s="59">
        <v>28.76</v>
      </c>
      <c r="S20" s="59"/>
      <c r="T20" s="59">
        <v>24.48</v>
      </c>
      <c r="U20" s="59"/>
      <c r="V20" s="59">
        <v>31.68</v>
      </c>
      <c r="W20" s="59"/>
      <c r="X20" s="59">
        <v>9.6492</v>
      </c>
      <c r="Y20" s="59"/>
      <c r="Z20" s="59">
        <v>9.052</v>
      </c>
      <c r="AA20" s="59"/>
      <c r="AB20" s="59">
        <v>9.2106</v>
      </c>
      <c r="AC20" s="59"/>
      <c r="AD20" s="59">
        <v>0.8512</v>
      </c>
      <c r="AE20" s="59"/>
      <c r="AF20" s="59">
        <v>4.3848</v>
      </c>
      <c r="AG20" s="59"/>
      <c r="AH20" s="59">
        <v>2.8884</v>
      </c>
      <c r="AI20" s="59"/>
      <c r="AJ20" s="59">
        <v>2.1032</v>
      </c>
      <c r="AK20" s="59"/>
      <c r="AL20" s="59">
        <v>1.5912</v>
      </c>
      <c r="AM20" s="59"/>
      <c r="AN20" s="59">
        <v>4.2588</v>
      </c>
      <c r="AO20" s="59">
        <v>1</v>
      </c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>
        <v>0.53484</v>
      </c>
      <c r="BC20" s="59">
        <v>1</v>
      </c>
      <c r="BD20" s="59">
        <v>0.53172</v>
      </c>
      <c r="BE20" s="59">
        <v>1</v>
      </c>
      <c r="BF20" s="59">
        <v>0.53016</v>
      </c>
      <c r="BG20" s="59">
        <v>1</v>
      </c>
      <c r="BH20" s="59">
        <v>0.7925</v>
      </c>
      <c r="BI20" s="59">
        <v>1</v>
      </c>
      <c r="BJ20" s="59">
        <v>0.7913</v>
      </c>
      <c r="BK20" s="59">
        <v>1</v>
      </c>
      <c r="BL20" s="59">
        <v>0.7969</v>
      </c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</row>
    <row r="21" spans="1:113" ht="12.75">
      <c r="A21" s="62" t="s">
        <v>174</v>
      </c>
      <c r="B21" s="62" t="s">
        <v>112</v>
      </c>
      <c r="D21" s="62" t="s">
        <v>205</v>
      </c>
      <c r="E21" s="59"/>
      <c r="F21" s="64">
        <v>0.0019328</v>
      </c>
      <c r="G21" s="59"/>
      <c r="H21" s="59">
        <v>0.0029172</v>
      </c>
      <c r="I21" s="59"/>
      <c r="J21" s="59">
        <v>0.0027252</v>
      </c>
      <c r="K21" s="59"/>
      <c r="L21" s="59">
        <v>0.0019604</v>
      </c>
      <c r="M21" s="59"/>
      <c r="N21" s="59">
        <v>0.0019292</v>
      </c>
      <c r="O21" s="59"/>
      <c r="P21" s="59">
        <v>0.0020468</v>
      </c>
      <c r="Q21" s="59"/>
      <c r="R21" s="59">
        <v>0.008628</v>
      </c>
      <c r="S21" s="59"/>
      <c r="T21" s="59">
        <v>0.01008</v>
      </c>
      <c r="U21" s="59"/>
      <c r="V21" s="59">
        <v>0.01296</v>
      </c>
      <c r="W21" s="59"/>
      <c r="X21" s="59">
        <v>0.002924</v>
      </c>
      <c r="Y21" s="59"/>
      <c r="Z21" s="59">
        <v>0.00438</v>
      </c>
      <c r="AA21" s="59"/>
      <c r="AB21" s="59">
        <v>0.002924</v>
      </c>
      <c r="AC21" s="59">
        <v>1</v>
      </c>
      <c r="AD21" s="59">
        <v>0.001064</v>
      </c>
      <c r="AE21" s="59"/>
      <c r="AF21" s="59">
        <v>0.00261</v>
      </c>
      <c r="AG21" s="59">
        <v>1</v>
      </c>
      <c r="AH21" s="59">
        <v>0.000996</v>
      </c>
      <c r="AI21" s="59"/>
      <c r="AJ21" s="59">
        <v>0.008604</v>
      </c>
      <c r="AK21" s="59"/>
      <c r="AL21" s="59">
        <v>0.003744</v>
      </c>
      <c r="AM21" s="59"/>
      <c r="AN21" s="59">
        <v>0.004212</v>
      </c>
      <c r="AO21" s="59">
        <v>1</v>
      </c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>
        <v>0.0035656</v>
      </c>
      <c r="BC21" s="59">
        <v>1</v>
      </c>
      <c r="BD21" s="59">
        <v>0.0035448</v>
      </c>
      <c r="BE21" s="59">
        <v>1</v>
      </c>
      <c r="BF21" s="59">
        <v>0.0035344</v>
      </c>
      <c r="BG21" s="59">
        <v>1</v>
      </c>
      <c r="BH21" s="59">
        <v>0.00317</v>
      </c>
      <c r="BI21" s="59">
        <v>1</v>
      </c>
      <c r="BJ21" s="59">
        <v>0.0031652</v>
      </c>
      <c r="BK21" s="59">
        <v>1</v>
      </c>
      <c r="BL21" s="59">
        <v>0.0031876</v>
      </c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</row>
    <row r="22" spans="1:113" ht="12.75">
      <c r="A22" s="62" t="s">
        <v>174</v>
      </c>
      <c r="B22" s="62" t="s">
        <v>107</v>
      </c>
      <c r="D22" s="62" t="s">
        <v>205</v>
      </c>
      <c r="E22" s="59">
        <v>1</v>
      </c>
      <c r="F22" s="64">
        <v>0.007248</v>
      </c>
      <c r="G22" s="59">
        <v>1</v>
      </c>
      <c r="H22" s="59">
        <v>0.007956</v>
      </c>
      <c r="I22" s="59">
        <v>1</v>
      </c>
      <c r="J22" s="59">
        <v>0.009084</v>
      </c>
      <c r="K22" s="59">
        <v>1</v>
      </c>
      <c r="L22" s="59">
        <v>0.009048</v>
      </c>
      <c r="M22" s="59">
        <v>1</v>
      </c>
      <c r="N22" s="59">
        <v>0.008904</v>
      </c>
      <c r="O22" s="59">
        <v>1</v>
      </c>
      <c r="P22" s="59">
        <v>0.008772</v>
      </c>
      <c r="Q22" s="59">
        <v>1</v>
      </c>
      <c r="R22" s="59">
        <v>0.008628</v>
      </c>
      <c r="S22" s="59">
        <v>1</v>
      </c>
      <c r="T22" s="59">
        <v>0.00864</v>
      </c>
      <c r="U22" s="59">
        <v>1</v>
      </c>
      <c r="V22" s="59">
        <v>0.00864</v>
      </c>
      <c r="W22" s="59">
        <v>1</v>
      </c>
      <c r="X22" s="59">
        <v>0.008772</v>
      </c>
      <c r="Y22" s="59">
        <v>1</v>
      </c>
      <c r="Z22" s="59">
        <v>0.00876</v>
      </c>
      <c r="AA22" s="59">
        <v>1</v>
      </c>
      <c r="AB22" s="59">
        <v>0.008772</v>
      </c>
      <c r="AC22" s="59">
        <v>1</v>
      </c>
      <c r="AD22" s="59">
        <v>0.01596</v>
      </c>
      <c r="AE22" s="59"/>
      <c r="AF22" s="59">
        <v>0.20358</v>
      </c>
      <c r="AG22" s="59"/>
      <c r="AH22" s="59">
        <v>0.0996</v>
      </c>
      <c r="AI22" s="59"/>
      <c r="AJ22" s="59">
        <v>0.035372</v>
      </c>
      <c r="AK22" s="59">
        <v>1</v>
      </c>
      <c r="AL22" s="59">
        <v>0.002808</v>
      </c>
      <c r="AM22" s="59"/>
      <c r="AN22" s="59">
        <v>0.010296</v>
      </c>
      <c r="AO22" s="59">
        <v>1</v>
      </c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>
        <v>0.106968</v>
      </c>
      <c r="BC22" s="59">
        <v>1</v>
      </c>
      <c r="BD22" s="59">
        <v>0.106344</v>
      </c>
      <c r="BE22" s="59">
        <v>1</v>
      </c>
      <c r="BF22" s="59">
        <v>0.106032</v>
      </c>
      <c r="BG22" s="59">
        <v>1</v>
      </c>
      <c r="BH22" s="59">
        <v>0.0951</v>
      </c>
      <c r="BI22" s="59">
        <v>1</v>
      </c>
      <c r="BJ22" s="59">
        <v>0.094956</v>
      </c>
      <c r="BK22" s="59">
        <v>1</v>
      </c>
      <c r="BL22" s="59">
        <v>0.095628</v>
      </c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</row>
    <row r="23" spans="1:113" ht="12.75">
      <c r="A23" s="62" t="s">
        <v>174</v>
      </c>
      <c r="B23" s="62" t="s">
        <v>102</v>
      </c>
      <c r="D23" s="62" t="s">
        <v>205</v>
      </c>
      <c r="E23" s="59">
        <v>1</v>
      </c>
      <c r="F23" s="64">
        <v>0.1812</v>
      </c>
      <c r="G23" s="59">
        <v>1</v>
      </c>
      <c r="H23" s="59">
        <v>0.1989</v>
      </c>
      <c r="I23" s="59">
        <v>1</v>
      </c>
      <c r="J23" s="59">
        <v>0.2271</v>
      </c>
      <c r="K23" s="59">
        <v>1</v>
      </c>
      <c r="L23" s="59">
        <v>0.3016</v>
      </c>
      <c r="M23" s="59">
        <v>1</v>
      </c>
      <c r="N23" s="59">
        <v>0.2968</v>
      </c>
      <c r="O23" s="59">
        <v>1</v>
      </c>
      <c r="P23" s="59">
        <v>0.2924</v>
      </c>
      <c r="Q23" s="59">
        <v>1</v>
      </c>
      <c r="R23" s="59">
        <v>0.05752</v>
      </c>
      <c r="S23" s="59">
        <v>1</v>
      </c>
      <c r="T23" s="59">
        <v>0.0576</v>
      </c>
      <c r="U23" s="59">
        <v>1</v>
      </c>
      <c r="V23" s="59">
        <v>0.0576</v>
      </c>
      <c r="W23" s="59">
        <v>1</v>
      </c>
      <c r="X23" s="59">
        <v>0.05848</v>
      </c>
      <c r="Y23" s="59">
        <v>1</v>
      </c>
      <c r="Z23" s="59">
        <v>0.0584</v>
      </c>
      <c r="AA23" s="59">
        <v>1</v>
      </c>
      <c r="AB23" s="59">
        <v>0.05848</v>
      </c>
      <c r="AC23" s="59">
        <v>1</v>
      </c>
      <c r="AD23" s="59">
        <v>0.266</v>
      </c>
      <c r="AE23" s="59">
        <v>1</v>
      </c>
      <c r="AF23" s="59">
        <v>0.261</v>
      </c>
      <c r="AG23" s="59">
        <v>1</v>
      </c>
      <c r="AH23" s="59">
        <v>0.249</v>
      </c>
      <c r="AI23" s="59">
        <v>1</v>
      </c>
      <c r="AJ23" s="59">
        <v>0.0956</v>
      </c>
      <c r="AK23" s="59">
        <v>1</v>
      </c>
      <c r="AL23" s="59">
        <v>0.0936</v>
      </c>
      <c r="AM23" s="59">
        <v>1</v>
      </c>
      <c r="AN23" s="59">
        <v>0.0936</v>
      </c>
      <c r="AO23" s="59">
        <v>1</v>
      </c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>
        <v>0.71312</v>
      </c>
      <c r="BC23" s="59">
        <v>1</v>
      </c>
      <c r="BD23" s="59">
        <v>0.70896</v>
      </c>
      <c r="BE23" s="59">
        <v>1</v>
      </c>
      <c r="BF23" s="59">
        <v>0.70688</v>
      </c>
      <c r="BG23" s="59">
        <v>1</v>
      </c>
      <c r="BH23" s="59">
        <v>0.634</v>
      </c>
      <c r="BI23" s="59">
        <v>1</v>
      </c>
      <c r="BJ23" s="59">
        <v>0.63304</v>
      </c>
      <c r="BK23" s="59">
        <v>1</v>
      </c>
      <c r="BL23" s="59">
        <v>0.63752</v>
      </c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</row>
    <row r="24" spans="5:113" ht="12.75"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</row>
    <row r="25" spans="2:126" ht="12.75">
      <c r="B25" s="62" t="s">
        <v>208</v>
      </c>
      <c r="E25" s="59"/>
      <c r="F25" s="59">
        <f>'emiss 2'!$G$35</f>
        <v>92771</v>
      </c>
      <c r="G25" s="59"/>
      <c r="H25" s="59">
        <f>'emiss 2'!$I$35</f>
        <v>88208</v>
      </c>
      <c r="I25" s="59"/>
      <c r="J25" s="59">
        <f>'emiss 2'!$K$35</f>
        <v>89135</v>
      </c>
      <c r="K25" s="59"/>
      <c r="L25" s="59">
        <f>'emiss 2'!$M$35</f>
        <v>94904</v>
      </c>
      <c r="M25" s="59"/>
      <c r="N25" s="59">
        <f>'emiss 2'!$O$35</f>
        <v>92611</v>
      </c>
      <c r="O25" s="59"/>
      <c r="P25" s="59">
        <f>'emiss 2'!$Q$35</f>
        <v>89542</v>
      </c>
      <c r="Q25" s="59"/>
      <c r="R25" s="59">
        <f>'emiss 2'!$G$35</f>
        <v>92771</v>
      </c>
      <c r="S25" s="59"/>
      <c r="T25" s="59">
        <f>'emiss 2'!$I$35</f>
        <v>88208</v>
      </c>
      <c r="U25" s="59"/>
      <c r="V25" s="59">
        <f>'emiss 2'!$K$35</f>
        <v>89135</v>
      </c>
      <c r="W25" s="59"/>
      <c r="X25" s="59">
        <f>'emiss 2'!$M$35</f>
        <v>94904</v>
      </c>
      <c r="Y25" s="59"/>
      <c r="Z25" s="59">
        <f>'emiss 2'!$O$35</f>
        <v>92611</v>
      </c>
      <c r="AA25" s="59"/>
      <c r="AB25" s="59">
        <f>'emiss 2'!$Q$35</f>
        <v>89542</v>
      </c>
      <c r="AC25" s="59"/>
      <c r="AD25" s="59">
        <f>'emiss 2'!$G$35</f>
        <v>92771</v>
      </c>
      <c r="AE25" s="59"/>
      <c r="AF25" s="59">
        <f>'emiss 2'!$I$35</f>
        <v>88208</v>
      </c>
      <c r="AG25" s="59"/>
      <c r="AH25" s="59">
        <f>'emiss 2'!$K$35</f>
        <v>89135</v>
      </c>
      <c r="AI25" s="59"/>
      <c r="AJ25" s="59">
        <f>'emiss 2'!$M$35</f>
        <v>94904</v>
      </c>
      <c r="AK25" s="59"/>
      <c r="AL25" s="59">
        <f>'emiss 2'!$O$35</f>
        <v>92611</v>
      </c>
      <c r="AM25" s="59"/>
      <c r="AN25" s="59">
        <f>'emiss 2'!$Q$35</f>
        <v>89542</v>
      </c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>
        <f>'emiss 2'!$G$35</f>
        <v>92771</v>
      </c>
      <c r="BC25" s="59"/>
      <c r="BD25" s="59">
        <f>'emiss 2'!$I$35</f>
        <v>88208</v>
      </c>
      <c r="BE25" s="59"/>
      <c r="BF25" s="59">
        <f>'emiss 2'!$K$35</f>
        <v>89135</v>
      </c>
      <c r="BG25" s="59"/>
      <c r="BH25" s="59">
        <f>'emiss 2'!$M$35</f>
        <v>94904</v>
      </c>
      <c r="BI25" s="59"/>
      <c r="BJ25" s="59">
        <f>'emiss 2'!$O$35</f>
        <v>92611</v>
      </c>
      <c r="BK25" s="59"/>
      <c r="BL25" s="59">
        <f>'emiss 2'!$Q$35</f>
        <v>89542</v>
      </c>
      <c r="BM25" s="59"/>
      <c r="BN25" s="59">
        <f>'emiss 2'!$G$35</f>
        <v>92771</v>
      </c>
      <c r="BO25" s="59"/>
      <c r="BP25" s="59">
        <f>'emiss 2'!$I$35</f>
        <v>88208</v>
      </c>
      <c r="BQ25" s="59"/>
      <c r="BR25" s="59">
        <f>'emiss 2'!$K$35</f>
        <v>89135</v>
      </c>
      <c r="BS25" s="59"/>
      <c r="BT25" s="59">
        <f>'emiss 2'!$M$35</f>
        <v>94904</v>
      </c>
      <c r="BU25" s="59"/>
      <c r="BV25" s="59">
        <f>'emiss 2'!$O$35</f>
        <v>92611</v>
      </c>
      <c r="BW25" s="59"/>
      <c r="BX25" s="59">
        <f>'emiss 2'!$Q$35</f>
        <v>89542</v>
      </c>
      <c r="BY25" s="59"/>
      <c r="BZ25" s="59">
        <f>'emiss 2'!$G$35</f>
        <v>92771</v>
      </c>
      <c r="CA25" s="59"/>
      <c r="CB25" s="59">
        <f>'emiss 2'!$I$35</f>
        <v>88208</v>
      </c>
      <c r="CC25" s="59"/>
      <c r="CD25" s="59">
        <f>'emiss 2'!$K$35</f>
        <v>89135</v>
      </c>
      <c r="CE25" s="59"/>
      <c r="CF25" s="59">
        <f>'emiss 2'!$M$35</f>
        <v>94904</v>
      </c>
      <c r="CG25" s="59"/>
      <c r="CH25" s="59">
        <f>'emiss 2'!$O$35</f>
        <v>92611</v>
      </c>
      <c r="CI25" s="59"/>
      <c r="CJ25" s="59">
        <f>'emiss 2'!$Q$35</f>
        <v>89542</v>
      </c>
      <c r="CK25" s="59"/>
      <c r="CL25" s="59">
        <f>'emiss 2'!$G$35</f>
        <v>92771</v>
      </c>
      <c r="CM25" s="59"/>
      <c r="CN25" s="59">
        <f>'emiss 2'!$I$35</f>
        <v>88208</v>
      </c>
      <c r="CO25" s="59"/>
      <c r="CP25" s="59">
        <f>'emiss 2'!$K$35</f>
        <v>89135</v>
      </c>
      <c r="CQ25" s="59"/>
      <c r="CR25" s="59">
        <f>'emiss 2'!$M$35</f>
        <v>94904</v>
      </c>
      <c r="CS25" s="59"/>
      <c r="CT25" s="59">
        <f>'emiss 2'!$O$35</f>
        <v>92611</v>
      </c>
      <c r="CU25" s="59"/>
      <c r="CV25" s="59">
        <f>'emiss 2'!$Q$35</f>
        <v>89542</v>
      </c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62">
        <f>F25</f>
        <v>92771</v>
      </c>
      <c r="DL25" s="62">
        <f>H25</f>
        <v>88208</v>
      </c>
      <c r="DN25" s="62">
        <f>J25</f>
        <v>89135</v>
      </c>
      <c r="DP25" s="62">
        <f>L25</f>
        <v>94904</v>
      </c>
      <c r="DR25" s="62">
        <f>N25</f>
        <v>92611</v>
      </c>
      <c r="DT25" s="62">
        <f>P25</f>
        <v>89542</v>
      </c>
      <c r="DV25" s="62">
        <f>AVERAGE(DJ25,DL25,DN25,DP25,DR25,DT25)</f>
        <v>91195.16666666667</v>
      </c>
    </row>
    <row r="26" spans="2:126" ht="12.75">
      <c r="B26" s="62" t="s">
        <v>73</v>
      </c>
      <c r="E26" s="59"/>
      <c r="F26" s="59">
        <f>'emiss 2'!$G$36</f>
        <v>5.2</v>
      </c>
      <c r="G26" s="59"/>
      <c r="H26" s="59">
        <f>'emiss 2'!$I$36</f>
        <v>6</v>
      </c>
      <c r="I26" s="59"/>
      <c r="J26" s="59">
        <f>'emiss 2'!$K$36</f>
        <v>5.7</v>
      </c>
      <c r="K26" s="59"/>
      <c r="L26" s="59">
        <f>'emiss 2'!$M$36</f>
        <v>6.3</v>
      </c>
      <c r="M26" s="59"/>
      <c r="N26" s="59">
        <f>'emiss 2'!$O$36</f>
        <v>4</v>
      </c>
      <c r="O26" s="59"/>
      <c r="P26" s="59">
        <f>'emiss 2'!$Q$36</f>
        <v>4</v>
      </c>
      <c r="Q26" s="59"/>
      <c r="R26" s="59">
        <f>'emiss 2'!$G$36</f>
        <v>5.2</v>
      </c>
      <c r="S26" s="59"/>
      <c r="T26" s="59">
        <f>'emiss 2'!$I$36</f>
        <v>6</v>
      </c>
      <c r="U26" s="59"/>
      <c r="V26" s="59">
        <f>'emiss 2'!$K$36</f>
        <v>5.7</v>
      </c>
      <c r="W26" s="59"/>
      <c r="X26" s="59">
        <f>'emiss 2'!$M$36</f>
        <v>6.3</v>
      </c>
      <c r="Y26" s="59"/>
      <c r="Z26" s="59">
        <f>'emiss 2'!$O$36</f>
        <v>4</v>
      </c>
      <c r="AA26" s="59"/>
      <c r="AB26" s="59">
        <f>'emiss 2'!$Q$36</f>
        <v>4</v>
      </c>
      <c r="AC26" s="59"/>
      <c r="AD26" s="59">
        <f>'emiss 2'!$G$36</f>
        <v>5.2</v>
      </c>
      <c r="AE26" s="59"/>
      <c r="AF26" s="59">
        <f>'emiss 2'!$I$36</f>
        <v>6</v>
      </c>
      <c r="AG26" s="59"/>
      <c r="AH26" s="59">
        <f>'emiss 2'!$K$36</f>
        <v>5.7</v>
      </c>
      <c r="AI26" s="59"/>
      <c r="AJ26" s="59">
        <f>'emiss 2'!$M$36</f>
        <v>6.3</v>
      </c>
      <c r="AK26" s="59"/>
      <c r="AL26" s="59">
        <f>'emiss 2'!$O$36</f>
        <v>4</v>
      </c>
      <c r="AM26" s="59"/>
      <c r="AN26" s="59">
        <f>'emiss 2'!$Q$36</f>
        <v>4</v>
      </c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>
        <f>'emiss 2'!$G$36</f>
        <v>5.2</v>
      </c>
      <c r="BC26" s="59"/>
      <c r="BD26" s="59">
        <f>'emiss 2'!$I$36</f>
        <v>6</v>
      </c>
      <c r="BE26" s="59"/>
      <c r="BF26" s="59">
        <f>'emiss 2'!$K$36</f>
        <v>5.7</v>
      </c>
      <c r="BG26" s="59"/>
      <c r="BH26" s="59">
        <f>'emiss 2'!$M$36</f>
        <v>6.3</v>
      </c>
      <c r="BI26" s="59"/>
      <c r="BJ26" s="59">
        <f>'emiss 2'!$O$36</f>
        <v>4</v>
      </c>
      <c r="BK26" s="59"/>
      <c r="BL26" s="59">
        <f>'emiss 2'!$Q$36</f>
        <v>4</v>
      </c>
      <c r="BM26" s="59"/>
      <c r="BN26" s="59">
        <f>'emiss 2'!$G$36</f>
        <v>5.2</v>
      </c>
      <c r="BO26" s="59"/>
      <c r="BP26" s="59">
        <f>'emiss 2'!$I$36</f>
        <v>6</v>
      </c>
      <c r="BQ26" s="59"/>
      <c r="BR26" s="59">
        <f>'emiss 2'!$K$36</f>
        <v>5.7</v>
      </c>
      <c r="BS26" s="59"/>
      <c r="BT26" s="59">
        <f>'emiss 2'!$M$36</f>
        <v>6.3</v>
      </c>
      <c r="BU26" s="59"/>
      <c r="BV26" s="59">
        <f>'emiss 2'!$O$36</f>
        <v>4</v>
      </c>
      <c r="BW26" s="59"/>
      <c r="BX26" s="59">
        <f>'emiss 2'!$Q$36</f>
        <v>4</v>
      </c>
      <c r="BY26" s="59"/>
      <c r="BZ26" s="59">
        <f>'emiss 2'!$G$36</f>
        <v>5.2</v>
      </c>
      <c r="CA26" s="59"/>
      <c r="CB26" s="59">
        <f>'emiss 2'!$I$36</f>
        <v>6</v>
      </c>
      <c r="CC26" s="59"/>
      <c r="CD26" s="59">
        <f>'emiss 2'!$K$36</f>
        <v>5.7</v>
      </c>
      <c r="CE26" s="59"/>
      <c r="CF26" s="59">
        <f>'emiss 2'!$M$36</f>
        <v>6.3</v>
      </c>
      <c r="CG26" s="59"/>
      <c r="CH26" s="59">
        <f>'emiss 2'!$O$36</f>
        <v>4</v>
      </c>
      <c r="CI26" s="59"/>
      <c r="CJ26" s="59">
        <f>'emiss 2'!$Q$36</f>
        <v>4</v>
      </c>
      <c r="CK26" s="59"/>
      <c r="CL26" s="59">
        <f>'emiss 2'!$G$36</f>
        <v>5.2</v>
      </c>
      <c r="CM26" s="59"/>
      <c r="CN26" s="59">
        <f>'emiss 2'!$I$36</f>
        <v>6</v>
      </c>
      <c r="CO26" s="59"/>
      <c r="CP26" s="59">
        <f>'emiss 2'!$K$36</f>
        <v>5.7</v>
      </c>
      <c r="CQ26" s="59"/>
      <c r="CR26" s="59">
        <f>'emiss 2'!$M$36</f>
        <v>6.3</v>
      </c>
      <c r="CS26" s="59"/>
      <c r="CT26" s="59">
        <f>'emiss 2'!$O$36</f>
        <v>4</v>
      </c>
      <c r="CU26" s="59"/>
      <c r="CV26" s="59">
        <f>'emiss 2'!$Q$36</f>
        <v>4</v>
      </c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62">
        <f>F26</f>
        <v>5.2</v>
      </c>
      <c r="DL26" s="62">
        <f>H26</f>
        <v>6</v>
      </c>
      <c r="DN26" s="62">
        <f>J26</f>
        <v>5.7</v>
      </c>
      <c r="DP26" s="62">
        <f>L26</f>
        <v>6.3</v>
      </c>
      <c r="DR26" s="62">
        <f>N26</f>
        <v>4</v>
      </c>
      <c r="DT26" s="62">
        <f>P26</f>
        <v>4</v>
      </c>
      <c r="DV26" s="62">
        <f>AVERAGE(DJ26,DL26,DN26,DP26,DR26,DT26)</f>
        <v>5.2</v>
      </c>
    </row>
    <row r="27" spans="5:113" ht="12.75"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</row>
    <row r="28" spans="2:126" ht="12.75">
      <c r="B28" s="30" t="s">
        <v>326</v>
      </c>
      <c r="C28" s="30"/>
      <c r="D28" s="30" t="s">
        <v>167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41">
        <f>DJ25/9000*60*(21-DJ26)/21</f>
        <v>465.3275555555556</v>
      </c>
      <c r="DK28" s="61"/>
      <c r="DL28" s="41">
        <f>DL25/9000*60*(21-DL26)/21</f>
        <v>420.0380952380952</v>
      </c>
      <c r="DM28" s="61"/>
      <c r="DN28" s="41">
        <f>DN25/9000*60*(21-DN26)/21</f>
        <v>432.9414285714285</v>
      </c>
      <c r="DO28" s="61"/>
      <c r="DP28" s="41">
        <f>DP25/9000*60*(21-DP26)/21</f>
        <v>442.8853333333333</v>
      </c>
      <c r="DQ28" s="61"/>
      <c r="DR28" s="41">
        <f>DR25/9000*60*(21-DR26)/21</f>
        <v>499.80539682539677</v>
      </c>
      <c r="DS28" s="61"/>
      <c r="DT28" s="41">
        <f>DT25/9000*60*(21-DT26)/21</f>
        <v>483.2425396825397</v>
      </c>
      <c r="DU28" s="61"/>
      <c r="DV28" s="41">
        <f>DV25/9000*60*(21-DV26)/21</f>
        <v>457.42337566137564</v>
      </c>
    </row>
    <row r="29" spans="5:113" ht="12.75"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</row>
    <row r="30" spans="2:113" ht="12.75">
      <c r="B30" s="77" t="s">
        <v>324</v>
      </c>
      <c r="C30" s="77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</row>
    <row r="31" spans="2:131" ht="12.75">
      <c r="B31" s="62" t="s">
        <v>22</v>
      </c>
      <c r="D31" s="62" t="s">
        <v>70</v>
      </c>
      <c r="E31" s="59">
        <v>100</v>
      </c>
      <c r="F31" s="66">
        <f>F13*454*1000000/F$25*14/(21-F$26)/0.0283/60</f>
        <v>30644.89401846465</v>
      </c>
      <c r="G31" s="59">
        <v>100</v>
      </c>
      <c r="H31" s="66">
        <f>H13*454*1000000/H$25*14/(21-H$26)/0.0283/60</f>
        <v>36778.18734616705</v>
      </c>
      <c r="I31" s="59">
        <v>100</v>
      </c>
      <c r="J31" s="66">
        <f aca="true" t="shared" si="0" ref="J31:J41">J13*454*1000000/J$25*14/(21-J$26)/0.0283/60</f>
        <v>41171.601638253014</v>
      </c>
      <c r="K31" s="59">
        <v>100</v>
      </c>
      <c r="L31" s="66">
        <f aca="true" t="shared" si="1" ref="L31:L41">L13*454*1000000/L$25*14/(21-L$26)/0.0283/60</f>
        <v>40247.19422447728</v>
      </c>
      <c r="M31" s="59">
        <v>100</v>
      </c>
      <c r="N31" s="66">
        <f aca="true" t="shared" si="2" ref="N31:N41">N13*454*1000000/N$25*14/(21-N$26)/0.0283/60</f>
        <v>35663.66458437026</v>
      </c>
      <c r="O31" s="59">
        <v>100</v>
      </c>
      <c r="P31" s="66">
        <f aca="true" t="shared" si="3" ref="P31:P41">P13*454*1000000/P$25*14/(21-P$26)/0.0283/60</f>
        <v>36886.015957015865</v>
      </c>
      <c r="Q31" s="59"/>
      <c r="R31" s="66">
        <f aca="true" t="shared" si="4" ref="R31:R41">R13*454*1000000/R$25*14/(21-R$26)/0.0283/60</f>
        <v>1432648.7953632222</v>
      </c>
      <c r="S31" s="59"/>
      <c r="T31" s="66">
        <f aca="true" t="shared" si="5" ref="T31:T41">T13*454*1000000/T$25*14/(21-T$26)/0.0283/60</f>
        <v>1833251.1846397114</v>
      </c>
      <c r="U31" s="59"/>
      <c r="V31" s="66">
        <f aca="true" t="shared" si="6" ref="V31:V41">V13*454*1000000/V$25*14/(21-V$26)/0.0283/60</f>
        <v>1660587.9327428713</v>
      </c>
      <c r="W31" s="59"/>
      <c r="X31" s="66">
        <f aca="true" t="shared" si="7" ref="X31:X41">X13*454*1000000/X$25*14/(21-X$26)/0.0283/60</f>
        <v>1529393.3805301366</v>
      </c>
      <c r="Y31" s="59"/>
      <c r="Z31" s="66">
        <f aca="true" t="shared" si="8" ref="Z31:Z41">Z13*454*1000000/Z$25*14/(21-Z$26)/0.0283/60</f>
        <v>1457455.0926812643</v>
      </c>
      <c r="AA31" s="59"/>
      <c r="AB31" s="66">
        <f aca="true" t="shared" si="9" ref="AB31:AB41">AB13*454*1000000/AB$25*14/(21-AB$26)/0.0283/60</f>
        <v>1367241.6581400547</v>
      </c>
      <c r="AC31" s="59"/>
      <c r="AD31" s="66">
        <f aca="true" t="shared" si="10" ref="AD31:AD41">AD13*454*1000000/AD$25*14/(21-AD$26)/0.0283/60</f>
        <v>28091.15285025926</v>
      </c>
      <c r="AE31" s="59"/>
      <c r="AF31" s="66">
        <f aca="true" t="shared" si="11" ref="AF31:AF41">AF13*454*1000000/AF$25*14/(21-AF$26)/0.0283/60</f>
        <v>73556.3746923341</v>
      </c>
      <c r="AG31" s="59"/>
      <c r="AH31" s="66">
        <f aca="true" t="shared" si="12" ref="AH31:AH41">AH13*454*1000000/AH$25*14/(21-AH$26)/0.0283/60</f>
        <v>41171.601638253014</v>
      </c>
      <c r="AI31" s="59"/>
      <c r="AJ31" s="66">
        <f aca="true" t="shared" si="13" ref="AJ31:AJ41">AJ13*454*1000000/AJ$25*14/(21-AJ$26)/0.0283/60</f>
        <v>332710.13892234553</v>
      </c>
      <c r="AK31" s="59"/>
      <c r="AL31" s="66">
        <f aca="true" t="shared" si="14" ref="AL31:AL41">AL13*454*1000000/AL$25*14/(21-AL$26)/0.0283/60</f>
        <v>45173.975140202325</v>
      </c>
      <c r="AM31" s="59"/>
      <c r="AN31" s="66">
        <f aca="true" t="shared" si="15" ref="AN31:AN41">AN13*454*1000000/AN$25*14/(21-AN$26)/0.0283/60</f>
        <v>56558.55780075765</v>
      </c>
      <c r="AP31" s="66">
        <f>R31+AD31</f>
        <v>1460739.9482134816</v>
      </c>
      <c r="AQ31" s="59"/>
      <c r="AR31" s="66">
        <f>T31+AF31</f>
        <v>1906807.5593320455</v>
      </c>
      <c r="AS31" s="59"/>
      <c r="AT31" s="66">
        <f>V31+AH31</f>
        <v>1701759.5343811244</v>
      </c>
      <c r="AU31" s="59"/>
      <c r="AV31" s="66">
        <f>X31+AJ31</f>
        <v>1862103.5194524822</v>
      </c>
      <c r="AW31" s="59"/>
      <c r="AX31" s="66">
        <f>Z31+AL31</f>
        <v>1502629.0678214666</v>
      </c>
      <c r="AY31" s="59"/>
      <c r="AZ31" s="66">
        <f>AB31+AN31</f>
        <v>1423800.2159408124</v>
      </c>
      <c r="BA31" s="59">
        <v>100</v>
      </c>
      <c r="BB31" s="66">
        <f aca="true" t="shared" si="16" ref="BB31:BB41">BB13*454*1000000/BB$25*14/(21-BB$26)/0.0283/60</f>
        <v>454565.92794055893</v>
      </c>
      <c r="BC31" s="59">
        <v>100</v>
      </c>
      <c r="BD31" s="66">
        <f aca="true" t="shared" si="17" ref="BD31:BD41">BD13*454*1000000/BD$25*14/(21-BD$26)/0.0283/60</f>
        <v>500749.16617473593</v>
      </c>
      <c r="BE31" s="59">
        <v>100</v>
      </c>
      <c r="BF31" s="66">
        <f aca="true" t="shared" si="18" ref="BF31:BF41">BF13*454*1000000/BF$25*14/(21-BF$26)/0.0283/60</f>
        <v>485824.89933138544</v>
      </c>
      <c r="BG31" s="59">
        <v>100</v>
      </c>
      <c r="BH31" s="66">
        <f aca="true" t="shared" si="19" ref="BH31:BH41">BH13*454*1000000/BH$25*14/(21-BH$26)/0.0283/60</f>
        <v>426620.2587794592</v>
      </c>
      <c r="BI31" s="59">
        <v>100</v>
      </c>
      <c r="BJ31" s="66">
        <f aca="true" t="shared" si="20" ref="BJ31:BJ41">BJ13*454*1000000/BJ$25*14/(21-BJ$26)/0.0283/60</f>
        <v>375657.2669553667</v>
      </c>
      <c r="BK31" s="59">
        <v>100</v>
      </c>
      <c r="BL31" s="66">
        <f aca="true" t="shared" si="21" ref="BL31:BL41">BL13*454*1000000/BL$25*14/(21-BL$26)/0.0283/60</f>
        <v>390991.76914436807</v>
      </c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66">
        <f aca="true" t="shared" si="22" ref="CL31:CL41">CL13*454*1000000/CL$25*14/(21-CL$26)/0.0283/60</f>
        <v>0</v>
      </c>
      <c r="CM31" s="59"/>
      <c r="CN31" s="66">
        <f aca="true" t="shared" si="23" ref="CN31:CN41">CN13*454*1000000/CN$25*14/(21-CN$26)/0.0283/60</f>
        <v>0</v>
      </c>
      <c r="CO31" s="59"/>
      <c r="CP31" s="66">
        <f aca="true" t="shared" si="24" ref="CP31:CP41">CP13*454*1000000/CP$25*14/(21-CP$26)/0.0283/60</f>
        <v>0</v>
      </c>
      <c r="CQ31" s="59"/>
      <c r="CR31" s="66">
        <f aca="true" t="shared" si="25" ref="CR31:CR41">CR13*454*1000000/CR$25*14/(21-CR$26)/0.0283/60</f>
        <v>0</v>
      </c>
      <c r="CS31" s="59"/>
      <c r="CT31" s="66">
        <f aca="true" t="shared" si="26" ref="CT31:CT41">CT13*454*1000000/CT$25*14/(21-CT$26)/0.0283/60</f>
        <v>0</v>
      </c>
      <c r="CU31" s="59"/>
      <c r="CV31" s="66">
        <f aca="true" t="shared" si="27" ref="CV31:CV41">CV13*454*1000000/CV$25*14/(21-CV$26)/0.0283/60</f>
        <v>0</v>
      </c>
      <c r="CW31" s="59"/>
      <c r="CX31" s="66">
        <f>BN31+BZ31+CL31</f>
        <v>0</v>
      </c>
      <c r="CY31" s="59"/>
      <c r="CZ31" s="66">
        <f>BP31+CB31+CN31</f>
        <v>0</v>
      </c>
      <c r="DA31" s="59"/>
      <c r="DB31" s="66">
        <f>BR31+CD31+CP31</f>
        <v>0</v>
      </c>
      <c r="DC31" s="59"/>
      <c r="DD31" s="66">
        <f>BT31+CF31+CR31</f>
        <v>0</v>
      </c>
      <c r="DE31" s="59"/>
      <c r="DF31" s="66">
        <f>BV31+CH31+CT31</f>
        <v>0</v>
      </c>
      <c r="DG31" s="59"/>
      <c r="DH31" s="66">
        <f>BX31+CJ31+CV31</f>
        <v>0</v>
      </c>
      <c r="DI31" s="59">
        <f>SUM((BB31*BA31/100),(AP31*AO31/100),(F31*E31/100))/DJ31*100</f>
        <v>24.93438320209974</v>
      </c>
      <c r="DJ31" s="66">
        <f>CL31+BZ31+BN31+BB31+AD31+R31+F31</f>
        <v>1945950.7701725052</v>
      </c>
      <c r="DK31" s="59">
        <f>SUM((BD31*BC31/100),(AR31*AQ31/100),(H31*G31/100))/DL31*100</f>
        <v>21.99074074074074</v>
      </c>
      <c r="DL31" s="66">
        <f>CN31+CB31+BP31+BD31+AF31+T31+H31</f>
        <v>2444334.9128529485</v>
      </c>
      <c r="DM31" s="59">
        <f>SUM((BF31*BE31/100),(AT31*AS31/100),(J31*I31/100))/DN31*100</f>
        <v>23.645320197044335</v>
      </c>
      <c r="DN31" s="66">
        <f>CP31+CD31+BR31+BF31+AH31+V31+J31</f>
        <v>2228756.035350763</v>
      </c>
      <c r="DO31" s="59">
        <f>SUM((BH31*BG31/100),(AV31*AU31/100),(L31*K31/100))/DP31*100</f>
        <v>20.04608294930876</v>
      </c>
      <c r="DP31" s="66">
        <f>CR31+CF31+BT31+BH31+AJ31+X31+L31</f>
        <v>2328970.9724564184</v>
      </c>
      <c r="DQ31" s="59">
        <f>SUM((BJ31*BI31/100),(AX31*AW31/100),(N31*M31/100))/DR31*100</f>
        <v>21.49068322981367</v>
      </c>
      <c r="DR31" s="66">
        <f>CT31+CH31+BV31+BJ31+AL31+Z31+N31</f>
        <v>1913949.9993612035</v>
      </c>
      <c r="DS31" s="59">
        <f>SUM((BL31*BK31/100),(AZ31*AY31/100),(P31*O31/100))/DT31*100</f>
        <v>23.107569721115535</v>
      </c>
      <c r="DT31" s="66">
        <f>CV31+CJ31+BX31+BL31+AN31+AB31+P31</f>
        <v>1851678.0010421963</v>
      </c>
      <c r="DU31" s="62">
        <f>SUM((DT31*DS31/100),(DR31*DQ31/100),(DP31*DO31/100),(DN31*DM31/100),(DL31*DK31/100),(DJ31*DI31/100))/DV31*100/6</f>
        <v>22.462494539925355</v>
      </c>
      <c r="DV31" s="66">
        <f>AVERAGE(DJ31,DL31,DN31,DP31,DR31,DT31)</f>
        <v>2118940.1152060055</v>
      </c>
      <c r="DX31" s="66">
        <f>AVERAGE(R31,T31,V31,X31,Z31,AB31)+AVERAGE(AD31,AF31,AH31,AJ31,AL31,AN31)</f>
        <v>1642973.3075235689</v>
      </c>
      <c r="DY31" s="66">
        <f>AVERAGE(CL31,CN31,CP31,CR31,CT31,CV31)</f>
        <v>0</v>
      </c>
      <c r="DZ31" s="66">
        <f>AVERAGE(F31,H31,J31,L31,N31,P31)/2+AVERAGE(BB31,BD31,BF31,BH31,BJ31,BL31)/2</f>
        <v>237983.40384121853</v>
      </c>
      <c r="EA31" s="66">
        <f>SUM(DX31,DY31,DZ31)</f>
        <v>1880956.7113647873</v>
      </c>
    </row>
    <row r="32" spans="2:126" ht="12.75">
      <c r="B32" s="62" t="s">
        <v>103</v>
      </c>
      <c r="D32" s="62" t="s">
        <v>70</v>
      </c>
      <c r="E32" s="59">
        <v>100</v>
      </c>
      <c r="F32" s="66">
        <f aca="true" t="shared" si="28" ref="F32:H41">F14*454*1000000/F$25*14/(21-F$26)/0.0283/60</f>
        <v>185.0951598715265</v>
      </c>
      <c r="G32" s="59">
        <v>100</v>
      </c>
      <c r="H32" s="66">
        <f t="shared" si="28"/>
        <v>225.0825065585423</v>
      </c>
      <c r="I32" s="59">
        <v>100</v>
      </c>
      <c r="J32" s="66">
        <f t="shared" si="0"/>
        <v>249.3352195212602</v>
      </c>
      <c r="K32" s="59">
        <v>100</v>
      </c>
      <c r="L32" s="66">
        <f t="shared" si="1"/>
        <v>323.69476741606263</v>
      </c>
      <c r="M32" s="59">
        <v>100</v>
      </c>
      <c r="N32" s="66">
        <f t="shared" si="2"/>
        <v>211.69951297282185</v>
      </c>
      <c r="O32" s="59">
        <v>100</v>
      </c>
      <c r="P32" s="66">
        <f t="shared" si="3"/>
        <v>395.4672724138192</v>
      </c>
      <c r="Q32" s="59"/>
      <c r="R32" s="66">
        <f t="shared" si="4"/>
        <v>220.3367879927608</v>
      </c>
      <c r="S32" s="59"/>
      <c r="T32" s="66">
        <f t="shared" si="5"/>
        <v>244.43349128529488</v>
      </c>
      <c r="U32" s="59"/>
      <c r="V32" s="66">
        <f t="shared" si="6"/>
        <v>237.1484254363373</v>
      </c>
      <c r="W32" s="59"/>
      <c r="X32" s="66">
        <f t="shared" si="7"/>
        <v>117.68279591237157</v>
      </c>
      <c r="Y32" s="59"/>
      <c r="Z32" s="66">
        <f t="shared" si="8"/>
        <v>138.8505341151482</v>
      </c>
      <c r="AA32" s="59"/>
      <c r="AB32" s="66">
        <f t="shared" si="9"/>
        <v>107.85471065831436</v>
      </c>
      <c r="AC32" s="59"/>
      <c r="AD32" s="66">
        <f t="shared" si="10"/>
        <v>244.5462542673479</v>
      </c>
      <c r="AE32" s="59"/>
      <c r="AF32" s="66">
        <f t="shared" si="11"/>
        <v>1122.3571141516454</v>
      </c>
      <c r="AG32" s="59"/>
      <c r="AH32" s="66">
        <f t="shared" si="12"/>
        <v>314.38635010969995</v>
      </c>
      <c r="AI32" s="59"/>
      <c r="AJ32" s="66">
        <f t="shared" si="13"/>
        <v>51.30175690480039</v>
      </c>
      <c r="AK32" s="59">
        <v>100</v>
      </c>
      <c r="AL32" s="66">
        <f t="shared" si="14"/>
        <v>33.38119005097056</v>
      </c>
      <c r="AM32" s="59">
        <v>100</v>
      </c>
      <c r="AN32" s="66">
        <f t="shared" si="15"/>
        <v>34.525310935766846</v>
      </c>
      <c r="AP32" s="66">
        <f aca="true" t="shared" si="29" ref="AP32:AP43">R32+AD32</f>
        <v>464.8830422601087</v>
      </c>
      <c r="AR32" s="66">
        <f aca="true" t="shared" si="30" ref="AR32:AR43">T32+AF32</f>
        <v>1366.7906054369403</v>
      </c>
      <c r="AT32" s="66">
        <f aca="true" t="shared" si="31" ref="AT32:AT43">V32+AH32</f>
        <v>551.5347755460373</v>
      </c>
      <c r="AV32" s="66">
        <f aca="true" t="shared" si="32" ref="AV32:AV43">X32+AJ32</f>
        <v>168.98455281717196</v>
      </c>
      <c r="AX32" s="66">
        <f aca="true" t="shared" si="33" ref="AX32:AX43">Z32+AL32</f>
        <v>172.23172416611877</v>
      </c>
      <c r="AY32" s="62">
        <f>SUM((AN32*AK32/100),(AB32*AA32/100))/AZ32*100</f>
        <v>24.24870466321244</v>
      </c>
      <c r="AZ32" s="66">
        <f aca="true" t="shared" si="34" ref="AZ32:AZ43">AB32+AN32</f>
        <v>142.3800215940812</v>
      </c>
      <c r="BA32" s="59">
        <v>100</v>
      </c>
      <c r="BB32" s="66">
        <f t="shared" si="16"/>
        <v>2731.6858528059383</v>
      </c>
      <c r="BC32" s="59">
        <v>100</v>
      </c>
      <c r="BD32" s="66">
        <f t="shared" si="17"/>
        <v>3008.5688885698373</v>
      </c>
      <c r="BE32" s="59">
        <v>100</v>
      </c>
      <c r="BF32" s="66">
        <f t="shared" si="18"/>
        <v>2910.3381766048283</v>
      </c>
      <c r="BG32" s="59">
        <v>100</v>
      </c>
      <c r="BH32" s="66">
        <f t="shared" si="19"/>
        <v>1275.8360569159295</v>
      </c>
      <c r="BI32" s="59">
        <v>100</v>
      </c>
      <c r="BJ32" s="66">
        <f t="shared" si="20"/>
        <v>1128.8263114244874</v>
      </c>
      <c r="BK32" s="59">
        <v>100</v>
      </c>
      <c r="BL32" s="66">
        <f t="shared" si="21"/>
        <v>1175.7786446458376</v>
      </c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66">
        <f t="shared" si="22"/>
        <v>0</v>
      </c>
      <c r="CM32" s="59"/>
      <c r="CN32" s="66">
        <f t="shared" si="23"/>
        <v>0</v>
      </c>
      <c r="CO32" s="59"/>
      <c r="CP32" s="66">
        <f t="shared" si="24"/>
        <v>0</v>
      </c>
      <c r="CQ32" s="59"/>
      <c r="CR32" s="66">
        <f t="shared" si="25"/>
        <v>0</v>
      </c>
      <c r="CS32" s="59"/>
      <c r="CT32" s="66">
        <f t="shared" si="26"/>
        <v>0</v>
      </c>
      <c r="CU32" s="59"/>
      <c r="CV32" s="66">
        <f t="shared" si="27"/>
        <v>0</v>
      </c>
      <c r="CW32" s="59"/>
      <c r="CX32" s="66">
        <f aca="true" t="shared" si="35" ref="CX32:CX43">BN32+BZ32+CL32</f>
        <v>0</v>
      </c>
      <c r="CY32" s="59"/>
      <c r="CZ32" s="66">
        <f aca="true" t="shared" si="36" ref="CZ32:CZ43">BP32+CB32+CN32</f>
        <v>0</v>
      </c>
      <c r="DA32" s="59"/>
      <c r="DB32" s="66">
        <f aca="true" t="shared" si="37" ref="DB32:DB43">BR32+CD32+CP32</f>
        <v>0</v>
      </c>
      <c r="DC32" s="59"/>
      <c r="DD32" s="66">
        <f aca="true" t="shared" si="38" ref="DD32:DD43">BT32+CF32+CR32</f>
        <v>0</v>
      </c>
      <c r="DE32" s="59"/>
      <c r="DF32" s="66">
        <f aca="true" t="shared" si="39" ref="DF32:DF43">BV32+CH32+CT32</f>
        <v>0</v>
      </c>
      <c r="DG32" s="59"/>
      <c r="DH32" s="66">
        <f aca="true" t="shared" si="40" ref="DH32:DH43">BX32+CJ32+CV32</f>
        <v>0</v>
      </c>
      <c r="DI32" s="59">
        <f aca="true" t="shared" si="41" ref="DI32:DI43">SUM((BB32*BA32/100),(AP32*AO32/100),(F32*E32/100))/DJ32*100</f>
        <v>86.25283189850475</v>
      </c>
      <c r="DJ32" s="66">
        <f aca="true" t="shared" si="42" ref="DJ32:DJ43">CL32+BZ32+BN32+BB32+AD32+R32+F32</f>
        <v>3381.664054937574</v>
      </c>
      <c r="DK32" s="59">
        <f aca="true" t="shared" si="43" ref="DK32:DK43">SUM((BD32*BC32/100),(AR32*AQ32/100),(H32*G32/100))/DL32*100</f>
        <v>70.29001549701131</v>
      </c>
      <c r="DL32" s="66">
        <f aca="true" t="shared" si="44" ref="DL32:DL43">CN32+CB32+BP32+BD32+AF32+T32+H32</f>
        <v>4600.442000565319</v>
      </c>
      <c r="DM32" s="59">
        <f aca="true" t="shared" si="45" ref="DM32:DM43">SUM((BF32*BE32/100),(AT32*AS32/100),(J32*I32/100))/DN32*100</f>
        <v>85.13867317506102</v>
      </c>
      <c r="DN32" s="66">
        <f aca="true" t="shared" si="46" ref="DN32:DN43">CP32+CD32+BR32+BF32+AH32+V32+J32</f>
        <v>3711.2081716721254</v>
      </c>
      <c r="DO32" s="59">
        <f aca="true" t="shared" si="47" ref="DO32:DO43">SUM((BH32*BG32/100),(AV32*AU32/100),(L32*K32/100))/DP32*100</f>
        <v>90.44483553829347</v>
      </c>
      <c r="DP32" s="66">
        <f aca="true" t="shared" si="48" ref="DP32:DP43">CR32+CF32+BT32+BH32+AJ32+X32+L32</f>
        <v>1768.5153771491641</v>
      </c>
      <c r="DQ32" s="59">
        <f aca="true" t="shared" si="49" ref="DQ32:DQ43">SUM((BJ32*BI32/100),(AX32*AW32/100),(N32*M32/100))/DR32*100</f>
        <v>88.61471725395278</v>
      </c>
      <c r="DR32" s="66">
        <f aca="true" t="shared" si="50" ref="DR32:DR43">CT32+CH32+BV32+BJ32+AL32+Z32+N32</f>
        <v>1512.7575485634281</v>
      </c>
      <c r="DS32" s="59">
        <f aca="true" t="shared" si="51" ref="DS32:DS43">SUM((BL32*BK32/100),(AZ32*AY32/100),(P32*O32/100))/DT32*100</f>
        <v>93.70605286571191</v>
      </c>
      <c r="DT32" s="66">
        <f aca="true" t="shared" si="52" ref="DT32:DT43">CV32+CJ32+BX32+BL32+AN32+AB32+P32</f>
        <v>1713.625938653738</v>
      </c>
      <c r="DU32" s="62">
        <f aca="true" t="shared" si="53" ref="DU32:DU43">SUM((DT32*DS32/100),(DR32*DQ32/100),(DP32*DO32/100),(DN32*DM32/100),(DL32*DK32/100),(DJ32*DI32/100))/DV32*100/6</f>
        <v>83.02826434832458</v>
      </c>
      <c r="DV32" s="66">
        <f aca="true" t="shared" si="54" ref="DV32:DV43">AVERAGE(DJ32,DL32,DN32,DP32,DR32,DT32)</f>
        <v>2781.3688485902244</v>
      </c>
    </row>
    <row r="33" spans="2:126" ht="12.75">
      <c r="B33" s="62" t="s">
        <v>99</v>
      </c>
      <c r="D33" s="62" t="s">
        <v>70</v>
      </c>
      <c r="E33" s="59"/>
      <c r="F33" s="66">
        <f t="shared" si="28"/>
        <v>1850.951598715265</v>
      </c>
      <c r="G33" s="59"/>
      <c r="H33" s="66">
        <f t="shared" si="28"/>
        <v>3376.2375983781344</v>
      </c>
      <c r="I33" s="59"/>
      <c r="J33" s="66">
        <f t="shared" si="0"/>
        <v>3075.134374095542</v>
      </c>
      <c r="K33" s="59"/>
      <c r="L33" s="66">
        <f t="shared" si="1"/>
        <v>3560.6424415766887</v>
      </c>
      <c r="M33" s="59"/>
      <c r="N33" s="66">
        <f t="shared" si="2"/>
        <v>2575.677407835999</v>
      </c>
      <c r="O33" s="59"/>
      <c r="P33" s="66">
        <f t="shared" si="3"/>
        <v>4314.188426332575</v>
      </c>
      <c r="Q33" s="59"/>
      <c r="R33" s="66">
        <f t="shared" si="4"/>
        <v>4406.735759855217</v>
      </c>
      <c r="S33" s="59"/>
      <c r="T33" s="66">
        <f t="shared" si="5"/>
        <v>4888.669825705898</v>
      </c>
      <c r="U33" s="59"/>
      <c r="V33" s="66">
        <f t="shared" si="6"/>
        <v>4742.968508726746</v>
      </c>
      <c r="W33" s="59"/>
      <c r="X33" s="66">
        <f t="shared" si="7"/>
        <v>8630.071700240582</v>
      </c>
      <c r="Y33" s="59"/>
      <c r="Z33" s="66">
        <f t="shared" si="8"/>
        <v>5206.895029318057</v>
      </c>
      <c r="AA33" s="59"/>
      <c r="AB33" s="66">
        <f t="shared" si="9"/>
        <v>5033.2198307213375</v>
      </c>
      <c r="AC33" s="59"/>
      <c r="AD33" s="66">
        <f t="shared" si="10"/>
        <v>67.92951507426329</v>
      </c>
      <c r="AE33" s="59"/>
      <c r="AF33" s="66">
        <f t="shared" si="11"/>
        <v>76.7928551787968</v>
      </c>
      <c r="AG33" s="59"/>
      <c r="AH33" s="66">
        <f t="shared" si="12"/>
        <v>95.68280220730001</v>
      </c>
      <c r="AI33" s="59"/>
      <c r="AJ33" s="66">
        <f t="shared" si="13"/>
        <v>230.85790607160172</v>
      </c>
      <c r="AK33" s="59"/>
      <c r="AL33" s="66">
        <f t="shared" si="14"/>
        <v>166.9059502548528</v>
      </c>
      <c r="AM33" s="59"/>
      <c r="AN33" s="66">
        <f t="shared" si="15"/>
        <v>161.11811770024528</v>
      </c>
      <c r="AP33" s="66">
        <f t="shared" si="29"/>
        <v>4474.665274929481</v>
      </c>
      <c r="AR33" s="66">
        <f t="shared" si="30"/>
        <v>4965.462680884695</v>
      </c>
      <c r="AT33" s="66">
        <f t="shared" si="31"/>
        <v>4838.651310934046</v>
      </c>
      <c r="AV33" s="66">
        <f t="shared" si="32"/>
        <v>8860.929606312184</v>
      </c>
      <c r="AX33" s="66">
        <f t="shared" si="33"/>
        <v>5373.8009795729095</v>
      </c>
      <c r="AZ33" s="66">
        <f t="shared" si="34"/>
        <v>5194.337948421583</v>
      </c>
      <c r="BA33" s="59">
        <v>100</v>
      </c>
      <c r="BB33" s="66">
        <f t="shared" si="16"/>
        <v>1365.8429264029692</v>
      </c>
      <c r="BC33" s="59">
        <v>100</v>
      </c>
      <c r="BD33" s="66">
        <f t="shared" si="17"/>
        <v>1504.2844442849187</v>
      </c>
      <c r="BE33" s="59">
        <v>100</v>
      </c>
      <c r="BF33" s="66">
        <f t="shared" si="18"/>
        <v>1455.1690883024141</v>
      </c>
      <c r="BG33" s="59">
        <v>100</v>
      </c>
      <c r="BH33" s="66">
        <f t="shared" si="19"/>
        <v>1275.8360569159295</v>
      </c>
      <c r="BI33" s="59">
        <v>100</v>
      </c>
      <c r="BJ33" s="66">
        <f t="shared" si="20"/>
        <v>1128.8263114244874</v>
      </c>
      <c r="BK33" s="59">
        <v>100</v>
      </c>
      <c r="BL33" s="66">
        <f t="shared" si="21"/>
        <v>1175.7786446458376</v>
      </c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66">
        <f t="shared" si="22"/>
        <v>18897.68464471987</v>
      </c>
      <c r="CM33" s="59"/>
      <c r="CN33" s="66">
        <f t="shared" si="23"/>
        <v>20935.27587397202</v>
      </c>
      <c r="CO33" s="59"/>
      <c r="CP33" s="66">
        <f t="shared" si="24"/>
        <v>20585.800819126507</v>
      </c>
      <c r="CQ33" s="59"/>
      <c r="CR33" s="66">
        <f t="shared" si="25"/>
        <v>35685.845545703196</v>
      </c>
      <c r="CS33" s="59"/>
      <c r="CT33" s="66">
        <f t="shared" si="26"/>
        <v>19519.912415845323</v>
      </c>
      <c r="CU33" s="59"/>
      <c r="CV33" s="66">
        <f t="shared" si="27"/>
        <v>35410.575318735224</v>
      </c>
      <c r="CW33" s="59"/>
      <c r="CX33" s="66">
        <f t="shared" si="35"/>
        <v>18897.68464471987</v>
      </c>
      <c r="CY33" s="59"/>
      <c r="CZ33" s="66">
        <f t="shared" si="36"/>
        <v>20935.27587397202</v>
      </c>
      <c r="DA33" s="59"/>
      <c r="DB33" s="66">
        <f t="shared" si="37"/>
        <v>20585.800819126507</v>
      </c>
      <c r="DC33" s="59"/>
      <c r="DD33" s="66">
        <f t="shared" si="38"/>
        <v>35685.845545703196</v>
      </c>
      <c r="DE33" s="59"/>
      <c r="DF33" s="66">
        <f t="shared" si="39"/>
        <v>19519.912415845323</v>
      </c>
      <c r="DG33" s="59"/>
      <c r="DH33" s="66">
        <f t="shared" si="40"/>
        <v>35410.575318735224</v>
      </c>
      <c r="DI33" s="59">
        <f t="shared" si="41"/>
        <v>5.1368442081322785</v>
      </c>
      <c r="DJ33" s="66">
        <f t="shared" si="42"/>
        <v>26589.144444767586</v>
      </c>
      <c r="DK33" s="59">
        <f t="shared" si="43"/>
        <v>4.887013770989379</v>
      </c>
      <c r="DL33" s="66">
        <f t="shared" si="44"/>
        <v>30781.26059751977</v>
      </c>
      <c r="DM33" s="59">
        <f t="shared" si="45"/>
        <v>4.857890039566111</v>
      </c>
      <c r="DN33" s="66">
        <f t="shared" si="46"/>
        <v>29954.755592458507</v>
      </c>
      <c r="DO33" s="59">
        <f t="shared" si="47"/>
        <v>2.5835398897472306</v>
      </c>
      <c r="DP33" s="66">
        <f t="shared" si="48"/>
        <v>49383.25365050799</v>
      </c>
      <c r="DQ33" s="59">
        <f t="shared" si="49"/>
        <v>3.9471912074025424</v>
      </c>
      <c r="DR33" s="66">
        <f t="shared" si="50"/>
        <v>28598.21711467872</v>
      </c>
      <c r="DS33" s="59">
        <f t="shared" si="51"/>
        <v>2.5507792536193925</v>
      </c>
      <c r="DT33" s="66">
        <f t="shared" si="52"/>
        <v>46094.88033813522</v>
      </c>
      <c r="DU33" s="62">
        <f t="shared" si="53"/>
        <v>3.739678778537771</v>
      </c>
      <c r="DV33" s="66">
        <f t="shared" si="54"/>
        <v>35233.58528967796</v>
      </c>
    </row>
    <row r="34" spans="2:126" ht="12.75">
      <c r="B34" s="62" t="s">
        <v>100</v>
      </c>
      <c r="D34" s="62" t="s">
        <v>70</v>
      </c>
      <c r="E34" s="59"/>
      <c r="F34" s="66">
        <f t="shared" si="28"/>
        <v>1018.0233792933957</v>
      </c>
      <c r="G34" s="59"/>
      <c r="H34" s="66">
        <f t="shared" si="28"/>
        <v>1275.4675371650733</v>
      </c>
      <c r="I34" s="59"/>
      <c r="J34" s="66">
        <f t="shared" si="0"/>
        <v>1496.0113171275614</v>
      </c>
      <c r="K34" s="59"/>
      <c r="L34" s="66">
        <f t="shared" si="1"/>
        <v>1537.5501452262972</v>
      </c>
      <c r="M34" s="59"/>
      <c r="N34" s="66">
        <f t="shared" si="2"/>
        <v>2187.5616340524925</v>
      </c>
      <c r="O34" s="59"/>
      <c r="P34" s="66">
        <f t="shared" si="3"/>
        <v>1941.3847918496583</v>
      </c>
      <c r="Q34" s="59"/>
      <c r="R34" s="66">
        <f t="shared" si="4"/>
        <v>23502.59071922782</v>
      </c>
      <c r="S34" s="59"/>
      <c r="T34" s="66">
        <f t="shared" si="5"/>
        <v>39109.35860564718</v>
      </c>
      <c r="U34" s="59"/>
      <c r="V34" s="66">
        <f t="shared" si="6"/>
        <v>38734.24282126843</v>
      </c>
      <c r="W34" s="59"/>
      <c r="X34" s="66">
        <f t="shared" si="7"/>
        <v>82377.95713866009</v>
      </c>
      <c r="Y34" s="59"/>
      <c r="Z34" s="66">
        <f t="shared" si="8"/>
        <v>69425.26705757409</v>
      </c>
      <c r="AA34" s="59"/>
      <c r="AB34" s="66">
        <f t="shared" si="9"/>
        <v>79093.45448276386</v>
      </c>
      <c r="AC34" s="59"/>
      <c r="AD34" s="66">
        <f t="shared" si="10"/>
        <v>3124.757693416112</v>
      </c>
      <c r="AE34" s="59"/>
      <c r="AF34" s="66">
        <f t="shared" si="11"/>
        <v>32489.28488333711</v>
      </c>
      <c r="AG34" s="59"/>
      <c r="AH34" s="66">
        <f t="shared" si="12"/>
        <v>15035.868918289996</v>
      </c>
      <c r="AI34" s="59"/>
      <c r="AJ34" s="66">
        <f t="shared" si="13"/>
        <v>6412.719613100046</v>
      </c>
      <c r="AK34" s="59"/>
      <c r="AL34" s="66">
        <f t="shared" si="14"/>
        <v>5786.072942168233</v>
      </c>
      <c r="AM34" s="59"/>
      <c r="AN34" s="66">
        <f t="shared" si="15"/>
        <v>14385.546223236182</v>
      </c>
      <c r="AP34" s="66">
        <f t="shared" si="29"/>
        <v>26627.348412643933</v>
      </c>
      <c r="AR34" s="66">
        <f t="shared" si="30"/>
        <v>71598.6434889843</v>
      </c>
      <c r="AT34" s="66">
        <f t="shared" si="31"/>
        <v>53770.11173955843</v>
      </c>
      <c r="AV34" s="66">
        <f t="shared" si="32"/>
        <v>88790.67675176014</v>
      </c>
      <c r="AX34" s="66">
        <f t="shared" si="33"/>
        <v>75211.33999974233</v>
      </c>
      <c r="AZ34" s="66">
        <f t="shared" si="34"/>
        <v>93479.00070600005</v>
      </c>
      <c r="BA34" s="59"/>
      <c r="BB34" s="66">
        <f t="shared" si="16"/>
        <v>12747.867313094383</v>
      </c>
      <c r="BC34" s="59"/>
      <c r="BD34" s="66">
        <f t="shared" si="17"/>
        <v>10529.991109994431</v>
      </c>
      <c r="BE34" s="59"/>
      <c r="BF34" s="66">
        <f t="shared" si="18"/>
        <v>13581.578157489195</v>
      </c>
      <c r="BG34" s="59"/>
      <c r="BH34" s="66">
        <f t="shared" si="19"/>
        <v>10206.688455327436</v>
      </c>
      <c r="BI34" s="59"/>
      <c r="BJ34" s="66">
        <f t="shared" si="20"/>
        <v>8654.335054254403</v>
      </c>
      <c r="BK34" s="59"/>
      <c r="BL34" s="66">
        <f t="shared" si="21"/>
        <v>12933.565091104212</v>
      </c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66">
        <f t="shared" si="22"/>
        <v>0</v>
      </c>
      <c r="CM34" s="59"/>
      <c r="CN34" s="66">
        <f t="shared" si="23"/>
        <v>0</v>
      </c>
      <c r="CO34" s="59"/>
      <c r="CP34" s="66">
        <f t="shared" si="24"/>
        <v>0</v>
      </c>
      <c r="CQ34" s="59"/>
      <c r="CR34" s="66">
        <f t="shared" si="25"/>
        <v>0</v>
      </c>
      <c r="CS34" s="59"/>
      <c r="CT34" s="66">
        <f t="shared" si="26"/>
        <v>0</v>
      </c>
      <c r="CU34" s="59"/>
      <c r="CV34" s="66">
        <f t="shared" si="27"/>
        <v>0</v>
      </c>
      <c r="CW34" s="59"/>
      <c r="CX34" s="66">
        <f t="shared" si="35"/>
        <v>0</v>
      </c>
      <c r="CY34" s="59"/>
      <c r="CZ34" s="66">
        <f t="shared" si="36"/>
        <v>0</v>
      </c>
      <c r="DA34" s="59"/>
      <c r="DB34" s="66">
        <f t="shared" si="37"/>
        <v>0</v>
      </c>
      <c r="DC34" s="59"/>
      <c r="DD34" s="66">
        <f t="shared" si="38"/>
        <v>0</v>
      </c>
      <c r="DE34" s="59"/>
      <c r="DF34" s="66">
        <f t="shared" si="39"/>
        <v>0</v>
      </c>
      <c r="DG34" s="59"/>
      <c r="DH34" s="66">
        <f t="shared" si="40"/>
        <v>0</v>
      </c>
      <c r="DI34" s="59"/>
      <c r="DJ34" s="66">
        <f t="shared" si="42"/>
        <v>40393.23910503171</v>
      </c>
      <c r="DK34" s="59"/>
      <c r="DL34" s="66">
        <f t="shared" si="44"/>
        <v>83404.10213614379</v>
      </c>
      <c r="DM34" s="59"/>
      <c r="DN34" s="66">
        <f t="shared" si="46"/>
        <v>68847.70121417518</v>
      </c>
      <c r="DO34" s="59"/>
      <c r="DP34" s="66">
        <f t="shared" si="48"/>
        <v>100534.91535231387</v>
      </c>
      <c r="DQ34" s="59"/>
      <c r="DR34" s="66">
        <f t="shared" si="50"/>
        <v>86053.23668804922</v>
      </c>
      <c r="DS34" s="59"/>
      <c r="DT34" s="66">
        <f t="shared" si="52"/>
        <v>108353.95058895391</v>
      </c>
      <c r="DV34" s="66">
        <f t="shared" si="54"/>
        <v>81264.52418077794</v>
      </c>
    </row>
    <row r="35" spans="2:126" ht="12.75">
      <c r="B35" s="62" t="s">
        <v>101</v>
      </c>
      <c r="D35" s="62" t="s">
        <v>70</v>
      </c>
      <c r="E35" s="59"/>
      <c r="F35" s="66">
        <f t="shared" si="28"/>
        <v>12.339677324768429</v>
      </c>
      <c r="G35" s="59"/>
      <c r="H35" s="66">
        <f t="shared" si="28"/>
        <v>15.005500437236154</v>
      </c>
      <c r="I35" s="59"/>
      <c r="J35" s="66">
        <f t="shared" si="0"/>
        <v>16.622347968084014</v>
      </c>
      <c r="K35" s="59"/>
      <c r="L35" s="66">
        <f t="shared" si="1"/>
        <v>16.184738370803128</v>
      </c>
      <c r="M35" s="59"/>
      <c r="N35" s="66">
        <f t="shared" si="2"/>
        <v>28.22660172970958</v>
      </c>
      <c r="O35" s="59"/>
      <c r="P35" s="66">
        <f t="shared" si="3"/>
        <v>17.975785109719062</v>
      </c>
      <c r="Q35" s="59"/>
      <c r="R35" s="66">
        <f t="shared" si="4"/>
        <v>286.4378243905891</v>
      </c>
      <c r="S35" s="59"/>
      <c r="T35" s="66">
        <f t="shared" si="5"/>
        <v>382.9458030136285</v>
      </c>
      <c r="U35" s="59"/>
      <c r="V35" s="66">
        <f t="shared" si="6"/>
        <v>671.9205387362891</v>
      </c>
      <c r="W35" s="59"/>
      <c r="X35" s="66">
        <f t="shared" si="7"/>
        <v>3.922759863745719</v>
      </c>
      <c r="Y35" s="59"/>
      <c r="Z35" s="66">
        <f t="shared" si="8"/>
        <v>3.471263352878705</v>
      </c>
      <c r="AA35" s="59"/>
      <c r="AB35" s="66">
        <f t="shared" si="9"/>
        <v>3.595157021943812</v>
      </c>
      <c r="AC35" s="59">
        <v>100</v>
      </c>
      <c r="AD35" s="66">
        <f t="shared" si="10"/>
        <v>0.679295150742633</v>
      </c>
      <c r="AE35" s="59">
        <v>100</v>
      </c>
      <c r="AF35" s="66">
        <f t="shared" si="11"/>
        <v>0.7383928382576616</v>
      </c>
      <c r="AG35" s="59">
        <v>100</v>
      </c>
      <c r="AH35" s="66">
        <f t="shared" si="12"/>
        <v>0.6834485871949999</v>
      </c>
      <c r="AI35" s="59">
        <v>100</v>
      </c>
      <c r="AJ35" s="66">
        <f t="shared" si="13"/>
        <v>1.2825439226200095</v>
      </c>
      <c r="AK35" s="59"/>
      <c r="AL35" s="66">
        <f t="shared" si="14"/>
        <v>3.3381190050970555</v>
      </c>
      <c r="AM35" s="59">
        <v>100</v>
      </c>
      <c r="AN35" s="66">
        <f t="shared" si="15"/>
        <v>1.1508436978588947</v>
      </c>
      <c r="AP35" s="66">
        <f t="shared" si="29"/>
        <v>287.11711954133176</v>
      </c>
      <c r="AR35" s="66">
        <f t="shared" si="30"/>
        <v>383.68419585188616</v>
      </c>
      <c r="AT35" s="66">
        <f t="shared" si="31"/>
        <v>672.6039873234841</v>
      </c>
      <c r="AU35" s="62">
        <f>SUM((AJ35*AG35/100),(X35*W35/100))/AV35*100</f>
        <v>24.63917525773196</v>
      </c>
      <c r="AV35" s="66">
        <f t="shared" si="32"/>
        <v>5.205303786365729</v>
      </c>
      <c r="AW35" s="62">
        <f>SUM((AL35*AI35/100),(Z35*Y35/100))/AX35*100</f>
        <v>49.022346368715084</v>
      </c>
      <c r="AX35" s="66">
        <f t="shared" si="33"/>
        <v>6.80938235797576</v>
      </c>
      <c r="AZ35" s="66">
        <f t="shared" si="34"/>
        <v>4.746000719802707</v>
      </c>
      <c r="BA35" s="59"/>
      <c r="BB35" s="66">
        <f t="shared" si="16"/>
        <v>91.05619509353127</v>
      </c>
      <c r="BC35" s="59"/>
      <c r="BD35" s="66">
        <f t="shared" si="17"/>
        <v>100.28562961899458</v>
      </c>
      <c r="BE35" s="59"/>
      <c r="BF35" s="66">
        <f t="shared" si="18"/>
        <v>97.01127255349428</v>
      </c>
      <c r="BG35" s="59"/>
      <c r="BH35" s="66">
        <f t="shared" si="19"/>
        <v>85.05573712772866</v>
      </c>
      <c r="BI35" s="59"/>
      <c r="BJ35" s="66">
        <f t="shared" si="20"/>
        <v>75.25508742829916</v>
      </c>
      <c r="BK35" s="59"/>
      <c r="BL35" s="66">
        <f t="shared" si="21"/>
        <v>78.38524297638918</v>
      </c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66">
        <f t="shared" si="22"/>
        <v>0</v>
      </c>
      <c r="CM35" s="59"/>
      <c r="CN35" s="66">
        <f t="shared" si="23"/>
        <v>0</v>
      </c>
      <c r="CO35" s="59"/>
      <c r="CP35" s="66">
        <f t="shared" si="24"/>
        <v>0</v>
      </c>
      <c r="CQ35" s="59"/>
      <c r="CR35" s="66">
        <f t="shared" si="25"/>
        <v>0</v>
      </c>
      <c r="CS35" s="59"/>
      <c r="CT35" s="66">
        <f t="shared" si="26"/>
        <v>0</v>
      </c>
      <c r="CU35" s="59"/>
      <c r="CV35" s="66">
        <f t="shared" si="27"/>
        <v>0</v>
      </c>
      <c r="CW35" s="59"/>
      <c r="CX35" s="66">
        <f t="shared" si="35"/>
        <v>0</v>
      </c>
      <c r="CY35" s="59"/>
      <c r="CZ35" s="66">
        <f t="shared" si="36"/>
        <v>0</v>
      </c>
      <c r="DA35" s="59"/>
      <c r="DB35" s="66">
        <f t="shared" si="37"/>
        <v>0</v>
      </c>
      <c r="DC35" s="59"/>
      <c r="DD35" s="66">
        <f t="shared" si="38"/>
        <v>0</v>
      </c>
      <c r="DE35" s="59"/>
      <c r="DF35" s="66">
        <f t="shared" si="39"/>
        <v>0</v>
      </c>
      <c r="DG35" s="59"/>
      <c r="DH35" s="66">
        <f t="shared" si="40"/>
        <v>0</v>
      </c>
      <c r="DI35" s="59"/>
      <c r="DJ35" s="66">
        <f t="shared" si="42"/>
        <v>390.51299195963145</v>
      </c>
      <c r="DK35" s="59"/>
      <c r="DL35" s="66">
        <f t="shared" si="44"/>
        <v>498.97532590811693</v>
      </c>
      <c r="DM35" s="59"/>
      <c r="DN35" s="66">
        <f t="shared" si="46"/>
        <v>786.2376078450624</v>
      </c>
      <c r="DO35" s="59">
        <f t="shared" si="47"/>
        <v>1.2048800161322848</v>
      </c>
      <c r="DP35" s="66">
        <f t="shared" si="48"/>
        <v>106.44577928489753</v>
      </c>
      <c r="DQ35" s="59">
        <f t="shared" si="49"/>
        <v>3.0266448219367077</v>
      </c>
      <c r="DR35" s="66">
        <f t="shared" si="50"/>
        <v>110.2910715159845</v>
      </c>
      <c r="DS35" s="59"/>
      <c r="DT35" s="66">
        <f t="shared" si="52"/>
        <v>101.10702880591094</v>
      </c>
      <c r="DU35" s="62">
        <f t="shared" si="53"/>
        <v>0.23177833629840183</v>
      </c>
      <c r="DV35" s="66">
        <f t="shared" si="54"/>
        <v>332.2616342199339</v>
      </c>
    </row>
    <row r="36" spans="2:126" ht="12.75">
      <c r="B36" s="62" t="s">
        <v>106</v>
      </c>
      <c r="D36" s="62" t="s">
        <v>70</v>
      </c>
      <c r="E36" s="59">
        <v>100</v>
      </c>
      <c r="F36" s="66">
        <f t="shared" si="28"/>
        <v>12.339677324768429</v>
      </c>
      <c r="G36" s="59">
        <v>100</v>
      </c>
      <c r="H36" s="66">
        <f t="shared" si="28"/>
        <v>15.005500437236154</v>
      </c>
      <c r="I36" s="59">
        <v>100</v>
      </c>
      <c r="J36" s="66">
        <f t="shared" si="0"/>
        <v>16.622347968084014</v>
      </c>
      <c r="K36" s="59">
        <v>100</v>
      </c>
      <c r="L36" s="66">
        <f t="shared" si="1"/>
        <v>16.184738370803128</v>
      </c>
      <c r="M36" s="59">
        <v>100</v>
      </c>
      <c r="N36" s="66">
        <f t="shared" si="2"/>
        <v>14.11330086485479</v>
      </c>
      <c r="O36" s="59">
        <v>100</v>
      </c>
      <c r="P36" s="66">
        <f t="shared" si="3"/>
        <v>14.380628087775248</v>
      </c>
      <c r="Q36" s="59"/>
      <c r="R36" s="66">
        <f t="shared" si="4"/>
        <v>440.6735759855216</v>
      </c>
      <c r="S36" s="59"/>
      <c r="T36" s="66">
        <f t="shared" si="5"/>
        <v>448.12806735637395</v>
      </c>
      <c r="U36" s="59"/>
      <c r="V36" s="66">
        <f t="shared" si="6"/>
        <v>632.3958011635661</v>
      </c>
      <c r="W36" s="59"/>
      <c r="X36" s="66">
        <f t="shared" si="7"/>
        <v>2942.0698978092896</v>
      </c>
      <c r="Y36" s="59"/>
      <c r="Z36" s="66">
        <f t="shared" si="8"/>
        <v>2777.0106823029637</v>
      </c>
      <c r="AA36" s="59"/>
      <c r="AB36" s="66">
        <f t="shared" si="9"/>
        <v>3163.7381793105537</v>
      </c>
      <c r="AC36" s="59"/>
      <c r="AD36" s="66">
        <f t="shared" si="10"/>
        <v>130.42466894258555</v>
      </c>
      <c r="AE36" s="59"/>
      <c r="AF36" s="66">
        <f t="shared" si="11"/>
        <v>1210.9642547425647</v>
      </c>
      <c r="AG36" s="59"/>
      <c r="AH36" s="66">
        <f t="shared" si="12"/>
        <v>34.17242935974999</v>
      </c>
      <c r="AI36" s="59"/>
      <c r="AJ36" s="66">
        <f t="shared" si="13"/>
        <v>43.606493369080304</v>
      </c>
      <c r="AK36" s="59"/>
      <c r="AL36" s="66">
        <f t="shared" si="14"/>
        <v>367.1930905606762</v>
      </c>
      <c r="AM36" s="59"/>
      <c r="AN36" s="66">
        <f t="shared" si="15"/>
        <v>35.676154633625735</v>
      </c>
      <c r="AP36" s="66">
        <f t="shared" si="29"/>
        <v>571.0982449281072</v>
      </c>
      <c r="AR36" s="66">
        <f t="shared" si="30"/>
        <v>1659.0923220989387</v>
      </c>
      <c r="AT36" s="66">
        <f t="shared" si="31"/>
        <v>666.5682305233162</v>
      </c>
      <c r="AV36" s="66">
        <f t="shared" si="32"/>
        <v>2985.67639117837</v>
      </c>
      <c r="AX36" s="66">
        <f t="shared" si="33"/>
        <v>3144.2037728636396</v>
      </c>
      <c r="AZ36" s="66">
        <f t="shared" si="34"/>
        <v>3199.4143339441794</v>
      </c>
      <c r="BA36" s="59">
        <v>100</v>
      </c>
      <c r="BB36" s="66">
        <f t="shared" si="16"/>
        <v>182.11239018706254</v>
      </c>
      <c r="BC36" s="59">
        <v>100</v>
      </c>
      <c r="BD36" s="66">
        <f t="shared" si="17"/>
        <v>200.57125923798915</v>
      </c>
      <c r="BE36" s="59">
        <v>100</v>
      </c>
      <c r="BF36" s="66">
        <f t="shared" si="18"/>
        <v>194.02254510698856</v>
      </c>
      <c r="BG36" s="59">
        <v>100</v>
      </c>
      <c r="BH36" s="66">
        <f t="shared" si="19"/>
        <v>170.11147425545732</v>
      </c>
      <c r="BI36" s="59">
        <v>100</v>
      </c>
      <c r="BJ36" s="66">
        <f t="shared" si="20"/>
        <v>150.51017485659833</v>
      </c>
      <c r="BK36" s="59">
        <v>100</v>
      </c>
      <c r="BL36" s="66">
        <f t="shared" si="21"/>
        <v>156.77048595277836</v>
      </c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66">
        <f t="shared" si="22"/>
        <v>0</v>
      </c>
      <c r="CM36" s="59"/>
      <c r="CN36" s="66">
        <f t="shared" si="23"/>
        <v>0</v>
      </c>
      <c r="CO36" s="59"/>
      <c r="CP36" s="66">
        <f t="shared" si="24"/>
        <v>0</v>
      </c>
      <c r="CQ36" s="59"/>
      <c r="CR36" s="66">
        <f t="shared" si="25"/>
        <v>3756.404794284545</v>
      </c>
      <c r="CS36" s="59"/>
      <c r="CT36" s="66">
        <f t="shared" si="26"/>
        <v>2137.4422974232575</v>
      </c>
      <c r="CU36" s="59"/>
      <c r="CV36" s="66">
        <f t="shared" si="27"/>
        <v>3860.7363368343263</v>
      </c>
      <c r="CW36" s="59"/>
      <c r="CX36" s="66">
        <f t="shared" si="35"/>
        <v>0</v>
      </c>
      <c r="CY36" s="59"/>
      <c r="CZ36" s="66">
        <f t="shared" si="36"/>
        <v>0</v>
      </c>
      <c r="DA36" s="59"/>
      <c r="DB36" s="66">
        <f t="shared" si="37"/>
        <v>0</v>
      </c>
      <c r="DC36" s="59"/>
      <c r="DD36" s="66">
        <f t="shared" si="38"/>
        <v>3756.404794284545</v>
      </c>
      <c r="DE36" s="59"/>
      <c r="DF36" s="66">
        <f t="shared" si="39"/>
        <v>2137.4422974232575</v>
      </c>
      <c r="DG36" s="59"/>
      <c r="DH36" s="66">
        <f t="shared" si="40"/>
        <v>3860.7363368343263</v>
      </c>
      <c r="DI36" s="59">
        <f t="shared" si="41"/>
        <v>25.400298889837742</v>
      </c>
      <c r="DJ36" s="66">
        <f t="shared" si="42"/>
        <v>765.5503124399381</v>
      </c>
      <c r="DK36" s="59">
        <f t="shared" si="43"/>
        <v>11.499456718580225</v>
      </c>
      <c r="DL36" s="66">
        <f t="shared" si="44"/>
        <v>1874.669081774164</v>
      </c>
      <c r="DM36" s="59">
        <f t="shared" si="45"/>
        <v>24.01296645118494</v>
      </c>
      <c r="DN36" s="66">
        <f t="shared" si="46"/>
        <v>877.2131235983887</v>
      </c>
      <c r="DO36" s="59">
        <f t="shared" si="47"/>
        <v>2.688886616910337</v>
      </c>
      <c r="DP36" s="66">
        <f t="shared" si="48"/>
        <v>6928.377398089175</v>
      </c>
      <c r="DQ36" s="59">
        <f t="shared" si="49"/>
        <v>3.0226832207030228</v>
      </c>
      <c r="DR36" s="66">
        <f t="shared" si="50"/>
        <v>5446.2695460083505</v>
      </c>
      <c r="DS36" s="59">
        <f t="shared" si="51"/>
        <v>2.3668091739699966</v>
      </c>
      <c r="DT36" s="66">
        <f t="shared" si="52"/>
        <v>7231.301784819059</v>
      </c>
      <c r="DU36" s="62">
        <f t="shared" si="53"/>
        <v>4.94194387255559</v>
      </c>
      <c r="DV36" s="66">
        <f t="shared" si="54"/>
        <v>3853.896874454846</v>
      </c>
    </row>
    <row r="37" spans="2:126" ht="12.75">
      <c r="B37" s="62" t="s">
        <v>108</v>
      </c>
      <c r="D37" s="62" t="s">
        <v>70</v>
      </c>
      <c r="E37" s="59"/>
      <c r="F37" s="66">
        <f t="shared" si="28"/>
        <v>111.05709592291588</v>
      </c>
      <c r="G37" s="59"/>
      <c r="H37" s="66">
        <f t="shared" si="28"/>
        <v>97.53575284203501</v>
      </c>
      <c r="I37" s="59"/>
      <c r="J37" s="66">
        <f t="shared" si="0"/>
        <v>58.17821788829406</v>
      </c>
      <c r="K37" s="59"/>
      <c r="L37" s="66">
        <f t="shared" si="1"/>
        <v>210.40159882044068</v>
      </c>
      <c r="M37" s="59"/>
      <c r="N37" s="66">
        <f t="shared" si="2"/>
        <v>317.5492694592328</v>
      </c>
      <c r="O37" s="59"/>
      <c r="P37" s="66">
        <f t="shared" si="3"/>
        <v>287.612561755505</v>
      </c>
      <c r="Q37" s="59"/>
      <c r="R37" s="66">
        <f t="shared" si="4"/>
        <v>11751.29535961391</v>
      </c>
      <c r="S37" s="59"/>
      <c r="T37" s="66">
        <f t="shared" si="5"/>
        <v>21184.23591139222</v>
      </c>
      <c r="U37" s="59"/>
      <c r="V37" s="66">
        <f t="shared" si="6"/>
        <v>18181.379283452527</v>
      </c>
      <c r="W37" s="59"/>
      <c r="X37" s="66">
        <f t="shared" si="7"/>
        <v>62764.15781993149</v>
      </c>
      <c r="Y37" s="59"/>
      <c r="Z37" s="66">
        <f t="shared" si="8"/>
        <v>52068.95029318056</v>
      </c>
      <c r="AA37" s="59"/>
      <c r="AB37" s="66">
        <f t="shared" si="9"/>
        <v>57522.51235110098</v>
      </c>
      <c r="AC37" s="59"/>
      <c r="AD37" s="66">
        <f t="shared" si="10"/>
        <v>6521.233447129276</v>
      </c>
      <c r="AE37" s="59"/>
      <c r="AF37" s="66">
        <f t="shared" si="11"/>
        <v>10189.82116795573</v>
      </c>
      <c r="AG37" s="59"/>
      <c r="AH37" s="66">
        <f t="shared" si="12"/>
        <v>2870.4840662189995</v>
      </c>
      <c r="AI37" s="59"/>
      <c r="AJ37" s="66">
        <f t="shared" si="13"/>
        <v>2565.087845240019</v>
      </c>
      <c r="AK37" s="59"/>
      <c r="AL37" s="66">
        <f t="shared" si="14"/>
        <v>7566.403078219993</v>
      </c>
      <c r="AM37" s="59"/>
      <c r="AN37" s="66">
        <f t="shared" si="15"/>
        <v>8861.496473513489</v>
      </c>
      <c r="AP37" s="66">
        <f t="shared" si="29"/>
        <v>18272.528806743187</v>
      </c>
      <c r="AR37" s="66">
        <f t="shared" si="30"/>
        <v>31374.05707934795</v>
      </c>
      <c r="AT37" s="66">
        <f t="shared" si="31"/>
        <v>21051.863349671527</v>
      </c>
      <c r="AV37" s="66">
        <f t="shared" si="32"/>
        <v>65329.24566517151</v>
      </c>
      <c r="AX37" s="66">
        <f t="shared" si="33"/>
        <v>59635.35337140055</v>
      </c>
      <c r="AZ37" s="66">
        <f t="shared" si="34"/>
        <v>66384.00882461447</v>
      </c>
      <c r="BA37" s="59"/>
      <c r="BB37" s="66">
        <f t="shared" si="16"/>
        <v>2003.2362920576884</v>
      </c>
      <c r="BC37" s="59"/>
      <c r="BD37" s="66">
        <f t="shared" si="17"/>
        <v>1955.5697775703943</v>
      </c>
      <c r="BE37" s="59"/>
      <c r="BF37" s="66">
        <f t="shared" si="18"/>
        <v>2037.23672362338</v>
      </c>
      <c r="BG37" s="59"/>
      <c r="BH37" s="66">
        <f t="shared" si="19"/>
        <v>850.5573712772864</v>
      </c>
      <c r="BI37" s="59"/>
      <c r="BJ37" s="66">
        <f t="shared" si="20"/>
        <v>602.0406994263933</v>
      </c>
      <c r="BK37" s="59"/>
      <c r="BL37" s="66">
        <f t="shared" si="21"/>
        <v>1293.356509110421</v>
      </c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66">
        <f t="shared" si="22"/>
        <v>96276.04204134313</v>
      </c>
      <c r="CM37" s="59"/>
      <c r="CN37" s="66">
        <f t="shared" si="23"/>
        <v>106373.83417045238</v>
      </c>
      <c r="CO37" s="59"/>
      <c r="CP37" s="66">
        <f t="shared" si="24"/>
        <v>105948.25488243774</v>
      </c>
      <c r="CQ37" s="59"/>
      <c r="CR37" s="66">
        <f t="shared" si="25"/>
        <v>97934.83927956138</v>
      </c>
      <c r="CS37" s="59"/>
      <c r="CT37" s="66">
        <f t="shared" si="26"/>
        <v>51831.19252928477</v>
      </c>
      <c r="CU37" s="59"/>
      <c r="CV37" s="66">
        <f t="shared" si="27"/>
        <v>93936.38730386707</v>
      </c>
      <c r="CW37" s="59"/>
      <c r="CX37" s="66">
        <f t="shared" si="35"/>
        <v>96276.04204134313</v>
      </c>
      <c r="CY37" s="59"/>
      <c r="CZ37" s="66">
        <f t="shared" si="36"/>
        <v>106373.83417045238</v>
      </c>
      <c r="DA37" s="59"/>
      <c r="DB37" s="66">
        <f t="shared" si="37"/>
        <v>105948.25488243774</v>
      </c>
      <c r="DC37" s="59"/>
      <c r="DD37" s="66">
        <f t="shared" si="38"/>
        <v>97934.83927956138</v>
      </c>
      <c r="DE37" s="59"/>
      <c r="DF37" s="66">
        <f t="shared" si="39"/>
        <v>51831.19252928477</v>
      </c>
      <c r="DG37" s="59"/>
      <c r="DH37" s="66">
        <f t="shared" si="40"/>
        <v>93936.38730386707</v>
      </c>
      <c r="DI37" s="59"/>
      <c r="DJ37" s="66">
        <f t="shared" si="42"/>
        <v>116662.86423606692</v>
      </c>
      <c r="DK37" s="59"/>
      <c r="DL37" s="66">
        <f t="shared" si="44"/>
        <v>139800.99678021274</v>
      </c>
      <c r="DM37" s="59"/>
      <c r="DN37" s="66">
        <f t="shared" si="46"/>
        <v>129095.53317362095</v>
      </c>
      <c r="DO37" s="59"/>
      <c r="DP37" s="66">
        <f t="shared" si="48"/>
        <v>164325.0439148306</v>
      </c>
      <c r="DQ37" s="59"/>
      <c r="DR37" s="66">
        <f t="shared" si="50"/>
        <v>112386.13586957095</v>
      </c>
      <c r="DS37" s="59"/>
      <c r="DT37" s="66">
        <f t="shared" si="52"/>
        <v>161901.36519934746</v>
      </c>
      <c r="DV37" s="66">
        <f t="shared" si="54"/>
        <v>137361.98986227496</v>
      </c>
    </row>
    <row r="38" spans="2:126" ht="12.75">
      <c r="B38" s="62" t="s">
        <v>104</v>
      </c>
      <c r="D38" s="62" t="s">
        <v>70</v>
      </c>
      <c r="E38" s="59"/>
      <c r="F38" s="66">
        <f t="shared" si="28"/>
        <v>123.39677324768431</v>
      </c>
      <c r="G38" s="59"/>
      <c r="H38" s="66">
        <f t="shared" si="28"/>
        <v>300.11000874472313</v>
      </c>
      <c r="I38" s="59"/>
      <c r="J38" s="66">
        <f t="shared" si="0"/>
        <v>249.3352195212602</v>
      </c>
      <c r="K38" s="59"/>
      <c r="L38" s="66">
        <f t="shared" si="1"/>
        <v>161.84738370803132</v>
      </c>
      <c r="M38" s="59"/>
      <c r="N38" s="66">
        <f t="shared" si="2"/>
        <v>211.69951297282185</v>
      </c>
      <c r="O38" s="59"/>
      <c r="P38" s="66">
        <f t="shared" si="3"/>
        <v>179.7578510971906</v>
      </c>
      <c r="Q38" s="59"/>
      <c r="R38" s="66">
        <f t="shared" si="4"/>
        <v>73445.59599758693</v>
      </c>
      <c r="S38" s="59"/>
      <c r="T38" s="66">
        <f t="shared" si="5"/>
        <v>69256.15586416688</v>
      </c>
      <c r="U38" s="59"/>
      <c r="V38" s="66">
        <f t="shared" si="6"/>
        <v>86954.42265999036</v>
      </c>
      <c r="W38" s="59"/>
      <c r="X38" s="66">
        <f t="shared" si="7"/>
        <v>25890.21510072175</v>
      </c>
      <c r="Y38" s="59"/>
      <c r="Z38" s="66">
        <f t="shared" si="8"/>
        <v>21521.832787847972</v>
      </c>
      <c r="AA38" s="59"/>
      <c r="AB38" s="66">
        <f t="shared" si="9"/>
        <v>22649.489238246013</v>
      </c>
      <c r="AC38" s="59"/>
      <c r="AD38" s="66">
        <f t="shared" si="10"/>
        <v>2173.7444823764254</v>
      </c>
      <c r="AE38" s="59"/>
      <c r="AF38" s="66">
        <f t="shared" si="11"/>
        <v>12404.999682728714</v>
      </c>
      <c r="AG38" s="59"/>
      <c r="AH38" s="66">
        <f t="shared" si="12"/>
        <v>7928.003611461999</v>
      </c>
      <c r="AI38" s="59"/>
      <c r="AJ38" s="66">
        <f t="shared" si="13"/>
        <v>5643.1932595280405</v>
      </c>
      <c r="AK38" s="59"/>
      <c r="AL38" s="66">
        <f t="shared" si="14"/>
        <v>3783.2015391099967</v>
      </c>
      <c r="AM38" s="59"/>
      <c r="AN38" s="66">
        <f t="shared" si="15"/>
        <v>10472.677650515945</v>
      </c>
      <c r="AP38" s="66">
        <f t="shared" si="29"/>
        <v>75619.34047996336</v>
      </c>
      <c r="AR38" s="66">
        <f t="shared" si="30"/>
        <v>81661.15554689559</v>
      </c>
      <c r="AT38" s="66">
        <f t="shared" si="31"/>
        <v>94882.42627145236</v>
      </c>
      <c r="AV38" s="66">
        <f t="shared" si="32"/>
        <v>31533.408360249792</v>
      </c>
      <c r="AX38" s="66">
        <f t="shared" si="33"/>
        <v>25305.034326957968</v>
      </c>
      <c r="AZ38" s="66">
        <f t="shared" si="34"/>
        <v>33122.16688876196</v>
      </c>
      <c r="BA38" s="59">
        <v>100</v>
      </c>
      <c r="BB38" s="66">
        <f t="shared" si="16"/>
        <v>1365.8429264029692</v>
      </c>
      <c r="BC38" s="59">
        <v>100</v>
      </c>
      <c r="BD38" s="66">
        <f t="shared" si="17"/>
        <v>1504.2844442849187</v>
      </c>
      <c r="BE38" s="59">
        <v>100</v>
      </c>
      <c r="BF38" s="66">
        <f t="shared" si="18"/>
        <v>1455.1690883024141</v>
      </c>
      <c r="BG38" s="59">
        <v>100</v>
      </c>
      <c r="BH38" s="66">
        <f t="shared" si="19"/>
        <v>2126.3934281932166</v>
      </c>
      <c r="BI38" s="59">
        <v>100</v>
      </c>
      <c r="BJ38" s="66">
        <f t="shared" si="20"/>
        <v>1881.377185707479</v>
      </c>
      <c r="BK38" s="59">
        <v>100</v>
      </c>
      <c r="BL38" s="66">
        <f t="shared" si="21"/>
        <v>1959.6310744097295</v>
      </c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66">
        <f t="shared" si="22"/>
        <v>0</v>
      </c>
      <c r="CM38" s="59"/>
      <c r="CN38" s="66">
        <f t="shared" si="23"/>
        <v>0</v>
      </c>
      <c r="CO38" s="59"/>
      <c r="CP38" s="66">
        <f t="shared" si="24"/>
        <v>0</v>
      </c>
      <c r="CQ38" s="59"/>
      <c r="CR38" s="66">
        <f t="shared" si="25"/>
        <v>0</v>
      </c>
      <c r="CS38" s="59"/>
      <c r="CT38" s="66">
        <f t="shared" si="26"/>
        <v>0</v>
      </c>
      <c r="CU38" s="59"/>
      <c r="CV38" s="66">
        <f t="shared" si="27"/>
        <v>0</v>
      </c>
      <c r="CW38" s="59"/>
      <c r="CX38" s="66">
        <f t="shared" si="35"/>
        <v>0</v>
      </c>
      <c r="CY38" s="59"/>
      <c r="CZ38" s="66">
        <f t="shared" si="36"/>
        <v>0</v>
      </c>
      <c r="DA38" s="59"/>
      <c r="DB38" s="66">
        <f t="shared" si="37"/>
        <v>0</v>
      </c>
      <c r="DC38" s="59"/>
      <c r="DD38" s="66">
        <f t="shared" si="38"/>
        <v>0</v>
      </c>
      <c r="DE38" s="59"/>
      <c r="DF38" s="66">
        <f t="shared" si="39"/>
        <v>0</v>
      </c>
      <c r="DG38" s="59"/>
      <c r="DH38" s="66">
        <f t="shared" si="40"/>
        <v>0</v>
      </c>
      <c r="DI38" s="59">
        <f t="shared" si="41"/>
        <v>1.7713241810722264</v>
      </c>
      <c r="DJ38" s="66">
        <f t="shared" si="42"/>
        <v>77108.58017961401</v>
      </c>
      <c r="DK38" s="59">
        <f t="shared" si="43"/>
        <v>1.8022818327876184</v>
      </c>
      <c r="DL38" s="66">
        <f t="shared" si="44"/>
        <v>83465.54999992524</v>
      </c>
      <c r="DM38" s="59">
        <f t="shared" si="45"/>
        <v>1.5065900526863198</v>
      </c>
      <c r="DN38" s="66">
        <f t="shared" si="46"/>
        <v>96586.93057927604</v>
      </c>
      <c r="DO38" s="59">
        <f t="shared" si="47"/>
        <v>6.287077893126815</v>
      </c>
      <c r="DP38" s="66">
        <f t="shared" si="48"/>
        <v>33821.64917215104</v>
      </c>
      <c r="DQ38" s="59">
        <f t="shared" si="49"/>
        <v>6.866813496547068</v>
      </c>
      <c r="DR38" s="66">
        <f t="shared" si="50"/>
        <v>27398.111025638267</v>
      </c>
      <c r="DS38" s="59">
        <f t="shared" si="51"/>
        <v>5.557415233552312</v>
      </c>
      <c r="DT38" s="66">
        <f t="shared" si="52"/>
        <v>35261.555814268875</v>
      </c>
      <c r="DU38" s="62">
        <f t="shared" si="53"/>
        <v>2.9104821207469183</v>
      </c>
      <c r="DV38" s="66">
        <f t="shared" si="54"/>
        <v>58940.396128478926</v>
      </c>
    </row>
    <row r="39" spans="2:131" ht="12.75">
      <c r="B39" s="62" t="s">
        <v>112</v>
      </c>
      <c r="D39" s="62" t="s">
        <v>70</v>
      </c>
      <c r="E39" s="59"/>
      <c r="F39" s="66">
        <f t="shared" si="28"/>
        <v>4.935870929907373</v>
      </c>
      <c r="G39" s="59"/>
      <c r="H39" s="66">
        <f t="shared" si="28"/>
        <v>8.253025240479886</v>
      </c>
      <c r="I39" s="59"/>
      <c r="J39" s="66">
        <f t="shared" si="0"/>
        <v>7.480056585637807</v>
      </c>
      <c r="K39" s="59"/>
      <c r="L39" s="66">
        <f t="shared" si="1"/>
        <v>5.260039970511017</v>
      </c>
      <c r="M39" s="59"/>
      <c r="N39" s="66">
        <f t="shared" si="2"/>
        <v>4.5868227810778075</v>
      </c>
      <c r="O39" s="59"/>
      <c r="P39" s="66">
        <f t="shared" si="3"/>
        <v>5.033219830721337</v>
      </c>
      <c r="Q39" s="59"/>
      <c r="R39" s="66">
        <f t="shared" si="4"/>
        <v>22.033678799276082</v>
      </c>
      <c r="S39" s="59"/>
      <c r="T39" s="66">
        <f t="shared" si="5"/>
        <v>28.517240649951063</v>
      </c>
      <c r="U39" s="59"/>
      <c r="V39" s="66">
        <f t="shared" si="6"/>
        <v>35.57226381545059</v>
      </c>
      <c r="W39" s="59"/>
      <c r="X39" s="66">
        <f t="shared" si="7"/>
        <v>7.845519727491438</v>
      </c>
      <c r="Y39" s="59"/>
      <c r="Z39" s="66">
        <f t="shared" si="8"/>
        <v>10.413790058636117</v>
      </c>
      <c r="AA39" s="59"/>
      <c r="AB39" s="66">
        <f t="shared" si="9"/>
        <v>7.190314043887624</v>
      </c>
      <c r="AC39" s="59">
        <v>100</v>
      </c>
      <c r="AD39" s="66">
        <f t="shared" si="10"/>
        <v>2.717180602970532</v>
      </c>
      <c r="AE39" s="59"/>
      <c r="AF39" s="66">
        <f t="shared" si="11"/>
        <v>7.383928382576613</v>
      </c>
      <c r="AG39" s="59">
        <v>100</v>
      </c>
      <c r="AH39" s="66">
        <f t="shared" si="12"/>
        <v>2.7337943487799996</v>
      </c>
      <c r="AI39" s="59"/>
      <c r="AJ39" s="66">
        <f t="shared" si="13"/>
        <v>23.085790607160167</v>
      </c>
      <c r="AK39" s="59"/>
      <c r="AL39" s="66">
        <f t="shared" si="14"/>
        <v>8.901650680258818</v>
      </c>
      <c r="AM39" s="59"/>
      <c r="AN39" s="66">
        <f t="shared" si="15"/>
        <v>10.357593280730052</v>
      </c>
      <c r="AP39" s="66">
        <f t="shared" si="29"/>
        <v>24.750859402246615</v>
      </c>
      <c r="AQ39" s="62">
        <f>SUM((AF39*AC39/100),(T39*S39/100))/AR39*100</f>
        <v>20.567375886524818</v>
      </c>
      <c r="AR39" s="66">
        <f t="shared" si="30"/>
        <v>35.901169032527676</v>
      </c>
      <c r="AT39" s="66">
        <f t="shared" si="31"/>
        <v>38.30605816423059</v>
      </c>
      <c r="AU39" s="62">
        <f>SUM((AJ39*AG39/100),(X39*W39/100))/AV39*100</f>
        <v>74.63566967383761</v>
      </c>
      <c r="AV39" s="66">
        <f t="shared" si="32"/>
        <v>30.931310334651606</v>
      </c>
      <c r="AX39" s="66">
        <f t="shared" si="33"/>
        <v>19.315440738894935</v>
      </c>
      <c r="AZ39" s="66">
        <f t="shared" si="34"/>
        <v>17.547907324617675</v>
      </c>
      <c r="BA39" s="59">
        <v>100</v>
      </c>
      <c r="BB39" s="66">
        <f t="shared" si="16"/>
        <v>9.105619509353128</v>
      </c>
      <c r="BC39" s="59">
        <v>100</v>
      </c>
      <c r="BD39" s="66">
        <f t="shared" si="17"/>
        <v>10.028562961899459</v>
      </c>
      <c r="BE39" s="59">
        <v>100</v>
      </c>
      <c r="BF39" s="66">
        <f t="shared" si="18"/>
        <v>9.70112725534943</v>
      </c>
      <c r="BG39" s="59">
        <v>100</v>
      </c>
      <c r="BH39" s="66">
        <f t="shared" si="19"/>
        <v>8.505573712772867</v>
      </c>
      <c r="BI39" s="59">
        <v>100</v>
      </c>
      <c r="BJ39" s="66">
        <f t="shared" si="20"/>
        <v>7.525508742829916</v>
      </c>
      <c r="BK39" s="59">
        <v>100</v>
      </c>
      <c r="BL39" s="66">
        <f t="shared" si="21"/>
        <v>7.838524297638918</v>
      </c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66">
        <f t="shared" si="22"/>
        <v>0</v>
      </c>
      <c r="CM39" s="59"/>
      <c r="CN39" s="66">
        <f t="shared" si="23"/>
        <v>0</v>
      </c>
      <c r="CO39" s="59"/>
      <c r="CP39" s="66">
        <f t="shared" si="24"/>
        <v>0</v>
      </c>
      <c r="CQ39" s="59"/>
      <c r="CR39" s="66">
        <f t="shared" si="25"/>
        <v>0</v>
      </c>
      <c r="CS39" s="59"/>
      <c r="CT39" s="66">
        <f t="shared" si="26"/>
        <v>0</v>
      </c>
      <c r="CU39" s="59"/>
      <c r="CV39" s="66">
        <f t="shared" si="27"/>
        <v>0</v>
      </c>
      <c r="CW39" s="59"/>
      <c r="CX39" s="66">
        <f t="shared" si="35"/>
        <v>0</v>
      </c>
      <c r="CY39" s="59"/>
      <c r="CZ39" s="66">
        <f t="shared" si="36"/>
        <v>0</v>
      </c>
      <c r="DA39" s="59"/>
      <c r="DB39" s="66">
        <f t="shared" si="37"/>
        <v>0</v>
      </c>
      <c r="DC39" s="59"/>
      <c r="DD39" s="66">
        <f t="shared" si="38"/>
        <v>0</v>
      </c>
      <c r="DE39" s="59"/>
      <c r="DF39" s="66">
        <f t="shared" si="39"/>
        <v>0</v>
      </c>
      <c r="DG39" s="59"/>
      <c r="DH39" s="66">
        <f t="shared" si="40"/>
        <v>0</v>
      </c>
      <c r="DI39" s="59">
        <f t="shared" si="41"/>
        <v>23.47271961238677</v>
      </c>
      <c r="DJ39" s="66">
        <f t="shared" si="42"/>
        <v>38.79234984150711</v>
      </c>
      <c r="DK39" s="59">
        <f t="shared" si="43"/>
        <v>32.136591478696744</v>
      </c>
      <c r="DL39" s="66">
        <f t="shared" si="44"/>
        <v>54.18275723490702</v>
      </c>
      <c r="DM39" s="59">
        <f t="shared" si="45"/>
        <v>17.483527572765592</v>
      </c>
      <c r="DN39" s="66">
        <f t="shared" si="46"/>
        <v>55.48724200521782</v>
      </c>
      <c r="DO39" s="59">
        <f t="shared" si="47"/>
        <v>70.67905681217884</v>
      </c>
      <c r="DP39" s="66">
        <f t="shared" si="48"/>
        <v>44.69692401793549</v>
      </c>
      <c r="DQ39" s="59">
        <f t="shared" si="49"/>
        <v>23.945409429280396</v>
      </c>
      <c r="DR39" s="66">
        <f t="shared" si="50"/>
        <v>31.42777226280266</v>
      </c>
      <c r="DS39" s="59">
        <f t="shared" si="51"/>
        <v>25.767962232425795</v>
      </c>
      <c r="DT39" s="66">
        <f t="shared" si="52"/>
        <v>30.41965145297793</v>
      </c>
      <c r="DU39" s="62">
        <f t="shared" si="53"/>
        <v>32.61664752663645</v>
      </c>
      <c r="DV39" s="66">
        <f t="shared" si="54"/>
        <v>42.50111613589133</v>
      </c>
      <c r="DX39" s="66">
        <f>AVERAGE(R39,T39,V39,X39,Z39,AB39)+AVERAGE(AD39,AF39,AH39,AJ39,AL39,AN39)/2</f>
        <v>23.19379600765517</v>
      </c>
      <c r="DY39" s="66">
        <f>AVERAGE(CL39,CN39,CP39,CR39,CT39,CV39)</f>
        <v>0</v>
      </c>
      <c r="DZ39" s="66">
        <f>AVERAGE(F39,H39,J39,L39,N39,P39)+AVERAGE(BB39,BD39,BF39,BH39,BJ39,BL39)/2</f>
        <v>10.316915596376182</v>
      </c>
      <c r="EA39" s="66">
        <f>SUM(DX39,DY39,DZ39)</f>
        <v>33.51071160403135</v>
      </c>
    </row>
    <row r="40" spans="2:126" ht="12.75">
      <c r="B40" s="62" t="s">
        <v>107</v>
      </c>
      <c r="D40" s="62" t="s">
        <v>70</v>
      </c>
      <c r="E40" s="59">
        <v>100</v>
      </c>
      <c r="F40" s="66">
        <f t="shared" si="28"/>
        <v>18.50951598715265</v>
      </c>
      <c r="G40" s="59">
        <v>100</v>
      </c>
      <c r="H40" s="66">
        <f t="shared" si="28"/>
        <v>22.508250655854233</v>
      </c>
      <c r="I40" s="59">
        <v>100</v>
      </c>
      <c r="J40" s="66">
        <f t="shared" si="0"/>
        <v>24.933521952126018</v>
      </c>
      <c r="K40" s="59">
        <v>100</v>
      </c>
      <c r="L40" s="66">
        <f t="shared" si="1"/>
        <v>24.277107556204694</v>
      </c>
      <c r="M40" s="59">
        <v>100</v>
      </c>
      <c r="N40" s="66">
        <f t="shared" si="2"/>
        <v>21.169951297282182</v>
      </c>
      <c r="O40" s="59">
        <v>100</v>
      </c>
      <c r="P40" s="66">
        <f t="shared" si="3"/>
        <v>21.570942131662875</v>
      </c>
      <c r="Q40" s="59"/>
      <c r="R40" s="66">
        <f t="shared" si="4"/>
        <v>22.033678799276082</v>
      </c>
      <c r="S40" s="59"/>
      <c r="T40" s="66">
        <f t="shared" si="5"/>
        <v>24.443349128529487</v>
      </c>
      <c r="U40" s="59"/>
      <c r="V40" s="66">
        <f t="shared" si="6"/>
        <v>23.714842543633733</v>
      </c>
      <c r="W40" s="59"/>
      <c r="X40" s="66">
        <f t="shared" si="7"/>
        <v>23.536559182474313</v>
      </c>
      <c r="Y40" s="59"/>
      <c r="Z40" s="66">
        <f t="shared" si="8"/>
        <v>20.827580117272234</v>
      </c>
      <c r="AA40" s="59"/>
      <c r="AB40" s="66">
        <f t="shared" si="9"/>
        <v>21.570942131662875</v>
      </c>
      <c r="AC40" s="59">
        <v>100</v>
      </c>
      <c r="AD40" s="66">
        <f t="shared" si="10"/>
        <v>40.75770904455798</v>
      </c>
      <c r="AE40" s="59"/>
      <c r="AF40" s="66">
        <f t="shared" si="11"/>
        <v>575.946413840976</v>
      </c>
      <c r="AG40" s="59"/>
      <c r="AH40" s="66">
        <f t="shared" si="12"/>
        <v>273.3794348779999</v>
      </c>
      <c r="AI40" s="59"/>
      <c r="AJ40" s="66">
        <f t="shared" si="13"/>
        <v>94.90825027388068</v>
      </c>
      <c r="AK40" s="59">
        <v>100</v>
      </c>
      <c r="AL40" s="66">
        <f t="shared" si="14"/>
        <v>6.676238010194111</v>
      </c>
      <c r="AM40" s="59"/>
      <c r="AN40" s="66">
        <f t="shared" si="15"/>
        <v>25.318561352895685</v>
      </c>
      <c r="AP40" s="66">
        <f t="shared" si="29"/>
        <v>62.79138784383406</v>
      </c>
      <c r="AQ40" s="62">
        <f>SUM((AF40*AC40/100),(T40*S40/100))/AR40*100</f>
        <v>95.92875318066159</v>
      </c>
      <c r="AR40" s="66">
        <f t="shared" si="30"/>
        <v>600.3897629695055</v>
      </c>
      <c r="AT40" s="66">
        <f t="shared" si="31"/>
        <v>297.09427742163365</v>
      </c>
      <c r="AV40" s="66">
        <f t="shared" si="32"/>
        <v>118.44480945635499</v>
      </c>
      <c r="AX40" s="66">
        <f t="shared" si="33"/>
        <v>27.503818127466346</v>
      </c>
      <c r="AY40" s="62">
        <f>SUM((AN40*AK40/100),(AB40*AA40/100))/AZ40*100</f>
        <v>53.99622404027691</v>
      </c>
      <c r="AZ40" s="66">
        <f t="shared" si="34"/>
        <v>46.88950348455856</v>
      </c>
      <c r="BA40" s="59">
        <v>100</v>
      </c>
      <c r="BB40" s="66">
        <f t="shared" si="16"/>
        <v>273.1685852805939</v>
      </c>
      <c r="BC40" s="59">
        <v>100</v>
      </c>
      <c r="BD40" s="66">
        <f t="shared" si="17"/>
        <v>300.8568888569837</v>
      </c>
      <c r="BE40" s="59">
        <v>100</v>
      </c>
      <c r="BF40" s="66">
        <f t="shared" si="18"/>
        <v>291.0338176604829</v>
      </c>
      <c r="BG40" s="59">
        <v>100</v>
      </c>
      <c r="BH40" s="66">
        <f t="shared" si="19"/>
        <v>255.16721138318593</v>
      </c>
      <c r="BI40" s="59">
        <v>100</v>
      </c>
      <c r="BJ40" s="66">
        <f t="shared" si="20"/>
        <v>225.7652622848975</v>
      </c>
      <c r="BK40" s="59">
        <v>100</v>
      </c>
      <c r="BL40" s="66">
        <f t="shared" si="21"/>
        <v>235.1557289291675</v>
      </c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66">
        <f t="shared" si="22"/>
        <v>0</v>
      </c>
      <c r="CM40" s="59"/>
      <c r="CN40" s="66">
        <f t="shared" si="23"/>
        <v>0</v>
      </c>
      <c r="CO40" s="59"/>
      <c r="CP40" s="66">
        <f t="shared" si="24"/>
        <v>0</v>
      </c>
      <c r="CQ40" s="59"/>
      <c r="CR40" s="66">
        <f t="shared" si="25"/>
        <v>0</v>
      </c>
      <c r="CS40" s="59"/>
      <c r="CT40" s="66">
        <f t="shared" si="26"/>
        <v>0</v>
      </c>
      <c r="CU40" s="59"/>
      <c r="CV40" s="66">
        <f t="shared" si="27"/>
        <v>0</v>
      </c>
      <c r="CW40" s="59"/>
      <c r="CX40" s="66">
        <f t="shared" si="35"/>
        <v>0</v>
      </c>
      <c r="CY40" s="59"/>
      <c r="CZ40" s="66">
        <f t="shared" si="36"/>
        <v>0</v>
      </c>
      <c r="DA40" s="59"/>
      <c r="DB40" s="66">
        <f t="shared" si="37"/>
        <v>0</v>
      </c>
      <c r="DC40" s="59"/>
      <c r="DD40" s="66">
        <f t="shared" si="38"/>
        <v>0</v>
      </c>
      <c r="DE40" s="59"/>
      <c r="DF40" s="66">
        <f t="shared" si="39"/>
        <v>0</v>
      </c>
      <c r="DG40" s="59"/>
      <c r="DH40" s="66">
        <f t="shared" si="40"/>
        <v>0</v>
      </c>
      <c r="DI40" s="59">
        <f t="shared" si="41"/>
        <v>82.28581308895998</v>
      </c>
      <c r="DJ40" s="66">
        <f t="shared" si="42"/>
        <v>354.46948911158063</v>
      </c>
      <c r="DK40" s="59">
        <f t="shared" si="43"/>
        <v>97.35391400220507</v>
      </c>
      <c r="DL40" s="66">
        <f t="shared" si="44"/>
        <v>923.7549024823434</v>
      </c>
      <c r="DM40" s="59">
        <f t="shared" si="45"/>
        <v>51.5392467630151</v>
      </c>
      <c r="DN40" s="66">
        <f t="shared" si="46"/>
        <v>613.0616170342425</v>
      </c>
      <c r="DO40" s="59">
        <f t="shared" si="47"/>
        <v>70.23170501443097</v>
      </c>
      <c r="DP40" s="66">
        <f t="shared" si="48"/>
        <v>397.8891283957456</v>
      </c>
      <c r="DQ40" s="59">
        <f t="shared" si="49"/>
        <v>89.9781682087535</v>
      </c>
      <c r="DR40" s="66">
        <f t="shared" si="50"/>
        <v>274.43903170964603</v>
      </c>
      <c r="DS40" s="59">
        <f t="shared" si="51"/>
        <v>92.89532510448053</v>
      </c>
      <c r="DT40" s="66">
        <f t="shared" si="52"/>
        <v>303.61617454538896</v>
      </c>
      <c r="DU40" s="62">
        <f t="shared" si="53"/>
        <v>80.7532525106305</v>
      </c>
      <c r="DV40" s="66">
        <f t="shared" si="54"/>
        <v>477.87172387982446</v>
      </c>
    </row>
    <row r="41" spans="2:126" ht="12.75">
      <c r="B41" s="62" t="s">
        <v>102</v>
      </c>
      <c r="D41" s="62" t="s">
        <v>70</v>
      </c>
      <c r="E41" s="59">
        <v>100</v>
      </c>
      <c r="F41" s="66">
        <f t="shared" si="28"/>
        <v>462.73789967881623</v>
      </c>
      <c r="G41" s="59">
        <v>100</v>
      </c>
      <c r="H41" s="66">
        <f t="shared" si="28"/>
        <v>562.7062663963558</v>
      </c>
      <c r="I41" s="59">
        <v>100</v>
      </c>
      <c r="J41" s="66">
        <f t="shared" si="0"/>
        <v>623.3380488031505</v>
      </c>
      <c r="K41" s="59">
        <v>100</v>
      </c>
      <c r="L41" s="66">
        <f t="shared" si="1"/>
        <v>809.2369185401566</v>
      </c>
      <c r="M41" s="59">
        <v>100</v>
      </c>
      <c r="N41" s="66">
        <f t="shared" si="2"/>
        <v>705.6650432427396</v>
      </c>
      <c r="O41" s="59">
        <v>100</v>
      </c>
      <c r="P41" s="66">
        <f t="shared" si="3"/>
        <v>719.0314043887624</v>
      </c>
      <c r="Q41" s="59"/>
      <c r="R41" s="66">
        <f t="shared" si="4"/>
        <v>146.89119199517387</v>
      </c>
      <c r="S41" s="59"/>
      <c r="T41" s="66">
        <f t="shared" si="5"/>
        <v>162.9556608568632</v>
      </c>
      <c r="U41" s="59"/>
      <c r="V41" s="66">
        <f t="shared" si="6"/>
        <v>158.09895029089154</v>
      </c>
      <c r="W41" s="59"/>
      <c r="X41" s="66">
        <f t="shared" si="7"/>
        <v>156.9103945498287</v>
      </c>
      <c r="Y41" s="59"/>
      <c r="Z41" s="66">
        <f t="shared" si="8"/>
        <v>138.8505341151482</v>
      </c>
      <c r="AA41" s="59"/>
      <c r="AB41" s="66">
        <f t="shared" si="9"/>
        <v>143.8062808777525</v>
      </c>
      <c r="AC41" s="59">
        <v>100</v>
      </c>
      <c r="AD41" s="66">
        <f t="shared" si="10"/>
        <v>679.295150742633</v>
      </c>
      <c r="AE41" s="59">
        <v>100</v>
      </c>
      <c r="AF41" s="66">
        <f t="shared" si="11"/>
        <v>738.3928382576614</v>
      </c>
      <c r="AG41" s="59">
        <v>100</v>
      </c>
      <c r="AH41" s="66">
        <f t="shared" si="12"/>
        <v>683.448587195</v>
      </c>
      <c r="AI41" s="59">
        <v>100</v>
      </c>
      <c r="AJ41" s="66">
        <f t="shared" si="13"/>
        <v>256.5087845240019</v>
      </c>
      <c r="AK41" s="59">
        <v>100</v>
      </c>
      <c r="AL41" s="66">
        <f t="shared" si="14"/>
        <v>222.5412670064704</v>
      </c>
      <c r="AM41" s="59">
        <v>100</v>
      </c>
      <c r="AN41" s="66">
        <f t="shared" si="15"/>
        <v>230.16873957177896</v>
      </c>
      <c r="AP41" s="66">
        <f t="shared" si="29"/>
        <v>826.1863427378069</v>
      </c>
      <c r="AQ41" s="62">
        <f>SUM((AF41*AC41/100),(T41*S41/100))/AR41*100</f>
        <v>81.92090395480227</v>
      </c>
      <c r="AR41" s="66">
        <f t="shared" si="30"/>
        <v>901.3484991145247</v>
      </c>
      <c r="AS41" s="62">
        <f>SUM((AH41*AE41/100),(V41*U41/100))/AT41*100</f>
        <v>81.2133072407045</v>
      </c>
      <c r="AT41" s="66">
        <f t="shared" si="31"/>
        <v>841.5475374858916</v>
      </c>
      <c r="AU41" s="62">
        <f>SUM((AJ41*AG41/100),(X41*W41/100))/AV41*100</f>
        <v>62.04569055036345</v>
      </c>
      <c r="AV41" s="66">
        <f t="shared" si="32"/>
        <v>413.4191790738306</v>
      </c>
      <c r="AW41" s="62">
        <f>SUM((AL41*AI41/100),(Z41*Y41/100))/AX41*100</f>
        <v>61.57894736842104</v>
      </c>
      <c r="AX41" s="66">
        <f t="shared" si="33"/>
        <v>361.39180112161864</v>
      </c>
      <c r="AY41" s="62">
        <f>SUM((AN41*AK41/100),(AB41*AA41/100))/AZ41*100</f>
        <v>61.546554445028924</v>
      </c>
      <c r="AZ41" s="66">
        <f t="shared" si="34"/>
        <v>373.9750204495315</v>
      </c>
      <c r="BA41" s="59">
        <v>100</v>
      </c>
      <c r="BB41" s="66">
        <f t="shared" si="16"/>
        <v>1821.1239018706258</v>
      </c>
      <c r="BC41" s="59">
        <v>100</v>
      </c>
      <c r="BD41" s="66">
        <f t="shared" si="17"/>
        <v>2005.7125923798915</v>
      </c>
      <c r="BE41" s="59">
        <v>100</v>
      </c>
      <c r="BF41" s="66">
        <f t="shared" si="18"/>
        <v>1940.2254510698856</v>
      </c>
      <c r="BG41" s="59">
        <v>100</v>
      </c>
      <c r="BH41" s="66">
        <f t="shared" si="19"/>
        <v>1701.1147425545728</v>
      </c>
      <c r="BI41" s="59">
        <v>100</v>
      </c>
      <c r="BJ41" s="66">
        <f t="shared" si="20"/>
        <v>1505.1017485659831</v>
      </c>
      <c r="BK41" s="59">
        <v>100</v>
      </c>
      <c r="BL41" s="66">
        <f t="shared" si="21"/>
        <v>1567.7048595277836</v>
      </c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66">
        <f t="shared" si="22"/>
        <v>0</v>
      </c>
      <c r="CM41" s="59"/>
      <c r="CN41" s="66">
        <f t="shared" si="23"/>
        <v>0</v>
      </c>
      <c r="CO41" s="59"/>
      <c r="CP41" s="66">
        <f t="shared" si="24"/>
        <v>0</v>
      </c>
      <c r="CQ41" s="59"/>
      <c r="CR41" s="66">
        <f t="shared" si="25"/>
        <v>0</v>
      </c>
      <c r="CS41" s="59"/>
      <c r="CT41" s="66">
        <f t="shared" si="26"/>
        <v>0</v>
      </c>
      <c r="CU41" s="59"/>
      <c r="CV41" s="66">
        <f t="shared" si="27"/>
        <v>0</v>
      </c>
      <c r="CW41" s="59"/>
      <c r="CX41" s="66">
        <f t="shared" si="35"/>
        <v>0</v>
      </c>
      <c r="CY41" s="59"/>
      <c r="CZ41" s="66">
        <f t="shared" si="36"/>
        <v>0</v>
      </c>
      <c r="DA41" s="59"/>
      <c r="DB41" s="66">
        <f t="shared" si="37"/>
        <v>0</v>
      </c>
      <c r="DC41" s="59"/>
      <c r="DD41" s="66">
        <f t="shared" si="38"/>
        <v>0</v>
      </c>
      <c r="DE41" s="59"/>
      <c r="DF41" s="66">
        <f t="shared" si="39"/>
        <v>0</v>
      </c>
      <c r="DG41" s="59"/>
      <c r="DH41" s="66">
        <f t="shared" si="40"/>
        <v>0</v>
      </c>
      <c r="DI41" s="59">
        <f t="shared" si="41"/>
        <v>73.43493398147541</v>
      </c>
      <c r="DJ41" s="66">
        <f t="shared" si="42"/>
        <v>3110.0481442872488</v>
      </c>
      <c r="DK41" s="59">
        <f t="shared" si="43"/>
        <v>95.30355657746686</v>
      </c>
      <c r="DL41" s="66">
        <f t="shared" si="44"/>
        <v>3469.7673578907716</v>
      </c>
      <c r="DM41" s="59">
        <f t="shared" si="45"/>
        <v>95.35701043060504</v>
      </c>
      <c r="DN41" s="66">
        <f t="shared" si="46"/>
        <v>3405.111037358927</v>
      </c>
      <c r="DO41" s="59">
        <f t="shared" si="47"/>
        <v>94.63328683650246</v>
      </c>
      <c r="DP41" s="66">
        <f t="shared" si="48"/>
        <v>2923.77084016856</v>
      </c>
      <c r="DQ41" s="59">
        <f t="shared" si="49"/>
        <v>94.6017895437403</v>
      </c>
      <c r="DR41" s="66">
        <f t="shared" si="50"/>
        <v>2572.1585929303415</v>
      </c>
      <c r="DS41" s="59">
        <f t="shared" si="51"/>
        <v>94.59519408502773</v>
      </c>
      <c r="DT41" s="66">
        <f t="shared" si="52"/>
        <v>2660.7112843660775</v>
      </c>
      <c r="DU41" s="62">
        <f t="shared" si="53"/>
        <v>91.25319140871996</v>
      </c>
      <c r="DV41" s="66">
        <f t="shared" si="54"/>
        <v>3023.5945428336545</v>
      </c>
    </row>
    <row r="42" spans="2:131" ht="12.75">
      <c r="B42" s="62" t="s">
        <v>77</v>
      </c>
      <c r="D42" s="62" t="s">
        <v>70</v>
      </c>
      <c r="E42" s="59">
        <f>F36/F42*100</f>
        <v>9.090909090909092</v>
      </c>
      <c r="F42" s="66">
        <f>F36+F38</f>
        <v>135.73645057245272</v>
      </c>
      <c r="G42" s="59">
        <f>H36/H42*100</f>
        <v>4.761904761904762</v>
      </c>
      <c r="H42" s="66">
        <f>H36+H38</f>
        <v>315.1155091819593</v>
      </c>
      <c r="I42" s="59">
        <f>J36/J42*100</f>
        <v>6.25</v>
      </c>
      <c r="J42" s="66">
        <f>J36+J38</f>
        <v>265.9575674893442</v>
      </c>
      <c r="K42" s="59">
        <f>L36/L42*100</f>
        <v>9.090909090909088</v>
      </c>
      <c r="L42" s="66">
        <f>L36+L38</f>
        <v>178.03212207883445</v>
      </c>
      <c r="M42" s="59">
        <f>N36/N42*100</f>
        <v>6.25</v>
      </c>
      <c r="N42" s="66">
        <f>N36+N38</f>
        <v>225.81281383767663</v>
      </c>
      <c r="O42" s="59">
        <f>P36/P42*100</f>
        <v>7.4074074074074066</v>
      </c>
      <c r="P42" s="66">
        <f>P36+P38</f>
        <v>194.13847918496586</v>
      </c>
      <c r="Q42" s="59"/>
      <c r="R42" s="66">
        <f>R36+R38</f>
        <v>73886.26957357246</v>
      </c>
      <c r="S42" s="59"/>
      <c r="T42" s="66">
        <f>T36+T38</f>
        <v>69704.28393152326</v>
      </c>
      <c r="U42" s="59"/>
      <c r="V42" s="66">
        <f>V36+V38</f>
        <v>87586.81846115393</v>
      </c>
      <c r="W42" s="59"/>
      <c r="X42" s="66">
        <f>X36+X38</f>
        <v>28832.28499853104</v>
      </c>
      <c r="Y42" s="59"/>
      <c r="Z42" s="66">
        <f>Z36+Z38</f>
        <v>24298.843470150936</v>
      </c>
      <c r="AA42" s="59"/>
      <c r="AB42" s="66">
        <f>AB36+AB38</f>
        <v>25813.227417556565</v>
      </c>
      <c r="AC42" s="59"/>
      <c r="AD42" s="66">
        <f>AD36+AD38</f>
        <v>2304.169151319011</v>
      </c>
      <c r="AE42" s="59"/>
      <c r="AF42" s="66">
        <f>AF36+AF38</f>
        <v>13615.963937471279</v>
      </c>
      <c r="AG42" s="59"/>
      <c r="AH42" s="66">
        <f>AH36+AH38</f>
        <v>7962.176040821749</v>
      </c>
      <c r="AI42" s="59"/>
      <c r="AJ42" s="66">
        <f>AJ36+AJ38</f>
        <v>5686.799752897121</v>
      </c>
      <c r="AK42" s="59"/>
      <c r="AL42" s="66">
        <f>AL36+AL38</f>
        <v>4150.394629670673</v>
      </c>
      <c r="AM42" s="59"/>
      <c r="AN42" s="66">
        <f>AN36+AN38</f>
        <v>10508.35380514957</v>
      </c>
      <c r="AP42" s="66">
        <f t="shared" si="29"/>
        <v>76190.43872489147</v>
      </c>
      <c r="AR42" s="66">
        <f t="shared" si="30"/>
        <v>83320.24786899454</v>
      </c>
      <c r="AT42" s="66">
        <f t="shared" si="31"/>
        <v>95548.99450197569</v>
      </c>
      <c r="AV42" s="66">
        <f t="shared" si="32"/>
        <v>34519.08475142816</v>
      </c>
      <c r="AX42" s="66">
        <f t="shared" si="33"/>
        <v>28449.23809982161</v>
      </c>
      <c r="AZ42" s="66">
        <f t="shared" si="34"/>
        <v>36321.58122270614</v>
      </c>
      <c r="BA42" s="59">
        <v>100</v>
      </c>
      <c r="BB42" s="66">
        <f>BB36+BB38</f>
        <v>1547.9553165900318</v>
      </c>
      <c r="BC42" s="59">
        <v>100</v>
      </c>
      <c r="BD42" s="66">
        <f>BD36+BD38</f>
        <v>1704.8557035229078</v>
      </c>
      <c r="BE42" s="59">
        <v>100</v>
      </c>
      <c r="BF42" s="66">
        <f>BF36+BF38</f>
        <v>1649.1916334094026</v>
      </c>
      <c r="BG42" s="59">
        <v>100</v>
      </c>
      <c r="BH42" s="66">
        <f>BH36+BH38</f>
        <v>2296.504902448674</v>
      </c>
      <c r="BI42" s="59">
        <v>100</v>
      </c>
      <c r="BJ42" s="66">
        <f>BJ36+BJ38</f>
        <v>2031.8873605640772</v>
      </c>
      <c r="BK42" s="59">
        <v>100</v>
      </c>
      <c r="BL42" s="66">
        <f>BL36+BL38</f>
        <v>2116.401560362508</v>
      </c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66">
        <f>CL36+CL38</f>
        <v>0</v>
      </c>
      <c r="CM42" s="59"/>
      <c r="CN42" s="66">
        <f>CN36+CN38</f>
        <v>0</v>
      </c>
      <c r="CO42" s="59"/>
      <c r="CP42" s="66">
        <f>CP36+CP38</f>
        <v>0</v>
      </c>
      <c r="CQ42" s="59"/>
      <c r="CR42" s="66">
        <f>CR36+CR38</f>
        <v>3756.404794284545</v>
      </c>
      <c r="CS42" s="59"/>
      <c r="CT42" s="66">
        <f>CT36+CT38</f>
        <v>2137.4422974232575</v>
      </c>
      <c r="CU42" s="59"/>
      <c r="CV42" s="66">
        <f>CV36+CV38</f>
        <v>3860.7363368343263</v>
      </c>
      <c r="CW42" s="59"/>
      <c r="CX42" s="66">
        <f t="shared" si="35"/>
        <v>0</v>
      </c>
      <c r="CY42" s="59"/>
      <c r="CZ42" s="66">
        <f t="shared" si="36"/>
        <v>0</v>
      </c>
      <c r="DA42" s="59"/>
      <c r="DB42" s="66">
        <f t="shared" si="37"/>
        <v>0</v>
      </c>
      <c r="DC42" s="59"/>
      <c r="DD42" s="66">
        <f t="shared" si="38"/>
        <v>3756.404794284545</v>
      </c>
      <c r="DE42" s="59"/>
      <c r="DF42" s="66">
        <f t="shared" si="39"/>
        <v>2137.4422974232575</v>
      </c>
      <c r="DG42" s="59"/>
      <c r="DH42" s="66">
        <f t="shared" si="40"/>
        <v>3860.7363368343263</v>
      </c>
      <c r="DI42" s="59">
        <f t="shared" si="41"/>
        <v>2.003611448443727</v>
      </c>
      <c r="DJ42" s="66">
        <f t="shared" si="42"/>
        <v>77874.13049205396</v>
      </c>
      <c r="DK42" s="59">
        <f t="shared" si="43"/>
        <v>2.01529972909216</v>
      </c>
      <c r="DL42" s="66">
        <f t="shared" si="44"/>
        <v>85340.2190816994</v>
      </c>
      <c r="DM42" s="59">
        <f t="shared" si="45"/>
        <v>1.7091557141832852</v>
      </c>
      <c r="DN42" s="66">
        <f t="shared" si="46"/>
        <v>97464.14370287443</v>
      </c>
      <c r="DO42" s="59">
        <f t="shared" si="47"/>
        <v>5.675308301537249</v>
      </c>
      <c r="DP42" s="66">
        <f t="shared" si="48"/>
        <v>40750.02657024021</v>
      </c>
      <c r="DQ42" s="59">
        <f t="shared" si="49"/>
        <v>6.229378133546446</v>
      </c>
      <c r="DR42" s="66">
        <f t="shared" si="50"/>
        <v>32844.38057164662</v>
      </c>
      <c r="DS42" s="59">
        <f t="shared" si="51"/>
        <v>5.014447859811664</v>
      </c>
      <c r="DT42" s="66">
        <f t="shared" si="52"/>
        <v>42492.85759908793</v>
      </c>
      <c r="DU42" s="62">
        <f t="shared" si="53"/>
        <v>3.035159758179738</v>
      </c>
      <c r="DV42" s="66">
        <f t="shared" si="54"/>
        <v>62794.29300293376</v>
      </c>
      <c r="DX42" s="66">
        <f>AVERAGE(R42,T42,V42,X42,Z42,AB42)+AVERAGE(AD42,AF42,AH42,AJ42,AL42,AN42)</f>
        <v>59058.264194969604</v>
      </c>
      <c r="DY42" s="66">
        <f>AVERAGE(CL42,CN42,CP42,CR42,CT42,CV42)</f>
        <v>1625.7639047570217</v>
      </c>
      <c r="DZ42" s="66">
        <f>AVERAGE(F42,H42,J42,L42,N42,P42)+AVERAGE(BB42,BD42,BF42,BH42,BJ42,BL42)</f>
        <v>2110.264903207139</v>
      </c>
      <c r="EA42" s="66">
        <f>SUM(DX42,DY42,DZ42)</f>
        <v>62794.293002933766</v>
      </c>
    </row>
    <row r="43" spans="2:131" ht="12.75">
      <c r="B43" s="62" t="s">
        <v>78</v>
      </c>
      <c r="D43" s="62" t="s">
        <v>70</v>
      </c>
      <c r="E43" s="59"/>
      <c r="F43" s="66">
        <f>F33+F35+F37</f>
        <v>1974.3483719629492</v>
      </c>
      <c r="G43" s="59"/>
      <c r="H43" s="66">
        <f>H33+H35+H37</f>
        <v>3488.7788516574055</v>
      </c>
      <c r="I43" s="59"/>
      <c r="J43" s="66">
        <f>J33+J35+J37</f>
        <v>3149.93493995192</v>
      </c>
      <c r="K43" s="59"/>
      <c r="L43" s="66">
        <f>L33+L35+L37</f>
        <v>3787.2287787679325</v>
      </c>
      <c r="M43" s="59"/>
      <c r="N43" s="66">
        <f>N33+N35+N37</f>
        <v>2921.4532790249414</v>
      </c>
      <c r="O43" s="59"/>
      <c r="P43" s="66">
        <f>P33+P35+P37</f>
        <v>4619.776773197799</v>
      </c>
      <c r="Q43" s="59"/>
      <c r="R43" s="66">
        <f>R33+R35+R37</f>
        <v>16444.468943859716</v>
      </c>
      <c r="S43" s="59"/>
      <c r="T43" s="66">
        <f>T33+T35+T37</f>
        <v>26455.851540111747</v>
      </c>
      <c r="U43" s="59"/>
      <c r="V43" s="66">
        <f>V33+V35+V37</f>
        <v>23596.26833091556</v>
      </c>
      <c r="W43" s="59"/>
      <c r="X43" s="66">
        <f>X33+X35+X37</f>
        <v>71398.15228003582</v>
      </c>
      <c r="Y43" s="59"/>
      <c r="Z43" s="66">
        <f>Z33+Z35+Z37</f>
        <v>57279.3165858515</v>
      </c>
      <c r="AA43" s="59"/>
      <c r="AB43" s="66">
        <f>AB33+AB35+AB37</f>
        <v>62559.32733884426</v>
      </c>
      <c r="AC43" s="59"/>
      <c r="AD43" s="66">
        <f>AD33+AD35+AD37</f>
        <v>6589.842257354282</v>
      </c>
      <c r="AE43" s="59"/>
      <c r="AF43" s="66">
        <f>AF33+AF35+AF37</f>
        <v>10267.352415972784</v>
      </c>
      <c r="AG43" s="59"/>
      <c r="AH43" s="66">
        <f>AH33+AH35+AH37</f>
        <v>2966.8503170134945</v>
      </c>
      <c r="AI43" s="59"/>
      <c r="AJ43" s="66">
        <f>AJ33+AJ35+AJ37</f>
        <v>2797.2282952342407</v>
      </c>
      <c r="AK43" s="59"/>
      <c r="AL43" s="66">
        <f>AL33+AL35+AL37</f>
        <v>7736.647147479944</v>
      </c>
      <c r="AM43" s="59"/>
      <c r="AN43" s="66">
        <f>AN33+AN35+AN37</f>
        <v>9023.765434911593</v>
      </c>
      <c r="AP43" s="66">
        <f t="shared" si="29"/>
        <v>23034.311201213997</v>
      </c>
      <c r="AR43" s="66">
        <f t="shared" si="30"/>
        <v>36723.20395608453</v>
      </c>
      <c r="AT43" s="66">
        <f t="shared" si="31"/>
        <v>26563.118647929055</v>
      </c>
      <c r="AV43" s="66">
        <f t="shared" si="32"/>
        <v>74195.38057527006</v>
      </c>
      <c r="AX43" s="66">
        <f t="shared" si="33"/>
        <v>65015.963733331446</v>
      </c>
      <c r="AZ43" s="66">
        <f t="shared" si="34"/>
        <v>71583.09277375585</v>
      </c>
      <c r="BA43" s="59">
        <f>BB33/BB43*100</f>
        <v>39.473684210526315</v>
      </c>
      <c r="BB43" s="66">
        <f>BB33+BB35+BB37</f>
        <v>3460.1354135541887</v>
      </c>
      <c r="BC43" s="59">
        <f>BD33/BD43*100</f>
        <v>42.25352112676056</v>
      </c>
      <c r="BD43" s="66">
        <f>BD33+BD35+BD37</f>
        <v>3560.1398514743078</v>
      </c>
      <c r="BE43" s="59">
        <f>BF33/BF43*100</f>
        <v>40.54054054054054</v>
      </c>
      <c r="BF43" s="66">
        <f>BF33+BF35+BF37</f>
        <v>3589.4170844792884</v>
      </c>
      <c r="BG43" s="59">
        <f>BH33/BH43*100</f>
        <v>57.6923076923077</v>
      </c>
      <c r="BH43" s="66">
        <f>BH33+BH35+BH37</f>
        <v>2211.4491653209443</v>
      </c>
      <c r="BI43" s="59">
        <f>BJ33/BJ43*100</f>
        <v>62.5</v>
      </c>
      <c r="BJ43" s="66">
        <f>BJ33+BJ35+BJ37</f>
        <v>1806.12209827918</v>
      </c>
      <c r="BK43" s="59">
        <f>BL33/BL43*100</f>
        <v>46.15384615384616</v>
      </c>
      <c r="BL43" s="66">
        <f>BL33+BL35+BL37</f>
        <v>2547.520396732648</v>
      </c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66">
        <f>CL33+CL35+CL37</f>
        <v>115173.72668606299</v>
      </c>
      <c r="CM43" s="59"/>
      <c r="CN43" s="66">
        <f>CN33+CN35+CN37</f>
        <v>127309.1100444244</v>
      </c>
      <c r="CO43" s="59"/>
      <c r="CP43" s="66">
        <f>CP33+CP35+CP37</f>
        <v>126534.05570156426</v>
      </c>
      <c r="CQ43" s="59"/>
      <c r="CR43" s="66">
        <f>CR33+CR35+CR37</f>
        <v>133620.68482526456</v>
      </c>
      <c r="CS43" s="59"/>
      <c r="CT43" s="66">
        <f>CT33+CT35+CT37</f>
        <v>71351.1049451301</v>
      </c>
      <c r="CU43" s="59"/>
      <c r="CV43" s="66">
        <f>CV33+CV35+CV37</f>
        <v>129346.9626226023</v>
      </c>
      <c r="CW43" s="59"/>
      <c r="CX43" s="66">
        <f t="shared" si="35"/>
        <v>115173.72668606299</v>
      </c>
      <c r="CY43" s="59"/>
      <c r="CZ43" s="66">
        <f t="shared" si="36"/>
        <v>127309.1100444244</v>
      </c>
      <c r="DA43" s="59"/>
      <c r="DB43" s="66">
        <f t="shared" si="37"/>
        <v>126534.05570156426</v>
      </c>
      <c r="DC43" s="59"/>
      <c r="DD43" s="66">
        <f t="shared" si="38"/>
        <v>133620.68482526456</v>
      </c>
      <c r="DE43" s="59"/>
      <c r="DF43" s="66">
        <f t="shared" si="39"/>
        <v>71351.1049451301</v>
      </c>
      <c r="DG43" s="59"/>
      <c r="DH43" s="66">
        <f t="shared" si="40"/>
        <v>129346.9626226023</v>
      </c>
      <c r="DI43" s="59">
        <f t="shared" si="41"/>
        <v>0.9508625374276338</v>
      </c>
      <c r="DJ43" s="66">
        <f t="shared" si="42"/>
        <v>143642.52167279413</v>
      </c>
      <c r="DK43" s="59">
        <f t="shared" si="43"/>
        <v>0.8792808074341792</v>
      </c>
      <c r="DL43" s="66">
        <f t="shared" si="44"/>
        <v>171081.23270364065</v>
      </c>
      <c r="DM43" s="59">
        <f t="shared" si="45"/>
        <v>0.9104108562132815</v>
      </c>
      <c r="DN43" s="66">
        <f t="shared" si="46"/>
        <v>159836.52637392454</v>
      </c>
      <c r="DO43" s="59">
        <f t="shared" si="47"/>
        <v>0.5967016291573288</v>
      </c>
      <c r="DP43" s="66">
        <f t="shared" si="48"/>
        <v>213814.74334462348</v>
      </c>
      <c r="DQ43" s="59">
        <f t="shared" si="49"/>
        <v>0.8000490160195838</v>
      </c>
      <c r="DR43" s="66">
        <f t="shared" si="50"/>
        <v>141094.64405576568</v>
      </c>
      <c r="DS43" s="59">
        <f t="shared" si="51"/>
        <v>0.5650137448391123</v>
      </c>
      <c r="DT43" s="66">
        <f t="shared" si="52"/>
        <v>208097.3525662886</v>
      </c>
      <c r="DU43" s="62">
        <f t="shared" si="53"/>
        <v>0.7619495718467513</v>
      </c>
      <c r="DV43" s="66">
        <f t="shared" si="54"/>
        <v>172927.83678617285</v>
      </c>
      <c r="DX43" s="66">
        <f>AVERAGE(R43,T43,V43,X43,Z43,AB43)+AVERAGE(AD43,AF43,AH43,AJ43,AL43,AN43)</f>
        <v>49519.17848126415</v>
      </c>
      <c r="DY43" s="66">
        <f>AVERAGE(CL43,CN43,CP43,CR43,CT43,CV43)</f>
        <v>117222.60747084142</v>
      </c>
      <c r="DZ43" s="66">
        <f>AVERAGE(F43,H43,J43,L43,N43,P43)+AVERAGE(BB43,BD43,BF43,BH43,BJ43,BL43)</f>
        <v>6186.050834067251</v>
      </c>
      <c r="EA43" s="66">
        <f>SUM(DX43,DY43,DZ43)</f>
        <v>172927.83678617282</v>
      </c>
    </row>
    <row r="44" spans="5:113" ht="12.75"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</row>
    <row r="45" spans="5:113" ht="12.75"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</row>
    <row r="46" spans="5:113" ht="12.75"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</row>
    <row r="47" spans="2:126" ht="12.75">
      <c r="B47" s="29" t="s">
        <v>176</v>
      </c>
      <c r="C47" s="29"/>
      <c r="D47" s="29"/>
      <c r="E47" s="59"/>
      <c r="F47" s="72" t="s">
        <v>140</v>
      </c>
      <c r="G47" s="72"/>
      <c r="H47" s="72" t="s">
        <v>141</v>
      </c>
      <c r="I47" s="72"/>
      <c r="J47" s="72" t="s">
        <v>142</v>
      </c>
      <c r="K47" s="72"/>
      <c r="L47" s="72" t="s">
        <v>143</v>
      </c>
      <c r="M47" s="72"/>
      <c r="N47" s="72" t="s">
        <v>154</v>
      </c>
      <c r="O47" s="72"/>
      <c r="P47" s="72" t="s">
        <v>153</v>
      </c>
      <c r="Q47" s="72"/>
      <c r="R47" s="72" t="s">
        <v>140</v>
      </c>
      <c r="S47" s="72"/>
      <c r="T47" s="72" t="s">
        <v>141</v>
      </c>
      <c r="U47" s="72"/>
      <c r="V47" s="72" t="s">
        <v>142</v>
      </c>
      <c r="W47" s="72"/>
      <c r="X47" s="72" t="s">
        <v>143</v>
      </c>
      <c r="Y47" s="72"/>
      <c r="Z47" s="72" t="s">
        <v>154</v>
      </c>
      <c r="AA47" s="72"/>
      <c r="AB47" s="72" t="s">
        <v>153</v>
      </c>
      <c r="AC47" s="72"/>
      <c r="AD47" s="72" t="s">
        <v>140</v>
      </c>
      <c r="AE47" s="72"/>
      <c r="AF47" s="72" t="s">
        <v>141</v>
      </c>
      <c r="AG47" s="72"/>
      <c r="AH47" s="72" t="s">
        <v>142</v>
      </c>
      <c r="AI47" s="72"/>
      <c r="AJ47" s="72" t="s">
        <v>143</v>
      </c>
      <c r="AK47" s="72"/>
      <c r="AL47" s="72" t="s">
        <v>154</v>
      </c>
      <c r="AM47" s="72"/>
      <c r="AN47" s="72" t="s">
        <v>153</v>
      </c>
      <c r="AO47" s="72"/>
      <c r="AP47" s="72" t="s">
        <v>140</v>
      </c>
      <c r="AQ47" s="72"/>
      <c r="AR47" s="72" t="s">
        <v>141</v>
      </c>
      <c r="AS47" s="72"/>
      <c r="AT47" s="72" t="s">
        <v>142</v>
      </c>
      <c r="AU47" s="72"/>
      <c r="AV47" s="72" t="s">
        <v>143</v>
      </c>
      <c r="AW47" s="72"/>
      <c r="AX47" s="72" t="s">
        <v>154</v>
      </c>
      <c r="AY47" s="72"/>
      <c r="AZ47" s="72" t="s">
        <v>153</v>
      </c>
      <c r="BA47" s="72"/>
      <c r="BB47" s="72" t="s">
        <v>140</v>
      </c>
      <c r="BC47" s="72"/>
      <c r="BD47" s="72" t="s">
        <v>141</v>
      </c>
      <c r="BE47" s="72"/>
      <c r="BF47" s="72" t="s">
        <v>142</v>
      </c>
      <c r="BG47" s="72"/>
      <c r="BH47" s="72" t="s">
        <v>143</v>
      </c>
      <c r="BI47" s="72"/>
      <c r="BJ47" s="72" t="s">
        <v>154</v>
      </c>
      <c r="BK47" s="72"/>
      <c r="BL47" s="72" t="s">
        <v>153</v>
      </c>
      <c r="BM47" s="72"/>
      <c r="BN47" s="72" t="s">
        <v>140</v>
      </c>
      <c r="BO47" s="72"/>
      <c r="BP47" s="72" t="s">
        <v>141</v>
      </c>
      <c r="BQ47" s="72"/>
      <c r="BR47" s="72" t="s">
        <v>142</v>
      </c>
      <c r="BS47" s="72"/>
      <c r="BT47" s="72" t="s">
        <v>143</v>
      </c>
      <c r="BU47" s="72"/>
      <c r="BV47" s="72" t="s">
        <v>154</v>
      </c>
      <c r="BW47" s="72"/>
      <c r="BX47" s="72" t="s">
        <v>153</v>
      </c>
      <c r="BY47" s="72"/>
      <c r="BZ47" s="72" t="s">
        <v>140</v>
      </c>
      <c r="CA47" s="72"/>
      <c r="CB47" s="72" t="s">
        <v>141</v>
      </c>
      <c r="CC47" s="72"/>
      <c r="CD47" s="72" t="s">
        <v>142</v>
      </c>
      <c r="CE47" s="72"/>
      <c r="CF47" s="72" t="s">
        <v>143</v>
      </c>
      <c r="CG47" s="72"/>
      <c r="CH47" s="72" t="s">
        <v>154</v>
      </c>
      <c r="CI47" s="72"/>
      <c r="CJ47" s="72" t="s">
        <v>153</v>
      </c>
      <c r="CK47" s="72"/>
      <c r="CL47" s="72" t="s">
        <v>140</v>
      </c>
      <c r="CM47" s="72"/>
      <c r="CN47" s="72" t="s">
        <v>141</v>
      </c>
      <c r="CO47" s="72"/>
      <c r="CP47" s="72" t="s">
        <v>142</v>
      </c>
      <c r="CQ47" s="72"/>
      <c r="CR47" s="72" t="s">
        <v>143</v>
      </c>
      <c r="CS47" s="72"/>
      <c r="CT47" s="72" t="s">
        <v>154</v>
      </c>
      <c r="CU47" s="72"/>
      <c r="CV47" s="72" t="s">
        <v>153</v>
      </c>
      <c r="CW47" s="72"/>
      <c r="CX47" s="59" t="s">
        <v>140</v>
      </c>
      <c r="CY47" s="59"/>
      <c r="CZ47" s="59" t="s">
        <v>141</v>
      </c>
      <c r="DA47" s="59"/>
      <c r="DB47" s="59" t="s">
        <v>142</v>
      </c>
      <c r="DC47" s="59"/>
      <c r="DD47" s="59" t="s">
        <v>143</v>
      </c>
      <c r="DE47" s="59"/>
      <c r="DF47" s="59" t="s">
        <v>154</v>
      </c>
      <c r="DG47" s="59"/>
      <c r="DH47" s="59" t="s">
        <v>153</v>
      </c>
      <c r="DI47" s="72"/>
      <c r="DJ47" s="72" t="s">
        <v>140</v>
      </c>
      <c r="DK47" s="72"/>
      <c r="DL47" s="72" t="s">
        <v>141</v>
      </c>
      <c r="DM47" s="72"/>
      <c r="DN47" s="72" t="s">
        <v>142</v>
      </c>
      <c r="DO47" s="72"/>
      <c r="DP47" s="72" t="s">
        <v>143</v>
      </c>
      <c r="DQ47" s="72"/>
      <c r="DR47" s="72" t="s">
        <v>154</v>
      </c>
      <c r="DS47" s="72"/>
      <c r="DT47" s="72" t="s">
        <v>153</v>
      </c>
      <c r="DU47" s="72"/>
      <c r="DV47" s="72" t="s">
        <v>71</v>
      </c>
    </row>
    <row r="48" spans="5:113" ht="12.75"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</row>
    <row r="49" spans="2:126" ht="12.75">
      <c r="B49" s="62" t="s">
        <v>309</v>
      </c>
      <c r="E49" s="59"/>
      <c r="F49" s="59" t="s">
        <v>310</v>
      </c>
      <c r="G49" s="59"/>
      <c r="H49" s="59" t="s">
        <v>310</v>
      </c>
      <c r="I49" s="59"/>
      <c r="J49" s="59" t="s">
        <v>310</v>
      </c>
      <c r="K49" s="59"/>
      <c r="L49" s="59" t="s">
        <v>310</v>
      </c>
      <c r="M49" s="59"/>
      <c r="N49" s="59" t="s">
        <v>310</v>
      </c>
      <c r="O49" s="59"/>
      <c r="P49" s="59" t="s">
        <v>310</v>
      </c>
      <c r="Q49" s="59"/>
      <c r="R49" s="59" t="s">
        <v>312</v>
      </c>
      <c r="S49" s="59"/>
      <c r="T49" s="59" t="s">
        <v>312</v>
      </c>
      <c r="U49" s="59"/>
      <c r="V49" s="59" t="s">
        <v>312</v>
      </c>
      <c r="W49" s="59"/>
      <c r="X49" s="59" t="s">
        <v>312</v>
      </c>
      <c r="Y49" s="59"/>
      <c r="Z49" s="59"/>
      <c r="AA49" s="59"/>
      <c r="AB49" s="59"/>
      <c r="AC49" s="59"/>
      <c r="AD49" s="59" t="s">
        <v>313</v>
      </c>
      <c r="AE49" s="59"/>
      <c r="AF49" s="59" t="s">
        <v>313</v>
      </c>
      <c r="AG49" s="59"/>
      <c r="AH49" s="59" t="s">
        <v>313</v>
      </c>
      <c r="AI49" s="59"/>
      <c r="AJ49" s="59" t="s">
        <v>313</v>
      </c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 t="s">
        <v>315</v>
      </c>
      <c r="BC49" s="59"/>
      <c r="BD49" s="59" t="s">
        <v>315</v>
      </c>
      <c r="BE49" s="59"/>
      <c r="BF49" s="59" t="s">
        <v>315</v>
      </c>
      <c r="BG49" s="59"/>
      <c r="BH49" s="59" t="s">
        <v>315</v>
      </c>
      <c r="BI49" s="59"/>
      <c r="BJ49" s="59"/>
      <c r="BK49" s="59"/>
      <c r="BL49" s="59"/>
      <c r="BM49" s="59"/>
      <c r="BN49" s="59" t="s">
        <v>317</v>
      </c>
      <c r="BO49" s="59"/>
      <c r="BP49" s="59" t="s">
        <v>317</v>
      </c>
      <c r="BQ49" s="59"/>
      <c r="BR49" s="59" t="s">
        <v>317</v>
      </c>
      <c r="BS49" s="59"/>
      <c r="BT49" s="59" t="s">
        <v>317</v>
      </c>
      <c r="BU49" s="59"/>
      <c r="BV49" s="59"/>
      <c r="BW49" s="59"/>
      <c r="BX49" s="59"/>
      <c r="BY49" s="59"/>
      <c r="BZ49" s="59" t="s">
        <v>318</v>
      </c>
      <c r="CA49" s="59"/>
      <c r="CB49" s="59" t="s">
        <v>318</v>
      </c>
      <c r="CC49" s="59"/>
      <c r="CD49" s="59" t="s">
        <v>318</v>
      </c>
      <c r="CE49" s="59"/>
      <c r="CF49" s="59" t="s">
        <v>318</v>
      </c>
      <c r="CG49" s="59"/>
      <c r="CH49" s="59"/>
      <c r="CI49" s="59"/>
      <c r="CJ49" s="59"/>
      <c r="CK49" s="59"/>
      <c r="CL49" s="59" t="s">
        <v>320</v>
      </c>
      <c r="CM49" s="59"/>
      <c r="CN49" s="59" t="s">
        <v>320</v>
      </c>
      <c r="CO49" s="59"/>
      <c r="CP49" s="59" t="s">
        <v>320</v>
      </c>
      <c r="CQ49" s="59"/>
      <c r="CR49" s="59" t="s">
        <v>320</v>
      </c>
      <c r="CS49" s="59"/>
      <c r="CT49" s="59" t="s">
        <v>320</v>
      </c>
      <c r="CU49" s="59"/>
      <c r="CV49" s="59" t="s">
        <v>320</v>
      </c>
      <c r="CW49" s="59"/>
      <c r="DI49" s="59"/>
      <c r="DJ49" s="62" t="s">
        <v>321</v>
      </c>
      <c r="DL49" s="62" t="s">
        <v>321</v>
      </c>
      <c r="DN49" s="62" t="s">
        <v>321</v>
      </c>
      <c r="DP49" s="62" t="s">
        <v>321</v>
      </c>
      <c r="DR49" s="62" t="s">
        <v>321</v>
      </c>
      <c r="DT49" s="62" t="s">
        <v>321</v>
      </c>
      <c r="DV49" s="62" t="s">
        <v>321</v>
      </c>
    </row>
    <row r="50" spans="2:126" ht="12.75">
      <c r="B50" s="62" t="s">
        <v>308</v>
      </c>
      <c r="E50" s="59"/>
      <c r="F50" s="59" t="s">
        <v>136</v>
      </c>
      <c r="G50" s="59"/>
      <c r="H50" s="59" t="s">
        <v>136</v>
      </c>
      <c r="I50" s="59"/>
      <c r="J50" s="59" t="s">
        <v>136</v>
      </c>
      <c r="K50" s="59"/>
      <c r="L50" s="59" t="s">
        <v>136</v>
      </c>
      <c r="M50" s="59"/>
      <c r="N50" s="59" t="s">
        <v>136</v>
      </c>
      <c r="O50" s="59"/>
      <c r="P50" s="59" t="s">
        <v>136</v>
      </c>
      <c r="Q50" s="59"/>
      <c r="R50" s="59" t="s">
        <v>319</v>
      </c>
      <c r="S50" s="59"/>
      <c r="T50" s="59" t="s">
        <v>319</v>
      </c>
      <c r="U50" s="59"/>
      <c r="V50" s="59" t="s">
        <v>319</v>
      </c>
      <c r="W50" s="59"/>
      <c r="X50" s="59" t="s">
        <v>319</v>
      </c>
      <c r="Y50" s="59"/>
      <c r="Z50" s="59"/>
      <c r="AA50" s="59"/>
      <c r="AB50" s="59"/>
      <c r="AC50" s="59"/>
      <c r="AD50" s="59" t="s">
        <v>316</v>
      </c>
      <c r="AE50" s="59"/>
      <c r="AF50" s="59" t="s">
        <v>316</v>
      </c>
      <c r="AG50" s="59"/>
      <c r="AH50" s="59" t="s">
        <v>316</v>
      </c>
      <c r="AI50" s="59"/>
      <c r="AJ50" s="59" t="s">
        <v>316</v>
      </c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 t="s">
        <v>201</v>
      </c>
      <c r="BC50" s="59"/>
      <c r="BD50" s="59" t="s">
        <v>201</v>
      </c>
      <c r="BE50" s="59"/>
      <c r="BF50" s="59" t="s">
        <v>201</v>
      </c>
      <c r="BG50" s="59"/>
      <c r="BH50" s="59" t="s">
        <v>201</v>
      </c>
      <c r="BI50" s="59"/>
      <c r="BJ50" s="59"/>
      <c r="BK50" s="59"/>
      <c r="BL50" s="59"/>
      <c r="BM50" s="59"/>
      <c r="BN50" s="59" t="s">
        <v>67</v>
      </c>
      <c r="BO50" s="59"/>
      <c r="BP50" s="59" t="s">
        <v>67</v>
      </c>
      <c r="BQ50" s="59"/>
      <c r="BR50" s="59" t="s">
        <v>67</v>
      </c>
      <c r="BS50" s="59"/>
      <c r="BT50" s="59" t="s">
        <v>67</v>
      </c>
      <c r="BU50" s="59"/>
      <c r="BV50" s="59"/>
      <c r="BW50" s="59"/>
      <c r="BX50" s="59"/>
      <c r="BY50" s="59"/>
      <c r="BZ50" s="59" t="s">
        <v>67</v>
      </c>
      <c r="CA50" s="59"/>
      <c r="CB50" s="59" t="s">
        <v>67</v>
      </c>
      <c r="CC50" s="59"/>
      <c r="CD50" s="59" t="s">
        <v>67</v>
      </c>
      <c r="CE50" s="59"/>
      <c r="CF50" s="59" t="s">
        <v>67</v>
      </c>
      <c r="CG50" s="59"/>
      <c r="CH50" s="59"/>
      <c r="CI50" s="59"/>
      <c r="CJ50" s="59"/>
      <c r="CK50" s="59"/>
      <c r="CL50" s="59" t="s">
        <v>67</v>
      </c>
      <c r="CM50" s="59"/>
      <c r="CN50" s="59" t="s">
        <v>67</v>
      </c>
      <c r="CO50" s="59"/>
      <c r="CP50" s="59" t="s">
        <v>67</v>
      </c>
      <c r="CQ50" s="59"/>
      <c r="CR50" s="59" t="s">
        <v>67</v>
      </c>
      <c r="CS50" s="59"/>
      <c r="CT50" s="59" t="s">
        <v>67</v>
      </c>
      <c r="CU50" s="59"/>
      <c r="CV50" s="59" t="s">
        <v>67</v>
      </c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62" t="s">
        <v>31</v>
      </c>
      <c r="DL50" s="62" t="s">
        <v>31</v>
      </c>
      <c r="DN50" s="62" t="s">
        <v>31</v>
      </c>
      <c r="DP50" s="62" t="s">
        <v>31</v>
      </c>
      <c r="DR50" s="62" t="s">
        <v>31</v>
      </c>
      <c r="DT50" s="62" t="s">
        <v>31</v>
      </c>
      <c r="DV50" s="62" t="s">
        <v>31</v>
      </c>
    </row>
    <row r="51" spans="2:126" ht="12.75">
      <c r="B51" s="30" t="s">
        <v>322</v>
      </c>
      <c r="C51" s="30"/>
      <c r="E51" s="59"/>
      <c r="F51" s="59" t="s">
        <v>136</v>
      </c>
      <c r="G51" s="59"/>
      <c r="H51" s="59" t="s">
        <v>136</v>
      </c>
      <c r="I51" s="59"/>
      <c r="J51" s="59" t="s">
        <v>136</v>
      </c>
      <c r="K51" s="59"/>
      <c r="L51" s="59" t="s">
        <v>136</v>
      </c>
      <c r="M51" s="59"/>
      <c r="N51" s="59" t="s">
        <v>136</v>
      </c>
      <c r="O51" s="59"/>
      <c r="P51" s="59" t="s">
        <v>136</v>
      </c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 t="s">
        <v>79</v>
      </c>
      <c r="AQ51" s="59"/>
      <c r="AR51" s="59" t="s">
        <v>79</v>
      </c>
      <c r="AS51" s="59"/>
      <c r="AT51" s="59" t="s">
        <v>79</v>
      </c>
      <c r="AU51" s="59"/>
      <c r="AV51" s="59" t="s">
        <v>79</v>
      </c>
      <c r="AW51" s="59"/>
      <c r="AX51" s="59" t="s">
        <v>79</v>
      </c>
      <c r="AY51" s="59"/>
      <c r="AZ51" s="59" t="s">
        <v>79</v>
      </c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 t="s">
        <v>67</v>
      </c>
      <c r="CY51" s="59"/>
      <c r="CZ51" s="59" t="s">
        <v>67</v>
      </c>
      <c r="DA51" s="59"/>
      <c r="DB51" s="59" t="s">
        <v>67</v>
      </c>
      <c r="DC51" s="59"/>
      <c r="DD51" s="59" t="s">
        <v>67</v>
      </c>
      <c r="DE51" s="59"/>
      <c r="DF51" s="59" t="s">
        <v>67</v>
      </c>
      <c r="DG51" s="59"/>
      <c r="DH51" s="59" t="s">
        <v>67</v>
      </c>
      <c r="DI51" s="59"/>
      <c r="DJ51" s="62" t="s">
        <v>31</v>
      </c>
      <c r="DL51" s="62" t="s">
        <v>31</v>
      </c>
      <c r="DN51" s="62" t="s">
        <v>31</v>
      </c>
      <c r="DP51" s="62" t="s">
        <v>31</v>
      </c>
      <c r="DR51" s="62" t="s">
        <v>31</v>
      </c>
      <c r="DT51" s="62" t="s">
        <v>31</v>
      </c>
      <c r="DV51" s="62" t="s">
        <v>31</v>
      </c>
    </row>
    <row r="52" spans="2:126" ht="12.75">
      <c r="B52" s="62" t="s">
        <v>109</v>
      </c>
      <c r="F52" s="62" t="s">
        <v>136</v>
      </c>
      <c r="H52" s="59" t="s">
        <v>136</v>
      </c>
      <c r="J52" s="59" t="s">
        <v>136</v>
      </c>
      <c r="L52" s="59" t="s">
        <v>136</v>
      </c>
      <c r="N52" s="59" t="s">
        <v>136</v>
      </c>
      <c r="P52" s="59" t="s">
        <v>136</v>
      </c>
      <c r="R52" s="62" t="s">
        <v>199</v>
      </c>
      <c r="AD52" s="62" t="s">
        <v>200</v>
      </c>
      <c r="BB52" s="62" t="s">
        <v>201</v>
      </c>
      <c r="BN52" s="62" t="s">
        <v>202</v>
      </c>
      <c r="BZ52" s="62" t="s">
        <v>202</v>
      </c>
      <c r="CL52" s="62" t="s">
        <v>203</v>
      </c>
      <c r="DJ52" s="62" t="s">
        <v>31</v>
      </c>
      <c r="DL52" s="62" t="s">
        <v>31</v>
      </c>
      <c r="DN52" s="62" t="s">
        <v>31</v>
      </c>
      <c r="DP52" s="62" t="s">
        <v>31</v>
      </c>
      <c r="DR52" s="62" t="s">
        <v>31</v>
      </c>
      <c r="DT52" s="62" t="s">
        <v>31</v>
      </c>
      <c r="DV52" s="62" t="s">
        <v>31</v>
      </c>
    </row>
    <row r="53" spans="1:113" ht="12.75">
      <c r="A53" s="62" t="s">
        <v>176</v>
      </c>
      <c r="B53" s="62" t="s">
        <v>204</v>
      </c>
      <c r="D53" s="62" t="s">
        <v>205</v>
      </c>
      <c r="E53" s="59"/>
      <c r="F53" s="59">
        <v>11300</v>
      </c>
      <c r="G53" s="59"/>
      <c r="H53" s="59">
        <v>9427</v>
      </c>
      <c r="I53" s="59"/>
      <c r="J53" s="59">
        <v>10661</v>
      </c>
      <c r="K53" s="59"/>
      <c r="L53" s="59">
        <v>13326</v>
      </c>
      <c r="M53" s="59"/>
      <c r="N53" s="59"/>
      <c r="O53" s="59"/>
      <c r="P53" s="59"/>
      <c r="Q53" s="59"/>
      <c r="R53" s="59">
        <v>16880</v>
      </c>
      <c r="S53" s="59"/>
      <c r="T53" s="59">
        <v>19140</v>
      </c>
      <c r="U53" s="59"/>
      <c r="V53" s="59">
        <v>14980</v>
      </c>
      <c r="W53" s="59"/>
      <c r="X53" s="59">
        <v>14440</v>
      </c>
      <c r="Y53" s="59"/>
      <c r="Z53" s="59"/>
      <c r="AA53" s="59"/>
      <c r="AB53" s="59"/>
      <c r="AC53" s="59"/>
      <c r="AD53" s="59">
        <v>4760</v>
      </c>
      <c r="AE53" s="59"/>
      <c r="AF53" s="59">
        <v>5140</v>
      </c>
      <c r="AG53" s="59"/>
      <c r="AH53" s="59">
        <v>4340</v>
      </c>
      <c r="AI53" s="59"/>
      <c r="AJ53" s="59">
        <v>4300</v>
      </c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>
        <v>179380</v>
      </c>
      <c r="BD53">
        <v>179220</v>
      </c>
      <c r="BF53">
        <v>178400</v>
      </c>
      <c r="BG53" s="59"/>
      <c r="BH53">
        <v>178800</v>
      </c>
      <c r="BI53" s="59"/>
      <c r="BJ53" s="59"/>
      <c r="BK53" s="59"/>
      <c r="BL53" s="59"/>
      <c r="BM53" s="59"/>
      <c r="BN53" s="59">
        <v>96</v>
      </c>
      <c r="BO53" s="59"/>
      <c r="BP53" s="59">
        <v>113</v>
      </c>
      <c r="BQ53" s="59"/>
      <c r="BR53" s="59">
        <v>109</v>
      </c>
      <c r="BS53" s="59"/>
      <c r="BT53" s="59">
        <v>101</v>
      </c>
      <c r="BU53" s="59"/>
      <c r="BV53" s="59"/>
      <c r="BW53" s="59"/>
      <c r="BX53" s="59"/>
      <c r="BY53" s="59"/>
      <c r="BZ53" s="59">
        <v>134</v>
      </c>
      <c r="CA53" s="59"/>
      <c r="CB53" s="59">
        <v>127</v>
      </c>
      <c r="CC53" s="59"/>
      <c r="CD53" s="59">
        <v>147</v>
      </c>
      <c r="CE53" s="59"/>
      <c r="CF53" s="59">
        <v>136</v>
      </c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</row>
    <row r="54" spans="1:113" ht="12.75">
      <c r="A54" s="62" t="s">
        <v>176</v>
      </c>
      <c r="B54" s="62" t="s">
        <v>206</v>
      </c>
      <c r="D54" s="62" t="s">
        <v>207</v>
      </c>
      <c r="E54" s="59"/>
      <c r="F54" s="66">
        <f>F55*1000000/F53</f>
        <v>13362.83185840708</v>
      </c>
      <c r="G54" s="66"/>
      <c r="H54" s="66">
        <f>H55*1000000/H53</f>
        <v>13365.864007637636</v>
      </c>
      <c r="I54" s="66"/>
      <c r="J54" s="66">
        <f>J55*1000000/J53</f>
        <v>13319.576024763155</v>
      </c>
      <c r="K54" s="66"/>
      <c r="L54" s="66">
        <f>L55*1000000/L53</f>
        <v>13357.34654059733</v>
      </c>
      <c r="M54" s="59"/>
      <c r="N54" s="59"/>
      <c r="O54" s="59"/>
      <c r="P54" s="59"/>
      <c r="Q54" s="59"/>
      <c r="R54" s="66">
        <f>R55*1000000/R53</f>
        <v>17239.336492890994</v>
      </c>
      <c r="S54" s="59"/>
      <c r="T54" s="66">
        <f>T55*1000000/T53</f>
        <v>16039.707419017765</v>
      </c>
      <c r="U54" s="59"/>
      <c r="V54" s="66">
        <f>V55*1000000/V53</f>
        <v>15020.026702269693</v>
      </c>
      <c r="W54" s="59"/>
      <c r="X54" s="66">
        <f>X55*1000000/X53</f>
        <v>12811.634349030472</v>
      </c>
      <c r="Y54" s="59"/>
      <c r="Z54" s="59"/>
      <c r="AA54" s="59"/>
      <c r="AB54" s="59"/>
      <c r="AC54" s="59"/>
      <c r="AD54" s="66">
        <f>AD55*1000000/AD53</f>
        <v>8445.378151260504</v>
      </c>
      <c r="AE54" s="59"/>
      <c r="AF54" s="66">
        <f>AF55*1000000/AF53</f>
        <v>6381.322957198443</v>
      </c>
      <c r="AG54" s="59"/>
      <c r="AH54" s="66">
        <f>AH55*1000000/AH53</f>
        <v>6682.027649769585</v>
      </c>
      <c r="AI54" s="59"/>
      <c r="AJ54" s="66">
        <f>AJ55*1000000/AJ53</f>
        <v>7232.558139534884</v>
      </c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/>
      <c r="BO54"/>
      <c r="BP54"/>
      <c r="BQ54"/>
      <c r="BR54"/>
      <c r="BS54"/>
      <c r="BT54"/>
      <c r="BU54" s="59"/>
      <c r="BV54" s="59"/>
      <c r="BW54" s="59"/>
      <c r="BX54" s="59"/>
      <c r="BY54" s="59"/>
      <c r="BZ54" s="59">
        <v>0</v>
      </c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</row>
    <row r="55" spans="2:126" ht="12.75">
      <c r="B55" s="62" t="s">
        <v>111</v>
      </c>
      <c r="D55" s="62" t="s">
        <v>167</v>
      </c>
      <c r="E55" s="59"/>
      <c r="F55" s="66">
        <v>151</v>
      </c>
      <c r="G55" s="66"/>
      <c r="H55" s="66">
        <v>126</v>
      </c>
      <c r="I55" s="66"/>
      <c r="J55" s="66">
        <v>142</v>
      </c>
      <c r="K55" s="66"/>
      <c r="L55" s="66">
        <v>178</v>
      </c>
      <c r="M55" s="59"/>
      <c r="N55" s="59"/>
      <c r="O55" s="59"/>
      <c r="P55" s="59"/>
      <c r="Q55" s="59"/>
      <c r="R55" s="59">
        <v>291</v>
      </c>
      <c r="S55" s="59"/>
      <c r="T55" s="59">
        <v>307</v>
      </c>
      <c r="U55" s="59"/>
      <c r="V55" s="59">
        <v>225</v>
      </c>
      <c r="W55" s="59"/>
      <c r="X55" s="59">
        <v>185</v>
      </c>
      <c r="Y55" s="59"/>
      <c r="Z55" s="59"/>
      <c r="AA55" s="59"/>
      <c r="AB55" s="59"/>
      <c r="AC55" s="59"/>
      <c r="AD55" s="59">
        <v>40.2</v>
      </c>
      <c r="AE55" s="59"/>
      <c r="AF55" s="59">
        <v>32.8</v>
      </c>
      <c r="AG55" s="59"/>
      <c r="AH55" s="59">
        <v>29</v>
      </c>
      <c r="AI55" s="59"/>
      <c r="AJ55" s="59">
        <v>31.1</v>
      </c>
      <c r="AK55" s="59"/>
      <c r="AL55" s="59"/>
      <c r="AM55" s="59"/>
      <c r="AN55" s="59"/>
      <c r="AO55" s="59"/>
      <c r="AP55" s="59">
        <f>AD55+R55</f>
        <v>331.2</v>
      </c>
      <c r="AQ55" s="59"/>
      <c r="AR55" s="59">
        <f>AF55+T55</f>
        <v>339.8</v>
      </c>
      <c r="AS55" s="59"/>
      <c r="AT55" s="59">
        <f>AH55+V55</f>
        <v>254</v>
      </c>
      <c r="AU55" s="59"/>
      <c r="AV55" s="59">
        <f>AJ55+X55</f>
        <v>216.1</v>
      </c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/>
      <c r="BO55"/>
      <c r="BP55"/>
      <c r="BQ55"/>
      <c r="BR55"/>
      <c r="BS55"/>
      <c r="BT55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61">
        <f>AP55+F55</f>
        <v>482.2</v>
      </c>
      <c r="DK55" s="61"/>
      <c r="DL55" s="61">
        <f>AR55+H55</f>
        <v>465.8</v>
      </c>
      <c r="DM55" s="61"/>
      <c r="DN55" s="61">
        <f>AT55+J55</f>
        <v>396</v>
      </c>
      <c r="DO55" s="61"/>
      <c r="DP55" s="61">
        <f>AV55+L55</f>
        <v>394.1</v>
      </c>
      <c r="DQ55" s="61"/>
      <c r="DR55" s="61"/>
      <c r="DS55" s="61"/>
      <c r="DT55" s="61"/>
      <c r="DU55" s="61"/>
      <c r="DV55" s="61">
        <f>AVERAGE(DJ55,DL55,DN55,DP55)</f>
        <v>434.525</v>
      </c>
    </row>
    <row r="56" spans="1:113" ht="12.75">
      <c r="A56" s="62" t="s">
        <v>176</v>
      </c>
      <c r="B56" s="62" t="s">
        <v>22</v>
      </c>
      <c r="D56" s="62" t="s">
        <v>205</v>
      </c>
      <c r="E56" s="59">
        <v>1</v>
      </c>
      <c r="F56" s="59">
        <v>14.3</v>
      </c>
      <c r="G56" s="59">
        <v>1</v>
      </c>
      <c r="H56" s="59">
        <v>21.16</v>
      </c>
      <c r="I56" s="59">
        <v>1</v>
      </c>
      <c r="J56" s="59">
        <v>11.12</v>
      </c>
      <c r="K56" s="59">
        <v>1</v>
      </c>
      <c r="L56" s="59">
        <v>18.96</v>
      </c>
      <c r="M56" s="59"/>
      <c r="N56" s="59"/>
      <c r="O56" s="59"/>
      <c r="P56" s="59"/>
      <c r="Q56" s="59"/>
      <c r="R56" s="59">
        <v>388</v>
      </c>
      <c r="S56" s="59"/>
      <c r="T56" s="59">
        <v>402</v>
      </c>
      <c r="U56" s="59"/>
      <c r="V56" s="59">
        <v>135</v>
      </c>
      <c r="W56" s="59"/>
      <c r="X56" s="59">
        <v>534</v>
      </c>
      <c r="Y56" s="59"/>
      <c r="Z56" s="59"/>
      <c r="AA56" s="59"/>
      <c r="AB56" s="59"/>
      <c r="AC56" s="59"/>
      <c r="AD56" s="59">
        <v>114</v>
      </c>
      <c r="AE56" s="59"/>
      <c r="AF56" s="59">
        <v>283</v>
      </c>
      <c r="AG56" s="59"/>
      <c r="AH56" s="59">
        <v>104</v>
      </c>
      <c r="AI56" s="59"/>
      <c r="AJ56" s="59">
        <v>267</v>
      </c>
      <c r="AK56" s="59"/>
      <c r="AL56" s="59"/>
      <c r="AM56" s="59"/>
      <c r="AN56" s="59"/>
      <c r="AO56" s="59">
        <v>1</v>
      </c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>
        <v>179.38</v>
      </c>
      <c r="BC56" s="59">
        <v>1</v>
      </c>
      <c r="BD56" s="59">
        <v>179.22</v>
      </c>
      <c r="BE56" s="59">
        <v>1</v>
      </c>
      <c r="BF56" s="59">
        <v>178.4</v>
      </c>
      <c r="BG56" s="59">
        <v>1</v>
      </c>
      <c r="BH56" s="59">
        <v>178.8</v>
      </c>
      <c r="BI56" s="59"/>
      <c r="BJ56" s="59"/>
      <c r="BK56" s="59"/>
      <c r="BL56" s="59"/>
      <c r="BM56" s="59"/>
      <c r="BN56" s="59">
        <v>76.512</v>
      </c>
      <c r="BO56" s="59"/>
      <c r="BP56" s="59">
        <v>90.061</v>
      </c>
      <c r="BQ56" s="59"/>
      <c r="BR56" s="59">
        <v>86.873</v>
      </c>
      <c r="BS56" s="59"/>
      <c r="BT56" s="59">
        <v>80.497</v>
      </c>
      <c r="BU56" s="59"/>
      <c r="BV56" s="59"/>
      <c r="BW56" s="59"/>
      <c r="BX56" s="59"/>
      <c r="BY56" s="59"/>
      <c r="BZ56" s="59">
        <v>78.524</v>
      </c>
      <c r="CA56" s="59"/>
      <c r="CB56" s="59">
        <v>74.422</v>
      </c>
      <c r="CC56" s="59"/>
      <c r="CD56" s="59">
        <v>86.142</v>
      </c>
      <c r="CE56" s="59"/>
      <c r="CF56" s="59">
        <v>79.696</v>
      </c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</row>
    <row r="57" spans="5:113" ht="12.75"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</row>
    <row r="58" spans="2:126" ht="12.75">
      <c r="B58" s="62" t="s">
        <v>208</v>
      </c>
      <c r="E58" s="59"/>
      <c r="F58" s="59">
        <f>'emiss 2'!$G$68</f>
        <v>89630</v>
      </c>
      <c r="G58" s="59"/>
      <c r="H58" s="59">
        <f>'emiss 2'!$I$68</f>
        <v>98575</v>
      </c>
      <c r="I58" s="59"/>
      <c r="J58" s="59">
        <f>'emiss 2'!$K$68</f>
        <v>89497</v>
      </c>
      <c r="K58" s="59"/>
      <c r="L58" s="59">
        <f>'emiss 2'!$M$68</f>
        <v>88539</v>
      </c>
      <c r="M58" s="59"/>
      <c r="N58" s="59"/>
      <c r="O58" s="59"/>
      <c r="P58" s="59"/>
      <c r="Q58" s="59"/>
      <c r="R58" s="59">
        <f>'emiss 2'!$G$68</f>
        <v>89630</v>
      </c>
      <c r="S58" s="59"/>
      <c r="T58" s="59">
        <f>'emiss 2'!$I$68</f>
        <v>98575</v>
      </c>
      <c r="U58" s="59"/>
      <c r="V58" s="59">
        <f>'emiss 2'!$K$68</f>
        <v>89497</v>
      </c>
      <c r="W58" s="59"/>
      <c r="X58" s="59">
        <f>'emiss 2'!$M$68</f>
        <v>88539</v>
      </c>
      <c r="Y58" s="59"/>
      <c r="Z58" s="59"/>
      <c r="AA58" s="59"/>
      <c r="AB58" s="59"/>
      <c r="AC58" s="59"/>
      <c r="AD58" s="59">
        <f>'emiss 2'!$G$68</f>
        <v>89630</v>
      </c>
      <c r="AE58" s="59"/>
      <c r="AF58" s="59">
        <f>'emiss 2'!$I$68</f>
        <v>98575</v>
      </c>
      <c r="AG58" s="59"/>
      <c r="AH58" s="59">
        <f>'emiss 2'!$K$68</f>
        <v>89497</v>
      </c>
      <c r="AI58" s="59"/>
      <c r="AJ58" s="59">
        <f>'emiss 2'!$M$68</f>
        <v>88539</v>
      </c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>
        <f>'emiss 2'!$G$68</f>
        <v>89630</v>
      </c>
      <c r="BC58" s="59"/>
      <c r="BD58" s="59">
        <f>'emiss 2'!$I$68</f>
        <v>98575</v>
      </c>
      <c r="BE58" s="59"/>
      <c r="BF58" s="59">
        <f>'emiss 2'!$K$68</f>
        <v>89497</v>
      </c>
      <c r="BG58" s="59"/>
      <c r="BH58" s="59">
        <f>'emiss 2'!$M$68</f>
        <v>88539</v>
      </c>
      <c r="BI58" s="59"/>
      <c r="BJ58" s="59"/>
      <c r="BK58" s="59"/>
      <c r="BL58" s="59"/>
      <c r="BM58" s="59"/>
      <c r="BN58" s="59">
        <f>'emiss 2'!$G$68</f>
        <v>89630</v>
      </c>
      <c r="BO58" s="59"/>
      <c r="BP58" s="59">
        <f>'emiss 2'!$I$68</f>
        <v>98575</v>
      </c>
      <c r="BQ58" s="59"/>
      <c r="BR58" s="59">
        <f>'emiss 2'!$K$68</f>
        <v>89497</v>
      </c>
      <c r="BS58" s="59"/>
      <c r="BT58" s="59">
        <f>'emiss 2'!$M$68</f>
        <v>88539</v>
      </c>
      <c r="BU58" s="59"/>
      <c r="BV58" s="59"/>
      <c r="BW58" s="59"/>
      <c r="BX58" s="59"/>
      <c r="BY58" s="59"/>
      <c r="BZ58" s="59">
        <f>'emiss 2'!$G$68</f>
        <v>89630</v>
      </c>
      <c r="CA58" s="59"/>
      <c r="CB58" s="59">
        <f>'emiss 2'!$I$68</f>
        <v>98575</v>
      </c>
      <c r="CC58" s="59"/>
      <c r="CD58" s="59">
        <f>'emiss 2'!$K$68</f>
        <v>89497</v>
      </c>
      <c r="CE58" s="59"/>
      <c r="CF58" s="59">
        <f>'emiss 2'!$M$68</f>
        <v>88539</v>
      </c>
      <c r="CG58" s="59"/>
      <c r="CH58" s="59"/>
      <c r="CI58" s="59"/>
      <c r="CJ58" s="59"/>
      <c r="CK58" s="59"/>
      <c r="CL58" s="59">
        <f>'emiss 2'!$G$68</f>
        <v>89630</v>
      </c>
      <c r="CM58" s="59"/>
      <c r="CN58" s="59">
        <f>'emiss 2'!$I$68</f>
        <v>98575</v>
      </c>
      <c r="CO58" s="59"/>
      <c r="CP58" s="59">
        <f>'emiss 2'!$K$68</f>
        <v>89497</v>
      </c>
      <c r="CQ58" s="59"/>
      <c r="CR58" s="59">
        <f>'emiss 2'!$M$68</f>
        <v>88539</v>
      </c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62">
        <f>F58</f>
        <v>89630</v>
      </c>
      <c r="DL58" s="62">
        <f>H58</f>
        <v>98575</v>
      </c>
      <c r="DN58" s="62">
        <f>J58</f>
        <v>89497</v>
      </c>
      <c r="DP58" s="62">
        <f>L58</f>
        <v>88539</v>
      </c>
      <c r="DV58" s="61">
        <f>AVERAGE(DJ58,DL58,DN58,DP58)</f>
        <v>91560.25</v>
      </c>
    </row>
    <row r="59" spans="2:126" ht="12.75">
      <c r="B59" s="62" t="s">
        <v>73</v>
      </c>
      <c r="E59" s="59"/>
      <c r="F59" s="59">
        <f>'emiss 2'!$G$69</f>
        <v>7.3</v>
      </c>
      <c r="G59" s="59"/>
      <c r="H59" s="59">
        <f>'emiss 2'!$I$69</f>
        <v>6.5</v>
      </c>
      <c r="I59" s="59"/>
      <c r="J59" s="59">
        <f>'emiss 2'!$K$69</f>
        <v>6.8</v>
      </c>
      <c r="K59" s="59"/>
      <c r="L59" s="59">
        <f>'emiss 2'!$M$69</f>
        <v>6.4</v>
      </c>
      <c r="M59" s="59"/>
      <c r="N59" s="59"/>
      <c r="O59" s="59"/>
      <c r="P59" s="59"/>
      <c r="Q59" s="59"/>
      <c r="R59" s="59">
        <f>'emiss 2'!$G$69</f>
        <v>7.3</v>
      </c>
      <c r="S59" s="59"/>
      <c r="T59" s="59">
        <f>'emiss 2'!$I$69</f>
        <v>6.5</v>
      </c>
      <c r="U59" s="59"/>
      <c r="V59" s="59">
        <f>'emiss 2'!$K$69</f>
        <v>6.8</v>
      </c>
      <c r="W59" s="59"/>
      <c r="X59" s="59">
        <f>'emiss 2'!$M$69</f>
        <v>6.4</v>
      </c>
      <c r="Y59" s="59"/>
      <c r="Z59" s="59"/>
      <c r="AA59" s="59"/>
      <c r="AB59" s="59"/>
      <c r="AC59" s="59"/>
      <c r="AD59" s="59">
        <f>'emiss 2'!$G$69</f>
        <v>7.3</v>
      </c>
      <c r="AE59" s="59"/>
      <c r="AF59" s="59">
        <f>'emiss 2'!$I$69</f>
        <v>6.5</v>
      </c>
      <c r="AG59" s="59"/>
      <c r="AH59" s="59">
        <f>'emiss 2'!$K$69</f>
        <v>6.8</v>
      </c>
      <c r="AI59" s="59"/>
      <c r="AJ59" s="59">
        <f>'emiss 2'!$M$69</f>
        <v>6.4</v>
      </c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>
        <f>'emiss 2'!$G$69</f>
        <v>7.3</v>
      </c>
      <c r="BC59" s="59"/>
      <c r="BD59" s="59">
        <f>'emiss 2'!$I$69</f>
        <v>6.5</v>
      </c>
      <c r="BE59" s="59"/>
      <c r="BF59" s="59">
        <f>'emiss 2'!$K$69</f>
        <v>6.8</v>
      </c>
      <c r="BG59" s="59"/>
      <c r="BH59" s="59">
        <f>'emiss 2'!$M$69</f>
        <v>6.4</v>
      </c>
      <c r="BI59" s="59"/>
      <c r="BJ59" s="59"/>
      <c r="BK59" s="59"/>
      <c r="BL59" s="59"/>
      <c r="BM59" s="59"/>
      <c r="BN59" s="59">
        <f>'emiss 2'!$G$69</f>
        <v>7.3</v>
      </c>
      <c r="BO59" s="59"/>
      <c r="BP59" s="59">
        <f>'emiss 2'!$I$69</f>
        <v>6.5</v>
      </c>
      <c r="BQ59" s="59"/>
      <c r="BR59" s="59">
        <f>'emiss 2'!$K$69</f>
        <v>6.8</v>
      </c>
      <c r="BS59" s="59"/>
      <c r="BT59" s="59">
        <f>'emiss 2'!$M$69</f>
        <v>6.4</v>
      </c>
      <c r="BU59" s="59"/>
      <c r="BV59" s="59"/>
      <c r="BW59" s="59"/>
      <c r="BX59" s="59"/>
      <c r="BY59" s="59"/>
      <c r="BZ59" s="59">
        <f>'emiss 2'!$G$69</f>
        <v>7.3</v>
      </c>
      <c r="CA59" s="59"/>
      <c r="CB59" s="59">
        <f>'emiss 2'!$I$69</f>
        <v>6.5</v>
      </c>
      <c r="CC59" s="59"/>
      <c r="CD59" s="59">
        <f>'emiss 2'!$K$69</f>
        <v>6.8</v>
      </c>
      <c r="CE59" s="59"/>
      <c r="CF59" s="59">
        <f>'emiss 2'!$M$69</f>
        <v>6.4</v>
      </c>
      <c r="CG59" s="59"/>
      <c r="CH59" s="59"/>
      <c r="CI59" s="59"/>
      <c r="CJ59" s="59"/>
      <c r="CK59" s="59"/>
      <c r="CL59" s="59">
        <f>'emiss 2'!$G$69</f>
        <v>7.3</v>
      </c>
      <c r="CM59" s="59"/>
      <c r="CN59" s="59">
        <f>'emiss 2'!$I$69</f>
        <v>6.5</v>
      </c>
      <c r="CO59" s="59"/>
      <c r="CP59" s="59">
        <f>'emiss 2'!$K$69</f>
        <v>6.8</v>
      </c>
      <c r="CQ59" s="59"/>
      <c r="CR59" s="59">
        <f>'emiss 2'!$M$69</f>
        <v>6.4</v>
      </c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62">
        <f>F59</f>
        <v>7.3</v>
      </c>
      <c r="DL59" s="62">
        <f>H59</f>
        <v>6.5</v>
      </c>
      <c r="DN59" s="62">
        <f>J59</f>
        <v>6.8</v>
      </c>
      <c r="DP59" s="62">
        <f>L59</f>
        <v>6.4</v>
      </c>
      <c r="DV59" s="61">
        <f>AVERAGE(DJ59,DL59,DN59,DP59)</f>
        <v>6.75</v>
      </c>
    </row>
    <row r="60" spans="5:113" ht="12.75"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</row>
    <row r="61" spans="2:126" ht="12.75">
      <c r="B61" s="30" t="s">
        <v>326</v>
      </c>
      <c r="C61" s="30"/>
      <c r="D61" s="30" t="s">
        <v>167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39">
        <f>DJ58/9000*60*(21-DJ59)/21</f>
        <v>389.81936507936507</v>
      </c>
      <c r="DL61" s="39">
        <f>DL58/9000*60*(21-DL59)/21</f>
        <v>453.7579365079365</v>
      </c>
      <c r="DN61" s="39">
        <f>DN58/9000*60*(21-DN59)/21</f>
        <v>403.44679365079367</v>
      </c>
      <c r="DP61" s="39">
        <f>DP58/9000*60*(21-DP59)/21</f>
        <v>410.3712380952381</v>
      </c>
      <c r="DV61" s="39">
        <f>DV58/9000*60*(21-DV59)/21</f>
        <v>414.20113095238094</v>
      </c>
    </row>
    <row r="62" spans="5:113" ht="12.75"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</row>
    <row r="63" spans="2:113" ht="12.75">
      <c r="B63" s="77" t="s">
        <v>89</v>
      </c>
      <c r="C63" s="77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</row>
    <row r="64" spans="2:131" ht="12.75">
      <c r="B64" s="62" t="s">
        <v>22</v>
      </c>
      <c r="D64" s="62" t="s">
        <v>70</v>
      </c>
      <c r="E64" s="59"/>
      <c r="F64" s="66">
        <f>F56*454*1000000/0.0283/60*14/(21-F59)/F58</f>
        <v>43592.14871650493</v>
      </c>
      <c r="G64" s="59"/>
      <c r="H64" s="66">
        <f>H56*454*1000000/0.0283/60*14/(21-H59)/H58</f>
        <v>55414.96688066514</v>
      </c>
      <c r="I64" s="59"/>
      <c r="J64" s="66">
        <f>J56*454*1000000/0.0283/60*14/(21-J59)/J58</f>
        <v>32753.23247760142</v>
      </c>
      <c r="K64" s="59"/>
      <c r="L64" s="66">
        <f>L56*454*1000000/0.0283/60*14/(21-L59)/L58</f>
        <v>54903.12535131341</v>
      </c>
      <c r="M64" s="59"/>
      <c r="N64" s="59"/>
      <c r="O64" s="59"/>
      <c r="P64" s="59"/>
      <c r="Q64" s="59"/>
      <c r="R64" s="66">
        <f>R56*454*1000000/0.0283/60*14/(21-R59)/R58</f>
        <v>1182779.9791611126</v>
      </c>
      <c r="S64" s="59"/>
      <c r="T64" s="66">
        <f>T56*454*1000000/0.0283/60*14/(21-T59)/T58</f>
        <v>1052779.616541937</v>
      </c>
      <c r="U64" s="59"/>
      <c r="V64" s="66">
        <f>V56*454*1000000/0.0283/60*14/(21-V59)/V58</f>
        <v>397633.66766872234</v>
      </c>
      <c r="W64" s="59"/>
      <c r="X64" s="66">
        <f>X56*454*1000000/0.0283/60*14/(21-X59)/X58</f>
        <v>1546322.2013502824</v>
      </c>
      <c r="Y64" s="59"/>
      <c r="Z64" s="59"/>
      <c r="AA64" s="59"/>
      <c r="AB64" s="59"/>
      <c r="AC64" s="59"/>
      <c r="AD64" s="66">
        <f>AD56*454*1000000/0.0283/60*14/(21-AD59)/AD58</f>
        <v>347517.82892878045</v>
      </c>
      <c r="AE64" s="59"/>
      <c r="AF64" s="66">
        <f>AF56*454*1000000/0.0283/60*14/(21-AF59)/AF58</f>
        <v>741135.8992073834</v>
      </c>
      <c r="AG64" s="59"/>
      <c r="AH64" s="66">
        <f>AH56*454*1000000/0.0283/60*14/(21-AH59)/AH58</f>
        <v>306325.1958336823</v>
      </c>
      <c r="AI64" s="59"/>
      <c r="AJ64" s="66">
        <f>AJ56*454*1000000/0.0283/60*14/(21-AJ59)/AJ58</f>
        <v>773161.1006751412</v>
      </c>
      <c r="AK64" s="59"/>
      <c r="AL64" s="59"/>
      <c r="AM64" s="59"/>
      <c r="AN64" s="59"/>
      <c r="AO64" s="59"/>
      <c r="AP64" s="66">
        <f>R64+AD64</f>
        <v>1530297.808089893</v>
      </c>
      <c r="AQ64" s="59"/>
      <c r="AR64" s="66">
        <f>T64+AF64</f>
        <v>1793915.5157493204</v>
      </c>
      <c r="AS64" s="59"/>
      <c r="AT64" s="66">
        <f>V64+AH64</f>
        <v>703958.8635024047</v>
      </c>
      <c r="AU64" s="59"/>
      <c r="AV64" s="66">
        <f>X64+AJ64</f>
        <v>2319483.3020254234</v>
      </c>
      <c r="AW64" s="59"/>
      <c r="AX64" s="66"/>
      <c r="AY64" s="59"/>
      <c r="AZ64" s="66"/>
      <c r="BA64" s="59"/>
      <c r="BB64" s="66">
        <f>BB56*454*1000000/0.0283/60*14/(21-BB59)/BB58</f>
        <v>546822.3522214441</v>
      </c>
      <c r="BC64" s="59"/>
      <c r="BD64" s="66">
        <f>BD56*454*1000000/0.0283/60*14/(21-BD59)/BD58</f>
        <v>469351.15143444255</v>
      </c>
      <c r="BE64" s="59"/>
      <c r="BF64" s="66">
        <f>BF56*454*1000000/0.0283/60*14/(21-BF59)/BF58</f>
        <v>525465.5282377782</v>
      </c>
      <c r="BG64" s="59"/>
      <c r="BH64" s="66">
        <f>BH56*454*1000000/0.0283/60*14/(21-BH59)/BH58</f>
        <v>517757.3213509936</v>
      </c>
      <c r="BI64" s="59"/>
      <c r="BJ64" s="59"/>
      <c r="BK64" s="59"/>
      <c r="BL64" s="59"/>
      <c r="BM64" s="59"/>
      <c r="BN64" s="66">
        <f>BN56*454*1000000/0.0283/60*14/(21-BN59)/BN58</f>
        <v>233239.33444735833</v>
      </c>
      <c r="BO64" s="59"/>
      <c r="BP64" s="66">
        <f>BP56*454*1000000/0.0283/60*14/(21-BP59)/BP58</f>
        <v>235856.6792173716</v>
      </c>
      <c r="BQ64" s="59"/>
      <c r="BR64" s="66">
        <f>BR56*454*1000000/0.0283/60*14/(21-BR59)/BR58</f>
        <v>255878.7378621105</v>
      </c>
      <c r="BS64" s="59"/>
      <c r="BT64" s="66">
        <f>BT56*454*1000000/0.0283/60*14/(21-BT59)/BT58</f>
        <v>233097.93678294696</v>
      </c>
      <c r="BU64" s="59"/>
      <c r="BV64" s="59"/>
      <c r="BW64" s="59"/>
      <c r="BX64" s="59"/>
      <c r="BY64" s="59"/>
      <c r="BZ64" s="66">
        <f>BZ56*454*1000000/0.0283/60*14/(21-BZ59)/BZ58</f>
        <v>239372.71928775046</v>
      </c>
      <c r="CA64" s="59"/>
      <c r="CB64" s="66">
        <f>CB56*454*1000000/0.0283/60*14/(21-CB59)/CB58</f>
        <v>194900.40950816922</v>
      </c>
      <c r="CC64" s="59"/>
      <c r="CD64" s="66">
        <f>CD56*454*1000000/0.0283/60*14/(21-CD59)/CD58</f>
        <v>253725.6251875487</v>
      </c>
      <c r="CE64" s="59"/>
      <c r="CF64" s="66">
        <f>CF56*454*1000000/0.0283/60*14/(21-CF59)/CF58</f>
        <v>230778.4534809215</v>
      </c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66">
        <f>BN64+BZ64+CL64</f>
        <v>472612.0537351088</v>
      </c>
      <c r="CY64" s="59"/>
      <c r="CZ64" s="66">
        <f>BP64+CB64+CN64</f>
        <v>430757.0887255408</v>
      </c>
      <c r="DA64" s="59"/>
      <c r="DB64" s="66">
        <f>BR64+CD64+CP64</f>
        <v>509604.3630496592</v>
      </c>
      <c r="DC64" s="59"/>
      <c r="DD64" s="66">
        <f>BT64+CF64+CR64</f>
        <v>463876.3902638685</v>
      </c>
      <c r="DE64" s="59"/>
      <c r="DF64" s="66"/>
      <c r="DG64" s="59"/>
      <c r="DH64" s="66"/>
      <c r="DI64" s="59"/>
      <c r="DJ64" s="66">
        <f>CL64+BZ64+BN64+BB64+AD64+R64+F64</f>
        <v>2593324.362762951</v>
      </c>
      <c r="DL64" s="66">
        <f>CN64+CB64+BP64+BD64+AF64+T64+H64</f>
        <v>2749438.722789969</v>
      </c>
      <c r="DN64" s="66">
        <f>CP64+CD64+BR64+BF64+AH64+V64+J64</f>
        <v>1771781.9872674434</v>
      </c>
      <c r="DP64" s="66">
        <f>CR64+CF64+BT64+BH64+AJ64+X64+L64</f>
        <v>3356020.138991599</v>
      </c>
      <c r="DV64" s="66">
        <f>AVERAGE(DJ64,DL64,DN64,DP64)</f>
        <v>2617641.302952991</v>
      </c>
      <c r="DX64" s="66">
        <f>AVERAGE(R64,T64,V64,X64,Z64,AB64)+AVERAGE(AD64,AF64,AH64,AJ64,AL64,AN64)</f>
        <v>1586913.8723417604</v>
      </c>
      <c r="DY64" s="66">
        <f>AVERAGE(BZ64,CB64,CD64,CF64,CH64,CJ64)+AVERAGE(BN64,BP64,BR64,BT64)</f>
        <v>469212.4739435443</v>
      </c>
      <c r="DZ64" s="66">
        <f>AVERAGE(F64,H64,J64,L64,N64,P64)+AVERAGE(BB64,BD64,BF64,BH64,BJ64,BL64)</f>
        <v>561514.9566676859</v>
      </c>
      <c r="EA64" s="66">
        <f>SUM(DX64,DY64,DZ64)</f>
        <v>2617641.302952991</v>
      </c>
    </row>
    <row r="65" spans="5:113" ht="12.75"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</row>
    <row r="66" spans="5:113" ht="12.75"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</row>
    <row r="67" spans="5:113" ht="12.75"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</row>
    <row r="68" spans="2:126" ht="12.75">
      <c r="B68" s="29" t="s">
        <v>177</v>
      </c>
      <c r="C68" s="29"/>
      <c r="D68" s="29"/>
      <c r="E68" s="59"/>
      <c r="F68" s="72" t="s">
        <v>140</v>
      </c>
      <c r="G68" s="72"/>
      <c r="H68" s="72" t="s">
        <v>141</v>
      </c>
      <c r="I68" s="72"/>
      <c r="J68" s="72" t="s">
        <v>142</v>
      </c>
      <c r="K68" s="72"/>
      <c r="L68" s="72" t="s">
        <v>143</v>
      </c>
      <c r="M68" s="72"/>
      <c r="N68" s="72" t="s">
        <v>154</v>
      </c>
      <c r="O68" s="72"/>
      <c r="P68" s="72" t="s">
        <v>153</v>
      </c>
      <c r="Q68" s="72"/>
      <c r="R68" s="72" t="s">
        <v>140</v>
      </c>
      <c r="S68" s="72"/>
      <c r="T68" s="72" t="s">
        <v>141</v>
      </c>
      <c r="U68" s="72"/>
      <c r="V68" s="72" t="s">
        <v>142</v>
      </c>
      <c r="W68" s="72"/>
      <c r="X68" s="72" t="s">
        <v>143</v>
      </c>
      <c r="Y68" s="72"/>
      <c r="Z68" s="72" t="s">
        <v>154</v>
      </c>
      <c r="AA68" s="72"/>
      <c r="AB68" s="72" t="s">
        <v>153</v>
      </c>
      <c r="AC68" s="72"/>
      <c r="AD68" s="72" t="s">
        <v>140</v>
      </c>
      <c r="AE68" s="72"/>
      <c r="AF68" s="72" t="s">
        <v>141</v>
      </c>
      <c r="AG68" s="72"/>
      <c r="AH68" s="72" t="s">
        <v>142</v>
      </c>
      <c r="AI68" s="72"/>
      <c r="AJ68" s="72" t="s">
        <v>143</v>
      </c>
      <c r="AK68" s="72"/>
      <c r="AL68" s="72" t="s">
        <v>154</v>
      </c>
      <c r="AM68" s="72"/>
      <c r="AN68" s="72" t="s">
        <v>153</v>
      </c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 t="s">
        <v>140</v>
      </c>
      <c r="BC68" s="72"/>
      <c r="BD68" s="72" t="s">
        <v>141</v>
      </c>
      <c r="BE68" s="72"/>
      <c r="BF68" s="72" t="s">
        <v>142</v>
      </c>
      <c r="BG68" s="72"/>
      <c r="BH68" s="72" t="s">
        <v>143</v>
      </c>
      <c r="BI68" s="72"/>
      <c r="BJ68" s="72" t="s">
        <v>154</v>
      </c>
      <c r="BK68" s="72"/>
      <c r="BL68" s="72" t="s">
        <v>153</v>
      </c>
      <c r="BM68" s="72"/>
      <c r="BN68" s="72" t="s">
        <v>140</v>
      </c>
      <c r="BO68" s="72"/>
      <c r="BP68" s="72" t="s">
        <v>141</v>
      </c>
      <c r="BQ68" s="72"/>
      <c r="BR68" s="72" t="s">
        <v>142</v>
      </c>
      <c r="BS68" s="72"/>
      <c r="BT68" s="72" t="s">
        <v>143</v>
      </c>
      <c r="BU68" s="72"/>
      <c r="BV68" s="72" t="s">
        <v>154</v>
      </c>
      <c r="BW68" s="72"/>
      <c r="BX68" s="72" t="s">
        <v>153</v>
      </c>
      <c r="BY68" s="72"/>
      <c r="BZ68" s="72" t="s">
        <v>140</v>
      </c>
      <c r="CA68" s="72"/>
      <c r="CB68" s="72" t="s">
        <v>141</v>
      </c>
      <c r="CC68" s="72"/>
      <c r="CD68" s="72" t="s">
        <v>142</v>
      </c>
      <c r="CE68" s="72"/>
      <c r="CF68" s="72" t="s">
        <v>143</v>
      </c>
      <c r="CG68" s="72"/>
      <c r="CH68" s="72" t="s">
        <v>154</v>
      </c>
      <c r="CI68" s="72"/>
      <c r="CJ68" s="72" t="s">
        <v>153</v>
      </c>
      <c r="CK68" s="72"/>
      <c r="CL68" s="72" t="s">
        <v>140</v>
      </c>
      <c r="CM68" s="72"/>
      <c r="CN68" s="72" t="s">
        <v>141</v>
      </c>
      <c r="CO68" s="72"/>
      <c r="CP68" s="72" t="s">
        <v>142</v>
      </c>
      <c r="CQ68" s="72"/>
      <c r="CR68" s="72" t="s">
        <v>143</v>
      </c>
      <c r="CS68" s="72"/>
      <c r="CT68" s="72" t="s">
        <v>154</v>
      </c>
      <c r="CU68" s="72"/>
      <c r="CV68" s="72" t="s">
        <v>153</v>
      </c>
      <c r="CW68" s="72"/>
      <c r="CX68" s="72" t="s">
        <v>140</v>
      </c>
      <c r="CY68" s="72"/>
      <c r="CZ68" s="72" t="s">
        <v>141</v>
      </c>
      <c r="DA68" s="72"/>
      <c r="DB68" s="72" t="s">
        <v>142</v>
      </c>
      <c r="DC68" s="72"/>
      <c r="DD68" s="72" t="s">
        <v>143</v>
      </c>
      <c r="DE68" s="72"/>
      <c r="DF68" s="72" t="s">
        <v>154</v>
      </c>
      <c r="DG68" s="72"/>
      <c r="DH68" s="72" t="s">
        <v>153</v>
      </c>
      <c r="DI68" s="72"/>
      <c r="DJ68" s="72" t="s">
        <v>140</v>
      </c>
      <c r="DK68" s="72"/>
      <c r="DL68" s="72" t="s">
        <v>141</v>
      </c>
      <c r="DM68" s="72"/>
      <c r="DN68" s="72" t="s">
        <v>142</v>
      </c>
      <c r="DO68" s="72"/>
      <c r="DP68" s="72" t="s">
        <v>143</v>
      </c>
      <c r="DQ68" s="72"/>
      <c r="DR68" s="72" t="s">
        <v>154</v>
      </c>
      <c r="DS68" s="72"/>
      <c r="DT68" s="72" t="s">
        <v>153</v>
      </c>
      <c r="DU68" s="72"/>
      <c r="DV68" s="72" t="s">
        <v>71</v>
      </c>
    </row>
    <row r="69" spans="5:113" ht="12.75"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</row>
    <row r="70" spans="2:126" ht="12.75">
      <c r="B70" s="62" t="s">
        <v>309</v>
      </c>
      <c r="E70" s="59"/>
      <c r="F70" s="59" t="s">
        <v>310</v>
      </c>
      <c r="G70" s="59"/>
      <c r="H70" s="59" t="s">
        <v>310</v>
      </c>
      <c r="I70" s="59"/>
      <c r="J70" s="59" t="s">
        <v>310</v>
      </c>
      <c r="K70" s="59"/>
      <c r="L70" s="59" t="s">
        <v>310</v>
      </c>
      <c r="M70" s="59"/>
      <c r="N70" s="59" t="s">
        <v>310</v>
      </c>
      <c r="O70" s="59"/>
      <c r="P70" s="59" t="s">
        <v>310</v>
      </c>
      <c r="Q70" s="59"/>
      <c r="R70" s="59" t="s">
        <v>312</v>
      </c>
      <c r="S70" s="59"/>
      <c r="T70" s="59" t="s">
        <v>312</v>
      </c>
      <c r="U70" s="59"/>
      <c r="V70" s="59" t="s">
        <v>312</v>
      </c>
      <c r="W70" s="59"/>
      <c r="X70" s="59" t="s">
        <v>312</v>
      </c>
      <c r="Y70" s="59"/>
      <c r="Z70" s="59"/>
      <c r="AA70" s="59"/>
      <c r="AB70" s="59"/>
      <c r="AC70" s="59"/>
      <c r="AD70" s="59" t="s">
        <v>313</v>
      </c>
      <c r="AE70" s="59"/>
      <c r="AF70" s="59" t="s">
        <v>313</v>
      </c>
      <c r="AG70" s="59"/>
      <c r="AH70" s="59" t="s">
        <v>313</v>
      </c>
      <c r="AI70" s="59"/>
      <c r="AJ70" s="59" t="s">
        <v>313</v>
      </c>
      <c r="AK70" s="59"/>
      <c r="AL70" s="59" t="s">
        <v>313</v>
      </c>
      <c r="AM70" s="59"/>
      <c r="AN70" s="59" t="s">
        <v>313</v>
      </c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 t="s">
        <v>315</v>
      </c>
      <c r="BC70" s="59"/>
      <c r="BD70" s="59" t="s">
        <v>315</v>
      </c>
      <c r="BE70" s="59"/>
      <c r="BF70" s="59" t="s">
        <v>315</v>
      </c>
      <c r="BG70" s="59"/>
      <c r="BH70" s="59" t="s">
        <v>315</v>
      </c>
      <c r="BI70" s="59"/>
      <c r="BJ70" s="59"/>
      <c r="BK70" s="59"/>
      <c r="BL70" s="59"/>
      <c r="BM70" s="59"/>
      <c r="BN70" s="59" t="s">
        <v>317</v>
      </c>
      <c r="BO70" s="59"/>
      <c r="BP70" s="59" t="s">
        <v>317</v>
      </c>
      <c r="BQ70" s="59"/>
      <c r="BR70" s="59" t="s">
        <v>317</v>
      </c>
      <c r="BS70" s="59"/>
      <c r="BT70" s="59" t="s">
        <v>317</v>
      </c>
      <c r="BU70" s="59"/>
      <c r="BV70" s="59"/>
      <c r="BW70" s="59"/>
      <c r="BX70" s="59"/>
      <c r="BY70" s="59"/>
      <c r="BZ70" s="59" t="s">
        <v>318</v>
      </c>
      <c r="CA70" s="59"/>
      <c r="CB70" s="59" t="s">
        <v>318</v>
      </c>
      <c r="CC70" s="59"/>
      <c r="CD70" s="59" t="s">
        <v>318</v>
      </c>
      <c r="CE70" s="59"/>
      <c r="CF70" s="59" t="s">
        <v>318</v>
      </c>
      <c r="CG70" s="59"/>
      <c r="CH70" s="59" t="s">
        <v>318</v>
      </c>
      <c r="CI70" s="59"/>
      <c r="CJ70" s="59" t="s">
        <v>318</v>
      </c>
      <c r="CK70" s="59"/>
      <c r="CL70" s="59" t="s">
        <v>320</v>
      </c>
      <c r="CM70" s="59"/>
      <c r="CN70" s="59" t="s">
        <v>320</v>
      </c>
      <c r="CO70" s="59"/>
      <c r="CP70" s="59" t="s">
        <v>320</v>
      </c>
      <c r="CQ70" s="59"/>
      <c r="CR70" s="59" t="s">
        <v>320</v>
      </c>
      <c r="CS70" s="59"/>
      <c r="CT70" s="59"/>
      <c r="CU70" s="59"/>
      <c r="CV70" s="59"/>
      <c r="CW70" s="59"/>
      <c r="DI70" s="59"/>
      <c r="DJ70" s="62" t="s">
        <v>321</v>
      </c>
      <c r="DL70" s="62" t="s">
        <v>321</v>
      </c>
      <c r="DN70" s="62" t="s">
        <v>321</v>
      </c>
      <c r="DP70" s="62" t="s">
        <v>321</v>
      </c>
      <c r="DR70" s="62" t="s">
        <v>321</v>
      </c>
      <c r="DT70" s="62" t="s">
        <v>321</v>
      </c>
      <c r="DV70" s="62" t="s">
        <v>321</v>
      </c>
    </row>
    <row r="71" spans="2:126" ht="12.75">
      <c r="B71" s="62" t="s">
        <v>308</v>
      </c>
      <c r="E71" s="59"/>
      <c r="F71" s="59" t="s">
        <v>136</v>
      </c>
      <c r="G71" s="59"/>
      <c r="H71" s="59" t="s">
        <v>136</v>
      </c>
      <c r="I71" s="59"/>
      <c r="J71" s="59" t="s">
        <v>136</v>
      </c>
      <c r="K71" s="59"/>
      <c r="L71" s="59" t="s">
        <v>136</v>
      </c>
      <c r="M71" s="59"/>
      <c r="N71" s="59" t="s">
        <v>136</v>
      </c>
      <c r="O71" s="59"/>
      <c r="P71" s="59" t="s">
        <v>136</v>
      </c>
      <c r="Q71" s="59"/>
      <c r="R71" s="59" t="s">
        <v>319</v>
      </c>
      <c r="S71" s="59"/>
      <c r="T71" s="59" t="s">
        <v>319</v>
      </c>
      <c r="U71" s="59"/>
      <c r="V71" s="59" t="s">
        <v>319</v>
      </c>
      <c r="W71" s="59"/>
      <c r="X71" s="59" t="s">
        <v>319</v>
      </c>
      <c r="Y71" s="59"/>
      <c r="Z71" s="59"/>
      <c r="AA71" s="59"/>
      <c r="AB71" s="59"/>
      <c r="AC71" s="59"/>
      <c r="AD71" s="59" t="s">
        <v>316</v>
      </c>
      <c r="AE71" s="59"/>
      <c r="AF71" s="59" t="s">
        <v>316</v>
      </c>
      <c r="AG71" s="59"/>
      <c r="AH71" s="59" t="s">
        <v>316</v>
      </c>
      <c r="AI71" s="59"/>
      <c r="AJ71" s="59" t="s">
        <v>316</v>
      </c>
      <c r="AK71" s="59"/>
      <c r="AL71" s="59" t="s">
        <v>316</v>
      </c>
      <c r="AM71" s="59"/>
      <c r="AN71" s="59" t="s">
        <v>316</v>
      </c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 t="s">
        <v>201</v>
      </c>
      <c r="BC71" s="59"/>
      <c r="BD71" s="59" t="s">
        <v>201</v>
      </c>
      <c r="BE71" s="59"/>
      <c r="BF71" s="59" t="s">
        <v>201</v>
      </c>
      <c r="BG71" s="59"/>
      <c r="BH71" s="59" t="s">
        <v>201</v>
      </c>
      <c r="BI71" s="59"/>
      <c r="BJ71" s="59"/>
      <c r="BK71" s="59"/>
      <c r="BL71" s="59"/>
      <c r="BM71" s="59"/>
      <c r="BN71" s="59" t="s">
        <v>67</v>
      </c>
      <c r="BO71" s="59"/>
      <c r="BP71" s="59" t="s">
        <v>67</v>
      </c>
      <c r="BQ71" s="59"/>
      <c r="BR71" s="59" t="s">
        <v>67</v>
      </c>
      <c r="BS71" s="59"/>
      <c r="BT71" s="59" t="s">
        <v>67</v>
      </c>
      <c r="BU71" s="59"/>
      <c r="BV71" s="59"/>
      <c r="BW71" s="59"/>
      <c r="BX71" s="59"/>
      <c r="BY71" s="59"/>
      <c r="BZ71" s="59" t="s">
        <v>67</v>
      </c>
      <c r="CA71" s="59"/>
      <c r="CB71" s="59" t="s">
        <v>67</v>
      </c>
      <c r="CC71" s="59"/>
      <c r="CD71" s="59" t="s">
        <v>67</v>
      </c>
      <c r="CE71" s="59"/>
      <c r="CF71" s="59" t="s">
        <v>67</v>
      </c>
      <c r="CG71" s="59"/>
      <c r="CH71" s="59" t="s">
        <v>67</v>
      </c>
      <c r="CI71" s="59"/>
      <c r="CJ71" s="59" t="s">
        <v>67</v>
      </c>
      <c r="CK71" s="59"/>
      <c r="CL71" s="59" t="s">
        <v>67</v>
      </c>
      <c r="CM71" s="59"/>
      <c r="CN71" s="59" t="s">
        <v>67</v>
      </c>
      <c r="CO71" s="59"/>
      <c r="CP71" s="59" t="s">
        <v>67</v>
      </c>
      <c r="CQ71" s="59"/>
      <c r="CR71" s="59" t="s">
        <v>67</v>
      </c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62" t="s">
        <v>31</v>
      </c>
      <c r="DL71" s="62" t="s">
        <v>31</v>
      </c>
      <c r="DN71" s="62" t="s">
        <v>31</v>
      </c>
      <c r="DP71" s="62" t="s">
        <v>31</v>
      </c>
      <c r="DR71" s="62" t="s">
        <v>31</v>
      </c>
      <c r="DT71" s="62" t="s">
        <v>31</v>
      </c>
      <c r="DV71" s="62" t="s">
        <v>31</v>
      </c>
    </row>
    <row r="72" spans="2:126" ht="12.75">
      <c r="B72" s="62" t="s">
        <v>109</v>
      </c>
      <c r="E72" s="59"/>
      <c r="F72" s="59" t="s">
        <v>136</v>
      </c>
      <c r="G72" s="59"/>
      <c r="H72" s="59" t="s">
        <v>136</v>
      </c>
      <c r="I72" s="59"/>
      <c r="J72" s="59" t="s">
        <v>136</v>
      </c>
      <c r="K72" s="59"/>
      <c r="L72" s="59" t="s">
        <v>136</v>
      </c>
      <c r="M72" s="59"/>
      <c r="N72" s="59" t="s">
        <v>136</v>
      </c>
      <c r="O72" s="59"/>
      <c r="P72" s="59" t="s">
        <v>136</v>
      </c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 t="s">
        <v>79</v>
      </c>
      <c r="AQ72" s="59"/>
      <c r="AR72" s="59" t="s">
        <v>79</v>
      </c>
      <c r="AS72" s="59"/>
      <c r="AT72" s="59" t="s">
        <v>79</v>
      </c>
      <c r="AU72" s="59"/>
      <c r="AV72" s="59" t="s">
        <v>79</v>
      </c>
      <c r="AW72" s="59"/>
      <c r="AX72" s="59" t="s">
        <v>79</v>
      </c>
      <c r="AY72" s="59"/>
      <c r="AZ72" s="59" t="s">
        <v>79</v>
      </c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 t="s">
        <v>67</v>
      </c>
      <c r="CY72" s="59"/>
      <c r="CZ72" s="59" t="s">
        <v>67</v>
      </c>
      <c r="DA72" s="59"/>
      <c r="DB72" s="59" t="s">
        <v>67</v>
      </c>
      <c r="DC72" s="59"/>
      <c r="DD72" s="59" t="s">
        <v>67</v>
      </c>
      <c r="DE72" s="59"/>
      <c r="DF72" s="59" t="s">
        <v>67</v>
      </c>
      <c r="DG72" s="59"/>
      <c r="DH72" s="59" t="s">
        <v>67</v>
      </c>
      <c r="DI72" s="59"/>
      <c r="DJ72" s="62" t="s">
        <v>31</v>
      </c>
      <c r="DL72" s="62" t="s">
        <v>31</v>
      </c>
      <c r="DN72" s="62" t="s">
        <v>31</v>
      </c>
      <c r="DP72" s="62" t="s">
        <v>31</v>
      </c>
      <c r="DR72" s="62" t="s">
        <v>31</v>
      </c>
      <c r="DT72" s="62" t="s">
        <v>31</v>
      </c>
      <c r="DV72" s="62" t="s">
        <v>31</v>
      </c>
    </row>
    <row r="73" spans="1:113" ht="12.75">
      <c r="A73" s="62" t="s">
        <v>177</v>
      </c>
      <c r="B73" s="62" t="s">
        <v>204</v>
      </c>
      <c r="D73" s="62" t="s">
        <v>205</v>
      </c>
      <c r="E73" s="59"/>
      <c r="F73" s="59">
        <v>13720</v>
      </c>
      <c r="G73" s="59"/>
      <c r="H73" s="59">
        <v>14560</v>
      </c>
      <c r="I73" s="59"/>
      <c r="J73" s="59">
        <v>13840</v>
      </c>
      <c r="K73" s="59"/>
      <c r="L73" s="59">
        <v>15340</v>
      </c>
      <c r="M73" s="59"/>
      <c r="N73" s="59"/>
      <c r="O73" s="59"/>
      <c r="P73" s="59"/>
      <c r="Q73" s="59"/>
      <c r="R73" s="59">
        <v>9860</v>
      </c>
      <c r="S73" s="59"/>
      <c r="T73" s="59">
        <v>9880</v>
      </c>
      <c r="U73" s="59"/>
      <c r="V73" s="59">
        <v>9800</v>
      </c>
      <c r="W73" s="59"/>
      <c r="X73" s="59">
        <v>9780</v>
      </c>
      <c r="Y73" s="59"/>
      <c r="Z73" s="59"/>
      <c r="AA73" s="59"/>
      <c r="AB73" s="59"/>
      <c r="AC73" s="59"/>
      <c r="AD73" s="59">
        <v>2460</v>
      </c>
      <c r="AE73" s="59"/>
      <c r="AF73" s="59">
        <v>3760</v>
      </c>
      <c r="AG73" s="59"/>
      <c r="AH73" s="59">
        <v>3640</v>
      </c>
      <c r="AI73" s="59"/>
      <c r="AJ73" s="59">
        <v>3400</v>
      </c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66">
        <v>201.9501784</v>
      </c>
      <c r="BO73" s="66"/>
      <c r="BP73" s="66">
        <v>165.2832712</v>
      </c>
      <c r="BQ73" s="66"/>
      <c r="BR73" s="66">
        <v>199.3156814</v>
      </c>
      <c r="BS73" s="66"/>
      <c r="BT73" s="66">
        <v>151.742618</v>
      </c>
      <c r="BU73" s="59"/>
      <c r="BV73" s="59"/>
      <c r="BW73" s="59"/>
      <c r="BX73" s="59"/>
      <c r="BY73" s="59"/>
      <c r="BZ73" s="66">
        <v>193.8526826</v>
      </c>
      <c r="CA73" s="66"/>
      <c r="CB73" s="66">
        <v>155.9247442</v>
      </c>
      <c r="CC73" s="66"/>
      <c r="CD73" s="66">
        <v>188.8283992</v>
      </c>
      <c r="CE73" s="66"/>
      <c r="CF73" s="66">
        <v>142.780919</v>
      </c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</row>
    <row r="74" spans="1:113" ht="12.75">
      <c r="A74" s="62" t="s">
        <v>177</v>
      </c>
      <c r="B74" s="62" t="s">
        <v>206</v>
      </c>
      <c r="D74" s="62" t="s">
        <v>207</v>
      </c>
      <c r="E74" s="59"/>
      <c r="F74" s="59">
        <v>12240</v>
      </c>
      <c r="G74" s="59"/>
      <c r="H74" s="59">
        <v>11946</v>
      </c>
      <c r="I74" s="59"/>
      <c r="J74" s="59">
        <v>11016</v>
      </c>
      <c r="K74" s="59"/>
      <c r="L74" s="59">
        <v>11338</v>
      </c>
      <c r="M74" s="59"/>
      <c r="N74" s="59"/>
      <c r="O74" s="59"/>
      <c r="P74" s="59"/>
      <c r="Q74" s="59"/>
      <c r="R74" s="59">
        <v>1780</v>
      </c>
      <c r="S74" s="59"/>
      <c r="T74" s="59">
        <v>16453</v>
      </c>
      <c r="U74" s="59"/>
      <c r="V74" s="59">
        <v>17420</v>
      </c>
      <c r="W74" s="59"/>
      <c r="X74" s="59">
        <v>17225</v>
      </c>
      <c r="Y74" s="59"/>
      <c r="Z74" s="59"/>
      <c r="AA74" s="59"/>
      <c r="AB74" s="59"/>
      <c r="AC74" s="59"/>
      <c r="AD74" s="59">
        <v>6112</v>
      </c>
      <c r="AE74" s="59"/>
      <c r="AF74" s="59">
        <v>5148</v>
      </c>
      <c r="AG74" s="59"/>
      <c r="AH74" s="59">
        <v>6855</v>
      </c>
      <c r="AI74" s="59"/>
      <c r="AJ74" s="59">
        <v>7934</v>
      </c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/>
      <c r="BO74"/>
      <c r="BP74"/>
      <c r="BQ74"/>
      <c r="BR74"/>
      <c r="BS74"/>
      <c r="BT74"/>
      <c r="BU74" s="59"/>
      <c r="BV74" s="59"/>
      <c r="BW74" s="59"/>
      <c r="BX74" s="59"/>
      <c r="BY74" s="59"/>
      <c r="BZ74" s="59">
        <v>0</v>
      </c>
      <c r="CA74" s="59"/>
      <c r="CB74" s="59">
        <v>0</v>
      </c>
      <c r="CC74" s="59"/>
      <c r="CD74" s="59">
        <v>0</v>
      </c>
      <c r="CE74" s="59"/>
      <c r="CF74" s="59">
        <v>0</v>
      </c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</row>
    <row r="75" spans="1:113" ht="12.75">
      <c r="A75" s="62" t="s">
        <v>177</v>
      </c>
      <c r="B75" s="62" t="s">
        <v>22</v>
      </c>
      <c r="D75" s="62" t="s">
        <v>205</v>
      </c>
      <c r="E75" s="59"/>
      <c r="F75" s="61">
        <v>13.72</v>
      </c>
      <c r="G75" s="61"/>
      <c r="H75" s="61">
        <v>14.56</v>
      </c>
      <c r="I75" s="61"/>
      <c r="J75" s="61">
        <v>13.84</v>
      </c>
      <c r="K75" s="61"/>
      <c r="L75" s="61">
        <v>15.34</v>
      </c>
      <c r="M75" s="59"/>
      <c r="N75" s="59"/>
      <c r="O75" s="59"/>
      <c r="P75" s="59"/>
      <c r="Q75" s="59"/>
      <c r="R75" s="61">
        <v>108.46</v>
      </c>
      <c r="S75" s="61"/>
      <c r="T75" s="61">
        <v>316.16</v>
      </c>
      <c r="U75" s="61"/>
      <c r="V75" s="61">
        <v>56.84</v>
      </c>
      <c r="W75" s="61"/>
      <c r="X75" s="61">
        <v>107.58</v>
      </c>
      <c r="Y75" s="59"/>
      <c r="Z75" s="59"/>
      <c r="AA75" s="59"/>
      <c r="AB75" s="59"/>
      <c r="AC75" s="59"/>
      <c r="AD75" s="59">
        <v>3.198</v>
      </c>
      <c r="AE75" s="59"/>
      <c r="AF75" s="59">
        <v>4.136</v>
      </c>
      <c r="AG75" s="59"/>
      <c r="AH75" s="59">
        <v>3.64</v>
      </c>
      <c r="AI75" s="59"/>
      <c r="AJ75" s="59">
        <v>3.74</v>
      </c>
      <c r="AK75" s="59"/>
      <c r="AL75" s="59"/>
      <c r="AM75" s="59"/>
      <c r="AN75" s="59"/>
      <c r="AO75" s="59">
        <v>1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>
        <v>33.64</v>
      </c>
      <c r="BC75" s="59">
        <v>100</v>
      </c>
      <c r="BD75" s="59">
        <v>27.52</v>
      </c>
      <c r="BE75" s="59">
        <v>100</v>
      </c>
      <c r="BF75" s="59">
        <v>35.64</v>
      </c>
      <c r="BG75" s="59">
        <v>100</v>
      </c>
      <c r="BH75" s="59">
        <v>34.76</v>
      </c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</row>
    <row r="76" spans="5:113" ht="12.75"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</row>
    <row r="77" spans="2:126" ht="12.75">
      <c r="B77" s="29" t="s">
        <v>179</v>
      </c>
      <c r="C77" s="29"/>
      <c r="D77" s="29"/>
      <c r="E77" s="59"/>
      <c r="F77" s="72" t="s">
        <v>140</v>
      </c>
      <c r="G77" s="72"/>
      <c r="H77" s="72" t="s">
        <v>141</v>
      </c>
      <c r="I77" s="72"/>
      <c r="J77" s="72" t="s">
        <v>142</v>
      </c>
      <c r="K77" s="72"/>
      <c r="L77" s="72" t="s">
        <v>143</v>
      </c>
      <c r="M77" s="72"/>
      <c r="N77" s="72" t="s">
        <v>154</v>
      </c>
      <c r="O77" s="72"/>
      <c r="P77" s="72" t="s">
        <v>153</v>
      </c>
      <c r="Q77" s="72"/>
      <c r="R77" s="72" t="s">
        <v>140</v>
      </c>
      <c r="S77" s="72"/>
      <c r="T77" s="72" t="s">
        <v>141</v>
      </c>
      <c r="U77" s="72"/>
      <c r="V77" s="72" t="s">
        <v>142</v>
      </c>
      <c r="W77" s="72"/>
      <c r="X77" s="72" t="s">
        <v>143</v>
      </c>
      <c r="Y77" s="72"/>
      <c r="Z77" s="72" t="s">
        <v>154</v>
      </c>
      <c r="AA77" s="72"/>
      <c r="AB77" s="72" t="s">
        <v>153</v>
      </c>
      <c r="AC77" s="72"/>
      <c r="AD77" s="72" t="s">
        <v>140</v>
      </c>
      <c r="AE77" s="72"/>
      <c r="AF77" s="72" t="s">
        <v>141</v>
      </c>
      <c r="AG77" s="72"/>
      <c r="AH77" s="72" t="s">
        <v>142</v>
      </c>
      <c r="AI77" s="72"/>
      <c r="AJ77" s="72" t="s">
        <v>143</v>
      </c>
      <c r="AK77" s="72"/>
      <c r="AL77" s="72" t="s">
        <v>154</v>
      </c>
      <c r="AM77" s="72"/>
      <c r="AN77" s="72" t="s">
        <v>153</v>
      </c>
      <c r="AO77" s="72"/>
      <c r="AP77" s="72" t="s">
        <v>140</v>
      </c>
      <c r="AQ77" s="72"/>
      <c r="AR77" s="72" t="s">
        <v>141</v>
      </c>
      <c r="AS77" s="72"/>
      <c r="AT77" s="72" t="s">
        <v>142</v>
      </c>
      <c r="AU77" s="72"/>
      <c r="AV77" s="72" t="s">
        <v>143</v>
      </c>
      <c r="AW77" s="72"/>
      <c r="AX77" s="72" t="s">
        <v>154</v>
      </c>
      <c r="AY77" s="72"/>
      <c r="AZ77" s="72" t="s">
        <v>153</v>
      </c>
      <c r="BA77" s="72"/>
      <c r="BB77" s="72" t="s">
        <v>140</v>
      </c>
      <c r="BC77" s="72"/>
      <c r="BD77" s="72" t="s">
        <v>141</v>
      </c>
      <c r="BE77" s="72"/>
      <c r="BF77" s="72" t="s">
        <v>142</v>
      </c>
      <c r="BG77" s="72"/>
      <c r="BH77" s="72" t="s">
        <v>143</v>
      </c>
      <c r="BI77" s="72"/>
      <c r="BJ77" s="72" t="s">
        <v>154</v>
      </c>
      <c r="BK77" s="72"/>
      <c r="BL77" s="72" t="s">
        <v>153</v>
      </c>
      <c r="BM77" s="72"/>
      <c r="BN77" s="72" t="s">
        <v>140</v>
      </c>
      <c r="BO77" s="72"/>
      <c r="BP77" s="72" t="s">
        <v>141</v>
      </c>
      <c r="BQ77" s="72"/>
      <c r="BR77" s="72" t="s">
        <v>142</v>
      </c>
      <c r="BS77" s="72"/>
      <c r="BT77" s="72" t="s">
        <v>143</v>
      </c>
      <c r="BU77" s="72"/>
      <c r="BV77" s="72" t="s">
        <v>154</v>
      </c>
      <c r="BW77" s="72"/>
      <c r="BX77" s="72" t="s">
        <v>153</v>
      </c>
      <c r="BY77" s="72"/>
      <c r="BZ77" s="72" t="s">
        <v>140</v>
      </c>
      <c r="CA77" s="72"/>
      <c r="CB77" s="72" t="s">
        <v>141</v>
      </c>
      <c r="CC77" s="72"/>
      <c r="CD77" s="72" t="s">
        <v>142</v>
      </c>
      <c r="CE77" s="72"/>
      <c r="CF77" s="72" t="s">
        <v>143</v>
      </c>
      <c r="CG77" s="72"/>
      <c r="CH77" s="72" t="s">
        <v>154</v>
      </c>
      <c r="CI77" s="72"/>
      <c r="CJ77" s="72" t="s">
        <v>153</v>
      </c>
      <c r="CK77" s="72"/>
      <c r="CL77" s="72" t="s">
        <v>140</v>
      </c>
      <c r="CM77" s="72"/>
      <c r="CN77" s="72" t="s">
        <v>141</v>
      </c>
      <c r="CO77" s="72"/>
      <c r="CP77" s="72" t="s">
        <v>142</v>
      </c>
      <c r="CQ77" s="72"/>
      <c r="CR77" s="72" t="s">
        <v>143</v>
      </c>
      <c r="CS77" s="72"/>
      <c r="CT77" s="72" t="s">
        <v>154</v>
      </c>
      <c r="CU77" s="72"/>
      <c r="CV77" s="72" t="s">
        <v>153</v>
      </c>
      <c r="CW77" s="72"/>
      <c r="CX77" s="72" t="s">
        <v>140</v>
      </c>
      <c r="CY77" s="72"/>
      <c r="CZ77" s="72" t="s">
        <v>141</v>
      </c>
      <c r="DA77" s="72"/>
      <c r="DB77" s="72" t="s">
        <v>142</v>
      </c>
      <c r="DC77" s="72"/>
      <c r="DD77" s="72" t="s">
        <v>143</v>
      </c>
      <c r="DE77" s="72"/>
      <c r="DF77" s="72" t="s">
        <v>154</v>
      </c>
      <c r="DG77" s="72"/>
      <c r="DH77" s="72" t="s">
        <v>153</v>
      </c>
      <c r="DI77" s="72"/>
      <c r="DJ77" s="72" t="s">
        <v>140</v>
      </c>
      <c r="DK77" s="72"/>
      <c r="DL77" s="72" t="s">
        <v>141</v>
      </c>
      <c r="DM77" s="72"/>
      <c r="DN77" s="72" t="s">
        <v>142</v>
      </c>
      <c r="DO77" s="72"/>
      <c r="DP77" s="72" t="s">
        <v>143</v>
      </c>
      <c r="DQ77" s="72"/>
      <c r="DR77" s="72" t="s">
        <v>154</v>
      </c>
      <c r="DS77" s="72"/>
      <c r="DT77" s="72" t="s">
        <v>153</v>
      </c>
      <c r="DU77" s="72"/>
      <c r="DV77" s="72" t="s">
        <v>71</v>
      </c>
    </row>
    <row r="78" spans="5:113" ht="12.75"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</row>
    <row r="79" spans="2:126" ht="12.75">
      <c r="B79" s="62" t="s">
        <v>309</v>
      </c>
      <c r="E79" s="59"/>
      <c r="F79" s="59" t="s">
        <v>310</v>
      </c>
      <c r="G79" s="59"/>
      <c r="H79" s="59" t="s">
        <v>310</v>
      </c>
      <c r="I79" s="59"/>
      <c r="J79" s="59" t="s">
        <v>310</v>
      </c>
      <c r="K79" s="59"/>
      <c r="L79" s="59" t="s">
        <v>310</v>
      </c>
      <c r="M79" s="59"/>
      <c r="N79" s="59" t="s">
        <v>310</v>
      </c>
      <c r="O79" s="59"/>
      <c r="P79" s="59" t="s">
        <v>310</v>
      </c>
      <c r="Q79" s="59"/>
      <c r="R79" s="59" t="s">
        <v>312</v>
      </c>
      <c r="S79" s="59"/>
      <c r="T79" s="59" t="s">
        <v>312</v>
      </c>
      <c r="U79" s="59"/>
      <c r="V79" s="59" t="s">
        <v>312</v>
      </c>
      <c r="W79" s="59"/>
      <c r="X79" s="59" t="s">
        <v>312</v>
      </c>
      <c r="Y79" s="59"/>
      <c r="Z79" s="59"/>
      <c r="AA79" s="59"/>
      <c r="AB79" s="59"/>
      <c r="AC79" s="59"/>
      <c r="AD79" s="59" t="s">
        <v>313</v>
      </c>
      <c r="AE79" s="59"/>
      <c r="AF79" s="59" t="s">
        <v>313</v>
      </c>
      <c r="AG79" s="59"/>
      <c r="AH79" s="59" t="s">
        <v>313</v>
      </c>
      <c r="AI79" s="59"/>
      <c r="AJ79" s="59" t="s">
        <v>313</v>
      </c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 t="s">
        <v>315</v>
      </c>
      <c r="BC79" s="59"/>
      <c r="BD79" s="59" t="s">
        <v>315</v>
      </c>
      <c r="BE79" s="59"/>
      <c r="BF79" s="59" t="s">
        <v>315</v>
      </c>
      <c r="BG79" s="59"/>
      <c r="BH79" s="59" t="s">
        <v>315</v>
      </c>
      <c r="BI79" s="59"/>
      <c r="BJ79" s="59"/>
      <c r="BK79" s="59"/>
      <c r="BL79" s="59"/>
      <c r="BM79" s="59"/>
      <c r="BN79" s="59" t="s">
        <v>317</v>
      </c>
      <c r="BO79" s="59"/>
      <c r="BP79" s="59" t="s">
        <v>317</v>
      </c>
      <c r="BQ79" s="59"/>
      <c r="BR79" s="59" t="s">
        <v>317</v>
      </c>
      <c r="BS79" s="59"/>
      <c r="BT79" s="59" t="s">
        <v>317</v>
      </c>
      <c r="BU79" s="59"/>
      <c r="BV79" s="59"/>
      <c r="BW79" s="59"/>
      <c r="BX79" s="59"/>
      <c r="BY79" s="59"/>
      <c r="BZ79" s="59" t="s">
        <v>318</v>
      </c>
      <c r="CA79" s="59"/>
      <c r="CB79" s="59" t="s">
        <v>318</v>
      </c>
      <c r="CC79" s="59"/>
      <c r="CD79" s="59" t="s">
        <v>318</v>
      </c>
      <c r="CE79" s="59"/>
      <c r="CF79" s="59" t="s">
        <v>318</v>
      </c>
      <c r="CG79" s="59"/>
      <c r="CH79" s="59"/>
      <c r="CI79" s="59"/>
      <c r="CJ79" s="59"/>
      <c r="CK79" s="59"/>
      <c r="CL79" s="59" t="s">
        <v>320</v>
      </c>
      <c r="CM79" s="59"/>
      <c r="CN79" s="59" t="s">
        <v>320</v>
      </c>
      <c r="CO79" s="59"/>
      <c r="CP79" s="59" t="s">
        <v>320</v>
      </c>
      <c r="CQ79" s="59"/>
      <c r="CR79" s="59" t="s">
        <v>320</v>
      </c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62" t="s">
        <v>321</v>
      </c>
      <c r="DL79" s="62" t="s">
        <v>321</v>
      </c>
      <c r="DN79" s="62" t="s">
        <v>321</v>
      </c>
      <c r="DP79" s="62" t="s">
        <v>321</v>
      </c>
      <c r="DR79" s="62" t="s">
        <v>321</v>
      </c>
      <c r="DT79" s="62" t="s">
        <v>321</v>
      </c>
      <c r="DV79" s="62" t="s">
        <v>321</v>
      </c>
    </row>
    <row r="80" spans="2:126" ht="12.75">
      <c r="B80" s="62" t="s">
        <v>308</v>
      </c>
      <c r="E80" s="59"/>
      <c r="F80" s="59" t="s">
        <v>136</v>
      </c>
      <c r="G80" s="59"/>
      <c r="H80" s="59" t="s">
        <v>136</v>
      </c>
      <c r="I80" s="59"/>
      <c r="J80" s="59" t="s">
        <v>136</v>
      </c>
      <c r="K80" s="59"/>
      <c r="L80" s="59" t="s">
        <v>136</v>
      </c>
      <c r="M80" s="59"/>
      <c r="N80" s="59" t="s">
        <v>136</v>
      </c>
      <c r="O80" s="59"/>
      <c r="P80" s="59" t="s">
        <v>136</v>
      </c>
      <c r="Q80" s="59"/>
      <c r="R80" s="59" t="s">
        <v>319</v>
      </c>
      <c r="S80" s="59"/>
      <c r="T80" s="59" t="s">
        <v>319</v>
      </c>
      <c r="U80" s="59"/>
      <c r="V80" s="59" t="s">
        <v>319</v>
      </c>
      <c r="W80" s="59"/>
      <c r="X80" s="59" t="s">
        <v>319</v>
      </c>
      <c r="Y80" s="59"/>
      <c r="Z80" s="59"/>
      <c r="AA80" s="59"/>
      <c r="AB80" s="59"/>
      <c r="AC80" s="59"/>
      <c r="AD80" s="59" t="s">
        <v>316</v>
      </c>
      <c r="AE80" s="59"/>
      <c r="AF80" s="59" t="s">
        <v>316</v>
      </c>
      <c r="AG80" s="59"/>
      <c r="AH80" s="59" t="s">
        <v>316</v>
      </c>
      <c r="AI80" s="59"/>
      <c r="AJ80" s="59" t="s">
        <v>316</v>
      </c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 t="s">
        <v>311</v>
      </c>
      <c r="BC80" s="59"/>
      <c r="BD80" s="59" t="s">
        <v>311</v>
      </c>
      <c r="BE80" s="59"/>
      <c r="BF80" s="59" t="s">
        <v>311</v>
      </c>
      <c r="BG80" s="59"/>
      <c r="BH80" s="59" t="s">
        <v>311</v>
      </c>
      <c r="BI80" s="59"/>
      <c r="BJ80" s="59"/>
      <c r="BK80" s="59"/>
      <c r="BL80" s="59"/>
      <c r="BM80" s="59"/>
      <c r="BN80" s="59" t="s">
        <v>67</v>
      </c>
      <c r="BO80" s="59"/>
      <c r="BP80" s="59" t="s">
        <v>67</v>
      </c>
      <c r="BQ80" s="59"/>
      <c r="BR80" s="59" t="s">
        <v>67</v>
      </c>
      <c r="BS80" s="59"/>
      <c r="BT80" s="59" t="s">
        <v>67</v>
      </c>
      <c r="BU80" s="59"/>
      <c r="BV80" s="59"/>
      <c r="BW80" s="59"/>
      <c r="BX80" s="59"/>
      <c r="BY80" s="59"/>
      <c r="BZ80" s="59" t="s">
        <v>67</v>
      </c>
      <c r="CA80" s="59"/>
      <c r="CB80" s="59" t="s">
        <v>67</v>
      </c>
      <c r="CC80" s="59"/>
      <c r="CD80" s="59" t="s">
        <v>67</v>
      </c>
      <c r="CE80" s="59"/>
      <c r="CF80" s="59" t="s">
        <v>67</v>
      </c>
      <c r="CG80" s="59"/>
      <c r="CH80" s="59"/>
      <c r="CI80" s="59"/>
      <c r="CJ80" s="59"/>
      <c r="CK80" s="59"/>
      <c r="CL80" s="59" t="s">
        <v>67</v>
      </c>
      <c r="CM80" s="59"/>
      <c r="CN80" s="59" t="s">
        <v>67</v>
      </c>
      <c r="CO80" s="59"/>
      <c r="CP80" s="59" t="s">
        <v>67</v>
      </c>
      <c r="CQ80" s="59"/>
      <c r="CR80" s="59" t="s">
        <v>67</v>
      </c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62" t="s">
        <v>31</v>
      </c>
      <c r="DL80" s="62" t="s">
        <v>31</v>
      </c>
      <c r="DN80" s="62" t="s">
        <v>31</v>
      </c>
      <c r="DP80" s="62" t="s">
        <v>31</v>
      </c>
      <c r="DR80" s="62" t="s">
        <v>31</v>
      </c>
      <c r="DT80" s="62" t="s">
        <v>31</v>
      </c>
      <c r="DV80" s="62" t="s">
        <v>31</v>
      </c>
    </row>
    <row r="81" spans="2:126" ht="12.75">
      <c r="B81" s="30" t="s">
        <v>322</v>
      </c>
      <c r="C81" s="30"/>
      <c r="E81" s="59"/>
      <c r="F81" s="59" t="s">
        <v>136</v>
      </c>
      <c r="G81" s="59"/>
      <c r="H81" s="59" t="s">
        <v>136</v>
      </c>
      <c r="I81" s="59"/>
      <c r="J81" s="59" t="s">
        <v>136</v>
      </c>
      <c r="K81" s="59"/>
      <c r="L81" s="59" t="s">
        <v>136</v>
      </c>
      <c r="M81" s="59"/>
      <c r="N81" s="59" t="s">
        <v>136</v>
      </c>
      <c r="O81" s="59"/>
      <c r="P81" s="59" t="s">
        <v>136</v>
      </c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 t="s">
        <v>79</v>
      </c>
      <c r="AQ81" s="59"/>
      <c r="AR81" s="59" t="s">
        <v>79</v>
      </c>
      <c r="AS81" s="59"/>
      <c r="AT81" s="59" t="s">
        <v>79</v>
      </c>
      <c r="AU81" s="59"/>
      <c r="AV81" s="59" t="s">
        <v>79</v>
      </c>
      <c r="AW81" s="59"/>
      <c r="AX81" s="59" t="s">
        <v>79</v>
      </c>
      <c r="AY81" s="59"/>
      <c r="AZ81" s="59" t="s">
        <v>79</v>
      </c>
      <c r="BA81" s="59"/>
      <c r="BB81" s="59" t="s">
        <v>323</v>
      </c>
      <c r="BC81" s="59"/>
      <c r="BD81" s="59" t="s">
        <v>323</v>
      </c>
      <c r="BE81" s="59"/>
      <c r="BF81" s="59" t="s">
        <v>323</v>
      </c>
      <c r="BG81" s="59"/>
      <c r="BH81" s="59" t="s">
        <v>323</v>
      </c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 t="s">
        <v>67</v>
      </c>
      <c r="CY81" s="59"/>
      <c r="CZ81" s="59" t="s">
        <v>67</v>
      </c>
      <c r="DA81" s="59"/>
      <c r="DB81" s="59" t="s">
        <v>67</v>
      </c>
      <c r="DC81" s="59"/>
      <c r="DD81" s="59" t="s">
        <v>67</v>
      </c>
      <c r="DE81" s="59"/>
      <c r="DF81" s="59" t="s">
        <v>67</v>
      </c>
      <c r="DG81" s="59"/>
      <c r="DH81" s="59" t="s">
        <v>67</v>
      </c>
      <c r="DI81" s="59"/>
      <c r="DJ81" s="62" t="s">
        <v>31</v>
      </c>
      <c r="DL81" s="62" t="s">
        <v>31</v>
      </c>
      <c r="DN81" s="62" t="s">
        <v>31</v>
      </c>
      <c r="DP81" s="62" t="s">
        <v>31</v>
      </c>
      <c r="DR81" s="62" t="s">
        <v>31</v>
      </c>
      <c r="DT81" s="62" t="s">
        <v>31</v>
      </c>
      <c r="DV81" s="62" t="s">
        <v>31</v>
      </c>
    </row>
    <row r="82" spans="2:126" ht="12.75">
      <c r="B82" s="62" t="s">
        <v>109</v>
      </c>
      <c r="F82" s="62" t="s">
        <v>136</v>
      </c>
      <c r="H82" s="59" t="s">
        <v>136</v>
      </c>
      <c r="I82" s="59"/>
      <c r="J82" s="59" t="s">
        <v>136</v>
      </c>
      <c r="K82" s="59"/>
      <c r="L82" s="59" t="s">
        <v>136</v>
      </c>
      <c r="N82" s="59" t="s">
        <v>136</v>
      </c>
      <c r="P82" s="59" t="s">
        <v>136</v>
      </c>
      <c r="R82" s="62" t="s">
        <v>199</v>
      </c>
      <c r="AD82" s="62" t="s">
        <v>200</v>
      </c>
      <c r="BB82" s="62" t="s">
        <v>201</v>
      </c>
      <c r="BN82" s="62" t="s">
        <v>202</v>
      </c>
      <c r="BZ82" s="62" t="s">
        <v>202</v>
      </c>
      <c r="CL82" s="62" t="s">
        <v>203</v>
      </c>
      <c r="DJ82" s="62" t="s">
        <v>31</v>
      </c>
      <c r="DL82" s="62" t="s">
        <v>31</v>
      </c>
      <c r="DN82" s="62" t="s">
        <v>31</v>
      </c>
      <c r="DP82" s="62" t="s">
        <v>31</v>
      </c>
      <c r="DR82" s="62" t="s">
        <v>31</v>
      </c>
      <c r="DT82" s="62" t="s">
        <v>31</v>
      </c>
      <c r="DV82" s="62" t="s">
        <v>31</v>
      </c>
    </row>
    <row r="83" spans="1:113" ht="12.75">
      <c r="A83" s="62" t="s">
        <v>179</v>
      </c>
      <c r="B83" s="62" t="s">
        <v>204</v>
      </c>
      <c r="D83" s="62" t="s">
        <v>205</v>
      </c>
      <c r="E83" s="59"/>
      <c r="F83" s="59">
        <v>10140</v>
      </c>
      <c r="G83" s="59"/>
      <c r="H83" s="59">
        <v>10680</v>
      </c>
      <c r="I83" s="59"/>
      <c r="J83" s="59">
        <v>9220</v>
      </c>
      <c r="K83" s="59"/>
      <c r="L83" s="59">
        <v>11500</v>
      </c>
      <c r="M83" s="59"/>
      <c r="N83" s="59"/>
      <c r="O83" s="59"/>
      <c r="P83" s="59"/>
      <c r="Q83" s="59"/>
      <c r="R83" s="59">
        <v>14000</v>
      </c>
      <c r="S83" s="59"/>
      <c r="T83" s="59">
        <v>14000</v>
      </c>
      <c r="U83" s="59"/>
      <c r="V83" s="59">
        <v>14020</v>
      </c>
      <c r="W83" s="59"/>
      <c r="X83" s="59">
        <v>14000</v>
      </c>
      <c r="Y83" s="59"/>
      <c r="Z83" s="59"/>
      <c r="AA83" s="59"/>
      <c r="AB83" s="59"/>
      <c r="AC83" s="59"/>
      <c r="AD83" s="59">
        <v>5480</v>
      </c>
      <c r="AE83" s="59"/>
      <c r="AF83" s="59">
        <v>5560</v>
      </c>
      <c r="AG83" s="59"/>
      <c r="AH83" s="59">
        <v>5400</v>
      </c>
      <c r="AI83" s="59"/>
      <c r="AJ83" s="59">
        <v>5020</v>
      </c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>
        <v>171800</v>
      </c>
      <c r="BD83">
        <v>171800</v>
      </c>
      <c r="BF83">
        <v>175600</v>
      </c>
      <c r="BG83" s="59"/>
      <c r="BH83">
        <v>115000</v>
      </c>
      <c r="BI83" s="59"/>
      <c r="BJ83" s="59"/>
      <c r="BK83" s="59"/>
      <c r="BL83" s="59"/>
      <c r="BM83" s="59"/>
      <c r="BN83" s="61">
        <v>171.8529792</v>
      </c>
      <c r="BO83" s="61"/>
      <c r="BP83" s="61">
        <v>208.9277374</v>
      </c>
      <c r="BQ83" s="61"/>
      <c r="BR83" s="61">
        <v>198.0083536</v>
      </c>
      <c r="BS83" s="61"/>
      <c r="BT83" s="61">
        <v>205.755318</v>
      </c>
      <c r="BU83" s="59"/>
      <c r="BV83" s="59"/>
      <c r="BW83" s="59"/>
      <c r="BX83" s="59"/>
      <c r="BY83" s="59"/>
      <c r="BZ83" s="66">
        <v>163.6099798</v>
      </c>
      <c r="CA83" s="66"/>
      <c r="CB83" s="66">
        <v>198.072287</v>
      </c>
      <c r="CC83" s="66"/>
      <c r="CD83" s="66">
        <v>186.0483986</v>
      </c>
      <c r="CE83" s="66"/>
      <c r="CF83" s="66">
        <v>196.2049908</v>
      </c>
      <c r="CG83" s="59"/>
      <c r="CH83" s="59"/>
      <c r="CI83" s="59"/>
      <c r="CJ83" s="59"/>
      <c r="CK83" s="59"/>
      <c r="CL83"/>
      <c r="CM83"/>
      <c r="CN83"/>
      <c r="CO83"/>
      <c r="CP83"/>
      <c r="CQ83"/>
      <c r="CR83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</row>
    <row r="84" spans="1:113" ht="12.75">
      <c r="A84" s="62" t="s">
        <v>179</v>
      </c>
      <c r="B84" s="62" t="s">
        <v>206</v>
      </c>
      <c r="D84" s="62" t="s">
        <v>207</v>
      </c>
      <c r="E84" s="59"/>
      <c r="F84" s="59">
        <v>11835</v>
      </c>
      <c r="G84" s="59"/>
      <c r="H84" s="59">
        <v>12271</v>
      </c>
      <c r="I84" s="59"/>
      <c r="J84" s="59">
        <v>11923</v>
      </c>
      <c r="K84" s="59"/>
      <c r="L84" s="59">
        <v>12420</v>
      </c>
      <c r="M84" s="59"/>
      <c r="N84" s="59"/>
      <c r="O84" s="59"/>
      <c r="P84" s="59"/>
      <c r="Q84" s="59"/>
      <c r="R84" s="59">
        <v>16943</v>
      </c>
      <c r="S84" s="59"/>
      <c r="T84" s="59">
        <v>19004</v>
      </c>
      <c r="U84" s="59"/>
      <c r="V84" s="59">
        <v>17632</v>
      </c>
      <c r="W84" s="59"/>
      <c r="X84" s="59">
        <v>16783</v>
      </c>
      <c r="Y84" s="59"/>
      <c r="Z84" s="59"/>
      <c r="AA84" s="59"/>
      <c r="AB84" s="59"/>
      <c r="AC84" s="59"/>
      <c r="AD84" s="59">
        <v>5552</v>
      </c>
      <c r="AE84" s="59"/>
      <c r="AF84" s="59">
        <v>5651</v>
      </c>
      <c r="AG84" s="59"/>
      <c r="AH84" s="59">
        <v>5847</v>
      </c>
      <c r="AI84" s="59"/>
      <c r="AJ84" s="59">
        <v>5019</v>
      </c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/>
      <c r="BO84"/>
      <c r="BP84"/>
      <c r="BQ84"/>
      <c r="BR84"/>
      <c r="BS84"/>
      <c r="BT84"/>
      <c r="BU84" s="59"/>
      <c r="BV84" s="59"/>
      <c r="BW84" s="59"/>
      <c r="BX84" s="59"/>
      <c r="BY84" s="59"/>
      <c r="BZ84" s="59">
        <v>0</v>
      </c>
      <c r="CA84" s="59"/>
      <c r="CB84" s="59">
        <v>0</v>
      </c>
      <c r="CC84" s="59"/>
      <c r="CD84" s="59">
        <v>0</v>
      </c>
      <c r="CE84" s="59"/>
      <c r="CF84" s="59">
        <v>0</v>
      </c>
      <c r="CG84" s="59"/>
      <c r="CH84" s="59"/>
      <c r="CI84" s="59"/>
      <c r="CJ84" s="59"/>
      <c r="CK84" s="59"/>
      <c r="CL84"/>
      <c r="CM84"/>
      <c r="CN84"/>
      <c r="CO84"/>
      <c r="CP84"/>
      <c r="CQ84"/>
      <c r="CR84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</row>
    <row r="85" spans="1:113" ht="12.75">
      <c r="A85" s="62" t="s">
        <v>179</v>
      </c>
      <c r="B85" s="62" t="s">
        <v>22</v>
      </c>
      <c r="D85" s="62" t="s">
        <v>205</v>
      </c>
      <c r="E85" s="59"/>
      <c r="F85" s="59">
        <v>10.14</v>
      </c>
      <c r="G85" s="59"/>
      <c r="H85" s="59">
        <v>10.68</v>
      </c>
      <c r="I85" s="59"/>
      <c r="J85" s="59">
        <v>9.22</v>
      </c>
      <c r="K85" s="59"/>
      <c r="L85" s="59">
        <v>11.5</v>
      </c>
      <c r="M85" s="59"/>
      <c r="N85" s="59"/>
      <c r="O85" s="59"/>
      <c r="P85" s="59"/>
      <c r="Q85" s="59"/>
      <c r="R85" s="59">
        <v>425</v>
      </c>
      <c r="S85" s="59"/>
      <c r="T85" s="59">
        <v>500</v>
      </c>
      <c r="U85" s="59"/>
      <c r="V85" s="59">
        <v>496</v>
      </c>
      <c r="W85" s="59"/>
      <c r="X85" s="59">
        <v>630</v>
      </c>
      <c r="Y85" s="59"/>
      <c r="Z85" s="59"/>
      <c r="AA85" s="59"/>
      <c r="AB85" s="59"/>
      <c r="AC85" s="59"/>
      <c r="AD85" s="59">
        <v>244</v>
      </c>
      <c r="AE85" s="59"/>
      <c r="AF85" s="59">
        <v>295</v>
      </c>
      <c r="AG85" s="59"/>
      <c r="AH85" s="59">
        <v>282</v>
      </c>
      <c r="AI85" s="59"/>
      <c r="AJ85" s="59">
        <v>291</v>
      </c>
      <c r="AK85" s="59"/>
      <c r="AL85" s="59"/>
      <c r="AM85" s="59"/>
      <c r="AN85" s="59"/>
      <c r="AO85" s="59">
        <v>1</v>
      </c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>
        <v>34.36</v>
      </c>
      <c r="BC85" s="59">
        <v>1</v>
      </c>
      <c r="BD85" s="59">
        <v>34.36</v>
      </c>
      <c r="BE85" s="59">
        <v>1</v>
      </c>
      <c r="BF85" s="59">
        <v>35.12</v>
      </c>
      <c r="BG85" s="59">
        <v>1</v>
      </c>
      <c r="BH85" s="59">
        <v>23</v>
      </c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/>
      <c r="CM85"/>
      <c r="CN85"/>
      <c r="CO85"/>
      <c r="CP85"/>
      <c r="CQ85"/>
      <c r="CR85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</row>
    <row r="86" spans="1:113" ht="12.75">
      <c r="A86" s="62" t="s">
        <v>179</v>
      </c>
      <c r="B86" s="62" t="s">
        <v>103</v>
      </c>
      <c r="D86" s="62" t="s">
        <v>205</v>
      </c>
      <c r="E86" s="59"/>
      <c r="F86" s="59">
        <v>0.012168</v>
      </c>
      <c r="G86" s="59"/>
      <c r="H86" s="59">
        <v>0.013884</v>
      </c>
      <c r="I86" s="59"/>
      <c r="J86" s="59">
        <v>0.00922</v>
      </c>
      <c r="K86" s="59"/>
      <c r="L86" s="59">
        <v>0.0138</v>
      </c>
      <c r="M86" s="59"/>
      <c r="N86" s="59"/>
      <c r="O86" s="59"/>
      <c r="P86" s="59"/>
      <c r="Q86" s="59"/>
      <c r="R86" s="59">
        <v>0.0126</v>
      </c>
      <c r="S86" s="59"/>
      <c r="T86" s="59">
        <v>0.1106</v>
      </c>
      <c r="U86" s="59"/>
      <c r="V86" s="59">
        <v>0.018226</v>
      </c>
      <c r="W86" s="59"/>
      <c r="X86" s="59">
        <v>0.0938</v>
      </c>
      <c r="Y86" s="59"/>
      <c r="Z86" s="59"/>
      <c r="AA86" s="59"/>
      <c r="AB86" s="59"/>
      <c r="AC86" s="59"/>
      <c r="AD86" s="59">
        <v>1.5892</v>
      </c>
      <c r="AE86" s="59"/>
      <c r="AF86" s="59">
        <v>1.2232</v>
      </c>
      <c r="AG86" s="59"/>
      <c r="AH86" s="59">
        <v>3.564</v>
      </c>
      <c r="AI86" s="59"/>
      <c r="AJ86" s="59">
        <v>2.7108</v>
      </c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>
        <v>0.5154</v>
      </c>
      <c r="BC86" s="59"/>
      <c r="BD86" s="59">
        <v>0.41232</v>
      </c>
      <c r="BE86" s="59"/>
      <c r="BF86" s="59">
        <v>0.45656</v>
      </c>
      <c r="BG86" s="59"/>
      <c r="BH86" s="59">
        <v>0.253</v>
      </c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/>
      <c r="CM86"/>
      <c r="CN86"/>
      <c r="CO86"/>
      <c r="CP86"/>
      <c r="CQ86"/>
      <c r="CR86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</row>
    <row r="87" spans="1:113" ht="12.75">
      <c r="A87" s="62" t="s">
        <v>179</v>
      </c>
      <c r="B87" s="62" t="s">
        <v>99</v>
      </c>
      <c r="D87" s="62" t="s">
        <v>205</v>
      </c>
      <c r="E87" s="59"/>
      <c r="F87" s="59">
        <v>0.6084</v>
      </c>
      <c r="G87" s="59"/>
      <c r="H87" s="59">
        <v>0.35244</v>
      </c>
      <c r="I87" s="59"/>
      <c r="J87" s="59">
        <v>0.2766</v>
      </c>
      <c r="K87" s="59"/>
      <c r="L87" s="59">
        <v>0.5405</v>
      </c>
      <c r="M87" s="59"/>
      <c r="N87" s="59"/>
      <c r="O87" s="59"/>
      <c r="P87" s="59"/>
      <c r="Q87" s="59"/>
      <c r="R87" s="59">
        <v>0.0042</v>
      </c>
      <c r="S87" s="59"/>
      <c r="T87" s="59">
        <v>0.0112</v>
      </c>
      <c r="U87" s="59"/>
      <c r="V87" s="59">
        <v>0.005608</v>
      </c>
      <c r="W87" s="59"/>
      <c r="X87" s="59">
        <v>2.38</v>
      </c>
      <c r="Y87" s="59"/>
      <c r="Z87" s="59"/>
      <c r="AA87" s="59"/>
      <c r="AB87" s="59"/>
      <c r="AC87" s="59"/>
      <c r="AD87" s="59">
        <v>3.6168</v>
      </c>
      <c r="AE87" s="59"/>
      <c r="AF87" s="59">
        <v>3.892</v>
      </c>
      <c r="AG87" s="59"/>
      <c r="AH87" s="59">
        <v>8.64</v>
      </c>
      <c r="AI87" s="59"/>
      <c r="AJ87" s="59">
        <v>9.1364</v>
      </c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>
        <v>0.24052</v>
      </c>
      <c r="BC87" s="59"/>
      <c r="BD87" s="59">
        <v>0.32642</v>
      </c>
      <c r="BE87" s="59"/>
      <c r="BF87" s="59">
        <v>0.38632</v>
      </c>
      <c r="BG87" s="59"/>
      <c r="BH87" s="59">
        <v>0.2185</v>
      </c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>
        <f>10300/454</f>
        <v>22.687224669603523</v>
      </c>
      <c r="CM87"/>
      <c r="CN87">
        <f>10800/454</f>
        <v>23.788546255506606</v>
      </c>
      <c r="CO87"/>
      <c r="CP87">
        <f>9620/454</f>
        <v>21.18942731277533</v>
      </c>
      <c r="CQ87"/>
      <c r="CR87">
        <f>10900/454</f>
        <v>24.008810572687224</v>
      </c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</row>
    <row r="88" spans="1:113" ht="12.75">
      <c r="A88" s="62" t="s">
        <v>179</v>
      </c>
      <c r="B88" s="62" t="s">
        <v>100</v>
      </c>
      <c r="D88" s="62" t="s">
        <v>205</v>
      </c>
      <c r="E88" s="59"/>
      <c r="F88" s="59">
        <v>0.28392</v>
      </c>
      <c r="G88" s="59"/>
      <c r="H88" s="59">
        <v>0.19224</v>
      </c>
      <c r="I88" s="59"/>
      <c r="J88" s="59">
        <v>0.20284</v>
      </c>
      <c r="K88" s="59"/>
      <c r="L88" s="59">
        <v>0.2185</v>
      </c>
      <c r="M88" s="59"/>
      <c r="N88" s="59"/>
      <c r="O88" s="59"/>
      <c r="P88" s="59"/>
      <c r="Q88" s="59"/>
      <c r="R88" s="59">
        <v>0.224</v>
      </c>
      <c r="S88" s="59"/>
      <c r="T88" s="59">
        <v>1.54</v>
      </c>
      <c r="U88" s="59"/>
      <c r="V88" s="59">
        <v>0.61688</v>
      </c>
      <c r="W88" s="59"/>
      <c r="X88" s="59">
        <v>0.812</v>
      </c>
      <c r="Y88" s="59"/>
      <c r="Z88" s="59"/>
      <c r="AA88" s="59"/>
      <c r="AB88" s="59"/>
      <c r="AC88" s="59"/>
      <c r="AD88" s="59">
        <v>1.5892</v>
      </c>
      <c r="AE88" s="59"/>
      <c r="AF88" s="59">
        <v>1.5568</v>
      </c>
      <c r="AG88" s="59"/>
      <c r="AH88" s="59">
        <v>2.16</v>
      </c>
      <c r="AI88" s="59"/>
      <c r="AJ88" s="59">
        <v>2.5602</v>
      </c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>
        <v>4.8104</v>
      </c>
      <c r="BC88" s="59"/>
      <c r="BD88" s="59">
        <v>5.3258</v>
      </c>
      <c r="BE88" s="59"/>
      <c r="BF88" s="59">
        <v>4.7412</v>
      </c>
      <c r="BG88" s="59"/>
      <c r="BH88" s="59">
        <v>3.105</v>
      </c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/>
      <c r="CM88"/>
      <c r="CN88"/>
      <c r="CO88"/>
      <c r="CP88"/>
      <c r="CQ88"/>
      <c r="CR88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</row>
    <row r="89" spans="1:113" ht="12.75">
      <c r="A89" s="62" t="s">
        <v>179</v>
      </c>
      <c r="B89" s="62" t="s">
        <v>101</v>
      </c>
      <c r="D89" s="62" t="s">
        <v>205</v>
      </c>
      <c r="E89" s="59"/>
      <c r="F89" s="59">
        <v>0.003042</v>
      </c>
      <c r="G89" s="59"/>
      <c r="H89" s="59">
        <v>0.003204</v>
      </c>
      <c r="I89" s="59"/>
      <c r="J89" s="59">
        <v>0.002766</v>
      </c>
      <c r="K89" s="59"/>
      <c r="L89" s="59">
        <v>0.00345</v>
      </c>
      <c r="M89" s="59"/>
      <c r="N89" s="59"/>
      <c r="O89" s="59"/>
      <c r="P89" s="59"/>
      <c r="Q89" s="59"/>
      <c r="R89" s="59">
        <v>0.0042</v>
      </c>
      <c r="S89" s="59"/>
      <c r="T89" s="59">
        <v>0.0042</v>
      </c>
      <c r="U89" s="59"/>
      <c r="V89" s="59">
        <v>0.004206</v>
      </c>
      <c r="W89" s="59"/>
      <c r="X89" s="59">
        <v>0.0042</v>
      </c>
      <c r="Y89" s="59"/>
      <c r="Z89" s="59"/>
      <c r="AA89" s="59"/>
      <c r="AB89" s="59"/>
      <c r="AC89" s="59"/>
      <c r="AD89" s="59">
        <v>0.009864</v>
      </c>
      <c r="AE89" s="59"/>
      <c r="AF89" s="59">
        <v>0.010008</v>
      </c>
      <c r="AG89" s="59"/>
      <c r="AH89" s="59">
        <v>0.01458</v>
      </c>
      <c r="AI89" s="59"/>
      <c r="AJ89" s="59">
        <v>0.016064</v>
      </c>
      <c r="AK89" s="59"/>
      <c r="AL89" s="59"/>
      <c r="AM89" s="59"/>
      <c r="AN89" s="59"/>
      <c r="AO89" s="59">
        <v>1</v>
      </c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>
        <v>0.05154</v>
      </c>
      <c r="BC89" s="59">
        <v>1</v>
      </c>
      <c r="BD89" s="59">
        <v>0.05154</v>
      </c>
      <c r="BE89" s="59">
        <v>1</v>
      </c>
      <c r="BF89" s="59">
        <v>0.05268</v>
      </c>
      <c r="BG89" s="59">
        <v>1</v>
      </c>
      <c r="BH89" s="59">
        <v>0.0345</v>
      </c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>
        <f>399/454</f>
        <v>0.8788546255506607</v>
      </c>
      <c r="CM89"/>
      <c r="CN89">
        <f>413/454</f>
        <v>0.9096916299559471</v>
      </c>
      <c r="CO89"/>
      <c r="CP89">
        <f>560/454</f>
        <v>1.2334801762114538</v>
      </c>
      <c r="CQ89"/>
      <c r="CR89">
        <f>415/454</f>
        <v>0.9140969162995595</v>
      </c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</row>
    <row r="90" spans="1:113" ht="12.75">
      <c r="A90" s="62" t="s">
        <v>179</v>
      </c>
      <c r="B90" s="62" t="s">
        <v>106</v>
      </c>
      <c r="D90" s="62" t="s">
        <v>205</v>
      </c>
      <c r="E90" s="59"/>
      <c r="F90" s="59">
        <v>2.03814</v>
      </c>
      <c r="G90" s="59"/>
      <c r="H90" s="59">
        <v>0.066216</v>
      </c>
      <c r="I90" s="59"/>
      <c r="J90" s="59">
        <v>0.016596</v>
      </c>
      <c r="K90" s="59"/>
      <c r="L90" s="59">
        <v>0.023</v>
      </c>
      <c r="M90" s="59"/>
      <c r="N90" s="59"/>
      <c r="O90" s="59"/>
      <c r="P90" s="59"/>
      <c r="Q90" s="59"/>
      <c r="R90" s="59">
        <v>0.021</v>
      </c>
      <c r="S90" s="59"/>
      <c r="T90" s="59">
        <v>0.0756</v>
      </c>
      <c r="U90" s="59"/>
      <c r="V90" s="59">
        <v>0.01402</v>
      </c>
      <c r="W90" s="59"/>
      <c r="X90" s="59">
        <v>0.0252</v>
      </c>
      <c r="Y90" s="59"/>
      <c r="Z90" s="59"/>
      <c r="AA90" s="59"/>
      <c r="AB90" s="59"/>
      <c r="AC90" s="59"/>
      <c r="AD90" s="59">
        <v>0.09316</v>
      </c>
      <c r="AE90" s="59"/>
      <c r="AF90" s="59">
        <v>0.09452</v>
      </c>
      <c r="AG90" s="59"/>
      <c r="AH90" s="59">
        <v>0.2214</v>
      </c>
      <c r="AI90" s="59"/>
      <c r="AJ90" s="59">
        <v>0.23092</v>
      </c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>
        <v>0.015462</v>
      </c>
      <c r="BC90" s="59"/>
      <c r="BD90" s="59">
        <v>0.01718</v>
      </c>
      <c r="BE90" s="59"/>
      <c r="BF90" s="59">
        <v>0.01756</v>
      </c>
      <c r="BG90" s="59"/>
      <c r="BH90" s="59">
        <v>0.0115</v>
      </c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>
        <f>2000/454</f>
        <v>4.405286343612334</v>
      </c>
      <c r="CM90"/>
      <c r="CN90">
        <f>1760/454</f>
        <v>3.8766519823788546</v>
      </c>
      <c r="CO90"/>
      <c r="CP90">
        <f>1490/454</f>
        <v>3.2819383259911894</v>
      </c>
      <c r="CQ90"/>
      <c r="CR90">
        <f>1130/454</f>
        <v>2.488986784140969</v>
      </c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</row>
    <row r="91" spans="1:113" ht="12.75">
      <c r="A91" s="62" t="s">
        <v>179</v>
      </c>
      <c r="B91" s="62" t="s">
        <v>108</v>
      </c>
      <c r="D91" s="62" t="s">
        <v>205</v>
      </c>
      <c r="E91" s="59"/>
      <c r="F91" s="59">
        <v>0.02028</v>
      </c>
      <c r="G91" s="59"/>
      <c r="H91" s="59">
        <v>0.02136</v>
      </c>
      <c r="I91" s="59"/>
      <c r="J91" s="59">
        <v>0.01844</v>
      </c>
      <c r="K91" s="59"/>
      <c r="L91" s="59">
        <v>0.023</v>
      </c>
      <c r="M91" s="59"/>
      <c r="N91" s="59"/>
      <c r="O91" s="59"/>
      <c r="P91" s="59"/>
      <c r="Q91" s="59"/>
      <c r="R91" s="59">
        <v>0.028</v>
      </c>
      <c r="S91" s="59"/>
      <c r="T91" s="59">
        <v>0.35</v>
      </c>
      <c r="U91" s="59"/>
      <c r="V91" s="59">
        <v>0.093934</v>
      </c>
      <c r="W91" s="59"/>
      <c r="X91" s="59">
        <v>0.182</v>
      </c>
      <c r="Y91" s="59"/>
      <c r="Z91" s="59"/>
      <c r="AA91" s="59"/>
      <c r="AB91" s="59"/>
      <c r="AC91" s="59"/>
      <c r="AD91" s="59">
        <v>3.9456</v>
      </c>
      <c r="AE91" s="59"/>
      <c r="AF91" s="59">
        <v>4.0032</v>
      </c>
      <c r="AG91" s="59"/>
      <c r="AH91" s="59">
        <v>7.452</v>
      </c>
      <c r="AI91" s="59"/>
      <c r="AJ91" s="59">
        <v>7.2288</v>
      </c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>
        <v>1.01362</v>
      </c>
      <c r="BC91" s="59"/>
      <c r="BD91" s="59">
        <v>1.16824</v>
      </c>
      <c r="BE91" s="59"/>
      <c r="BF91" s="59">
        <v>1.2292</v>
      </c>
      <c r="BG91" s="59"/>
      <c r="BH91" s="59">
        <v>0.667</v>
      </c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>
        <f>18700/454</f>
        <v>41.18942731277533</v>
      </c>
      <c r="CM91"/>
      <c r="CN91">
        <f>14500/454</f>
        <v>31.938325991189426</v>
      </c>
      <c r="CO91"/>
      <c r="CP91">
        <f>13800/454</f>
        <v>30.39647577092511</v>
      </c>
      <c r="CQ91"/>
      <c r="CR91">
        <f>13000/454</f>
        <v>28.634361233480178</v>
      </c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</row>
    <row r="92" spans="1:113" ht="12.75">
      <c r="A92" s="62" t="s">
        <v>179</v>
      </c>
      <c r="B92" s="62" t="s">
        <v>209</v>
      </c>
      <c r="D92" s="62" t="s">
        <v>205</v>
      </c>
      <c r="E92" s="59"/>
      <c r="F92" s="59">
        <v>0.11154</v>
      </c>
      <c r="G92" s="59"/>
      <c r="H92" s="59">
        <v>0.100392</v>
      </c>
      <c r="I92" s="59"/>
      <c r="J92" s="59">
        <v>0.11064</v>
      </c>
      <c r="K92" s="59"/>
      <c r="L92" s="59">
        <v>0.1058</v>
      </c>
      <c r="M92" s="59"/>
      <c r="N92" s="59"/>
      <c r="O92" s="59"/>
      <c r="P92" s="59"/>
      <c r="Q92" s="59"/>
      <c r="R92" s="59">
        <v>0.1288</v>
      </c>
      <c r="S92" s="59"/>
      <c r="T92" s="59">
        <v>1.68</v>
      </c>
      <c r="U92" s="59"/>
      <c r="V92" s="59">
        <v>0.60286</v>
      </c>
      <c r="W92" s="59"/>
      <c r="X92" s="59">
        <v>0.798</v>
      </c>
      <c r="Y92" s="59"/>
      <c r="Z92" s="59"/>
      <c r="AA92" s="59"/>
      <c r="AB92" s="59"/>
      <c r="AC92" s="59"/>
      <c r="AD92" s="59">
        <v>1.6988</v>
      </c>
      <c r="AE92" s="59"/>
      <c r="AF92" s="59">
        <v>1.7236</v>
      </c>
      <c r="AG92" s="59"/>
      <c r="AH92" s="59">
        <v>2.97</v>
      </c>
      <c r="AI92" s="59"/>
      <c r="AJ92" s="59">
        <v>3.2128</v>
      </c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>
        <v>0.36078</v>
      </c>
      <c r="BC92" s="59"/>
      <c r="BD92" s="59">
        <v>0.41232</v>
      </c>
      <c r="BE92" s="59"/>
      <c r="BF92" s="59">
        <v>0.42144</v>
      </c>
      <c r="BG92" s="59"/>
      <c r="BH92" s="59">
        <v>0.253</v>
      </c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/>
      <c r="CM92"/>
      <c r="CN92"/>
      <c r="CO92"/>
      <c r="CP92"/>
      <c r="CQ92"/>
      <c r="CR92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</row>
    <row r="93" spans="1:113" ht="12.75">
      <c r="A93" s="62" t="s">
        <v>179</v>
      </c>
      <c r="B93" s="62" t="s">
        <v>104</v>
      </c>
      <c r="D93" s="62" t="s">
        <v>205</v>
      </c>
      <c r="E93" s="59"/>
      <c r="F93" s="59">
        <v>0.075036</v>
      </c>
      <c r="G93" s="59"/>
      <c r="H93" s="59">
        <v>0.063012</v>
      </c>
      <c r="I93" s="59"/>
      <c r="J93" s="59">
        <v>0.0461</v>
      </c>
      <c r="K93" s="59"/>
      <c r="L93" s="59">
        <v>0.07015</v>
      </c>
      <c r="M93" s="59"/>
      <c r="N93" s="59"/>
      <c r="O93" s="59"/>
      <c r="P93" s="59"/>
      <c r="Q93" s="59"/>
      <c r="R93" s="59">
        <v>0.168</v>
      </c>
      <c r="S93" s="59"/>
      <c r="T93" s="59">
        <v>1.288</v>
      </c>
      <c r="U93" s="59"/>
      <c r="V93" s="59">
        <v>0.44864</v>
      </c>
      <c r="W93" s="59"/>
      <c r="X93" s="59">
        <v>7.84</v>
      </c>
      <c r="Y93" s="59"/>
      <c r="Z93" s="59"/>
      <c r="AA93" s="59"/>
      <c r="AB93" s="59"/>
      <c r="AC93" s="59"/>
      <c r="AD93" s="59">
        <v>1.4248</v>
      </c>
      <c r="AE93" s="59"/>
      <c r="AF93" s="59">
        <v>1.2788</v>
      </c>
      <c r="AG93" s="59"/>
      <c r="AH93" s="59">
        <v>1.89</v>
      </c>
      <c r="AI93" s="59"/>
      <c r="AJ93" s="59">
        <v>1.9076</v>
      </c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>
        <v>0.3436</v>
      </c>
      <c r="BC93" s="59"/>
      <c r="BD93" s="59">
        <v>0.41232</v>
      </c>
      <c r="BE93" s="59"/>
      <c r="BF93" s="59">
        <v>0.38632</v>
      </c>
      <c r="BG93" s="59"/>
      <c r="BH93" s="59">
        <v>0.253</v>
      </c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>
        <f>32600/454</f>
        <v>71.80616740088105</v>
      </c>
      <c r="CM93"/>
      <c r="CN93">
        <f>31800/454</f>
        <v>70.04405286343612</v>
      </c>
      <c r="CO93"/>
      <c r="CP93">
        <f>33500/454</f>
        <v>73.7885462555066</v>
      </c>
      <c r="CQ93"/>
      <c r="CR93">
        <f>17300/454</f>
        <v>38.1057268722467</v>
      </c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</row>
    <row r="94" spans="1:113" ht="12.75">
      <c r="A94" s="62" t="s">
        <v>179</v>
      </c>
      <c r="B94" s="62" t="s">
        <v>112</v>
      </c>
      <c r="D94" s="62" t="s">
        <v>205</v>
      </c>
      <c r="E94" s="59"/>
      <c r="F94" s="59">
        <v>0.0027378</v>
      </c>
      <c r="G94" s="59"/>
      <c r="H94" s="59">
        <v>0.00267</v>
      </c>
      <c r="I94" s="59"/>
      <c r="J94" s="59">
        <v>0.0022128</v>
      </c>
      <c r="K94" s="59"/>
      <c r="L94" s="59">
        <v>0.00368</v>
      </c>
      <c r="M94" s="59"/>
      <c r="N94" s="59"/>
      <c r="O94" s="59"/>
      <c r="P94" s="59"/>
      <c r="Q94" s="59"/>
      <c r="R94" s="59">
        <v>0.0021</v>
      </c>
      <c r="S94" s="59"/>
      <c r="T94" s="59">
        <v>0.00224</v>
      </c>
      <c r="U94" s="59"/>
      <c r="V94" s="59">
        <v>0.0018226</v>
      </c>
      <c r="W94" s="59"/>
      <c r="X94" s="59">
        <v>0.00378</v>
      </c>
      <c r="Y94" s="59"/>
      <c r="Z94" s="59"/>
      <c r="AA94" s="59"/>
      <c r="AB94" s="59"/>
      <c r="AC94" s="59"/>
      <c r="AD94" s="59">
        <v>0.033976</v>
      </c>
      <c r="AE94" s="59"/>
      <c r="AF94" s="59">
        <v>0.040032</v>
      </c>
      <c r="AG94" s="59"/>
      <c r="AH94" s="59">
        <v>0.02808</v>
      </c>
      <c r="AI94" s="59"/>
      <c r="AJ94" s="59">
        <v>0.024096</v>
      </c>
      <c r="AK94" s="59"/>
      <c r="AL94" s="59"/>
      <c r="AM94" s="59"/>
      <c r="AN94" s="59"/>
      <c r="AO94" s="59">
        <v>1</v>
      </c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>
        <v>0.003436</v>
      </c>
      <c r="BC94" s="59">
        <v>1</v>
      </c>
      <c r="BD94" s="59">
        <v>0.003436</v>
      </c>
      <c r="BE94" s="59">
        <v>1</v>
      </c>
      <c r="BF94" s="59">
        <v>0.003512</v>
      </c>
      <c r="BG94" s="59">
        <v>1</v>
      </c>
      <c r="BH94" s="59">
        <v>0.0023</v>
      </c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/>
      <c r="CM94"/>
      <c r="CN94"/>
      <c r="CO94"/>
      <c r="CP94"/>
      <c r="CQ94"/>
      <c r="CR94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</row>
    <row r="95" spans="1:113" ht="12.75">
      <c r="A95" s="62" t="s">
        <v>179</v>
      </c>
      <c r="B95" s="62" t="s">
        <v>105</v>
      </c>
      <c r="D95" s="62" t="s">
        <v>205</v>
      </c>
      <c r="E95" s="59"/>
      <c r="F95" s="59">
        <v>0.1521</v>
      </c>
      <c r="G95" s="59"/>
      <c r="H95" s="59">
        <v>0.11748</v>
      </c>
      <c r="I95" s="59"/>
      <c r="J95" s="59">
        <v>0.11064</v>
      </c>
      <c r="K95" s="59"/>
      <c r="L95" s="59">
        <v>0.1127</v>
      </c>
      <c r="M95" s="59"/>
      <c r="N95" s="59"/>
      <c r="O95" s="59"/>
      <c r="P95" s="59"/>
      <c r="Q95" s="59"/>
      <c r="R95" s="59">
        <v>0.028</v>
      </c>
      <c r="S95" s="59"/>
      <c r="T95" s="59">
        <v>0.042</v>
      </c>
      <c r="U95" s="59"/>
      <c r="V95" s="59">
        <v>0.02804</v>
      </c>
      <c r="W95" s="59"/>
      <c r="X95" s="59">
        <v>0.042</v>
      </c>
      <c r="Y95" s="59"/>
      <c r="Z95" s="59"/>
      <c r="AA95" s="59"/>
      <c r="AB95" s="59"/>
      <c r="AC95" s="59"/>
      <c r="AD95" s="59">
        <v>0.25756</v>
      </c>
      <c r="AE95" s="59"/>
      <c r="AF95" s="59">
        <v>0.26132</v>
      </c>
      <c r="AG95" s="59"/>
      <c r="AH95" s="59">
        <v>0.3834</v>
      </c>
      <c r="AI95" s="59"/>
      <c r="AJ95" s="59">
        <v>0.43172</v>
      </c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>
        <v>0.72156</v>
      </c>
      <c r="BC95" s="59"/>
      <c r="BD95" s="59">
        <v>0.6872</v>
      </c>
      <c r="BE95" s="59"/>
      <c r="BF95" s="59">
        <v>0.68484</v>
      </c>
      <c r="BG95" s="59"/>
      <c r="BH95" s="59">
        <v>0.4025</v>
      </c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/>
      <c r="CM95"/>
      <c r="CN95"/>
      <c r="CO95"/>
      <c r="CP95"/>
      <c r="CQ95"/>
      <c r="CR95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</row>
    <row r="96" spans="1:113" ht="12.75">
      <c r="A96" s="62" t="s">
        <v>179</v>
      </c>
      <c r="B96" s="62" t="s">
        <v>107</v>
      </c>
      <c r="D96" s="62" t="s">
        <v>205</v>
      </c>
      <c r="E96" s="59"/>
      <c r="F96" s="59">
        <v>0.000507</v>
      </c>
      <c r="G96" s="59"/>
      <c r="H96" s="59">
        <v>0.000534</v>
      </c>
      <c r="I96" s="59"/>
      <c r="J96" s="59">
        <v>0.000461</v>
      </c>
      <c r="K96" s="59"/>
      <c r="L96" s="59">
        <v>0.000575</v>
      </c>
      <c r="M96" s="59"/>
      <c r="N96" s="59"/>
      <c r="O96" s="59"/>
      <c r="P96" s="59"/>
      <c r="Q96" s="59"/>
      <c r="R96" s="59">
        <v>0.00308</v>
      </c>
      <c r="S96" s="59"/>
      <c r="T96" s="59">
        <v>0.00336</v>
      </c>
      <c r="U96" s="59"/>
      <c r="V96" s="59">
        <v>0.0033648</v>
      </c>
      <c r="W96" s="59"/>
      <c r="X96" s="59">
        <v>0.00406</v>
      </c>
      <c r="Y96" s="59"/>
      <c r="Z96" s="59"/>
      <c r="AA96" s="59"/>
      <c r="AB96" s="59"/>
      <c r="AC96" s="59"/>
      <c r="AD96" s="59">
        <v>0.012604</v>
      </c>
      <c r="AE96" s="59"/>
      <c r="AF96" s="59">
        <v>0.012232</v>
      </c>
      <c r="AG96" s="59"/>
      <c r="AH96" s="59">
        <v>0.00702</v>
      </c>
      <c r="AI96" s="59"/>
      <c r="AJ96" s="59">
        <v>0.010542</v>
      </c>
      <c r="AK96" s="59"/>
      <c r="AL96" s="59"/>
      <c r="AM96" s="59"/>
      <c r="AN96" s="59"/>
      <c r="AO96" s="59">
        <v>1</v>
      </c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>
        <v>0.00859</v>
      </c>
      <c r="BC96" s="59"/>
      <c r="BD96" s="59">
        <v>0.00859</v>
      </c>
      <c r="BE96" s="59">
        <v>1</v>
      </c>
      <c r="BF96" s="59">
        <v>0.00878</v>
      </c>
      <c r="BG96" s="59">
        <v>1</v>
      </c>
      <c r="BH96" s="59">
        <v>0.00575</v>
      </c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/>
      <c r="CM96"/>
      <c r="CN96"/>
      <c r="CO96"/>
      <c r="CP96"/>
      <c r="CQ96"/>
      <c r="CR96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</row>
    <row r="97" spans="1:113" ht="12.75">
      <c r="A97" s="62" t="s">
        <v>179</v>
      </c>
      <c r="B97" s="62" t="s">
        <v>102</v>
      </c>
      <c r="D97" s="62" t="s">
        <v>205</v>
      </c>
      <c r="E97" s="59"/>
      <c r="F97" s="59">
        <v>0.006084</v>
      </c>
      <c r="G97" s="59"/>
      <c r="H97" s="59">
        <v>0.00534</v>
      </c>
      <c r="I97" s="59"/>
      <c r="J97" s="59">
        <v>0.002766</v>
      </c>
      <c r="K97" s="59"/>
      <c r="L97" s="59">
        <v>0.0069</v>
      </c>
      <c r="M97" s="59"/>
      <c r="N97" s="59"/>
      <c r="O97" s="59"/>
      <c r="P97" s="59"/>
      <c r="Q97" s="59"/>
      <c r="R97" s="59">
        <v>0.0028</v>
      </c>
      <c r="S97" s="59"/>
      <c r="T97" s="59">
        <v>0.0028</v>
      </c>
      <c r="U97" s="59"/>
      <c r="V97" s="59">
        <v>0.002804</v>
      </c>
      <c r="W97" s="59"/>
      <c r="X97" s="59">
        <v>0.0028</v>
      </c>
      <c r="Y97" s="59"/>
      <c r="Z97" s="59"/>
      <c r="AA97" s="59"/>
      <c r="AB97" s="59"/>
      <c r="AC97" s="59">
        <v>1</v>
      </c>
      <c r="AD97" s="59">
        <v>0.001096</v>
      </c>
      <c r="AE97" s="59">
        <v>1</v>
      </c>
      <c r="AF97" s="59">
        <v>0.001112</v>
      </c>
      <c r="AG97" s="59">
        <v>1</v>
      </c>
      <c r="AH97" s="59">
        <v>0.00108</v>
      </c>
      <c r="AI97" s="59">
        <v>1</v>
      </c>
      <c r="AJ97" s="59">
        <v>0.001004</v>
      </c>
      <c r="AK97" s="59"/>
      <c r="AL97" s="59"/>
      <c r="AM97" s="59"/>
      <c r="AN97" s="59"/>
      <c r="AO97" s="59">
        <v>1</v>
      </c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>
        <v>0.03436</v>
      </c>
      <c r="BC97" s="59">
        <v>1</v>
      </c>
      <c r="BD97" s="59">
        <v>0.03436</v>
      </c>
      <c r="BE97" s="59">
        <v>1</v>
      </c>
      <c r="BF97" s="59">
        <v>0.03512</v>
      </c>
      <c r="BG97" s="59">
        <v>1</v>
      </c>
      <c r="BH97" s="59">
        <v>0.023</v>
      </c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/>
      <c r="CM97"/>
      <c r="CN97"/>
      <c r="CO97"/>
      <c r="CP97"/>
      <c r="CQ97"/>
      <c r="CR97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</row>
    <row r="98" spans="1:113" ht="12.75">
      <c r="A98" s="62" t="s">
        <v>179</v>
      </c>
      <c r="B98" s="62" t="s">
        <v>139</v>
      </c>
      <c r="D98" s="62" t="s">
        <v>205</v>
      </c>
      <c r="E98" s="59"/>
      <c r="F98" s="59">
        <v>314.34</v>
      </c>
      <c r="G98" s="59"/>
      <c r="H98" s="59">
        <v>0.27768</v>
      </c>
      <c r="I98" s="59"/>
      <c r="J98" s="59">
        <v>0.26738</v>
      </c>
      <c r="K98" s="59"/>
      <c r="L98" s="59">
        <v>0.2645</v>
      </c>
      <c r="M98" s="59"/>
      <c r="N98" s="59"/>
      <c r="O98" s="59"/>
      <c r="P98" s="59"/>
      <c r="Q98" s="59"/>
      <c r="R98" s="59">
        <v>0.616</v>
      </c>
      <c r="S98" s="59"/>
      <c r="T98" s="59">
        <v>4.76</v>
      </c>
      <c r="U98" s="59"/>
      <c r="V98" s="59">
        <v>1.45808</v>
      </c>
      <c r="W98" s="59"/>
      <c r="X98" s="59">
        <v>2.94</v>
      </c>
      <c r="Y98" s="59"/>
      <c r="Z98" s="59"/>
      <c r="AA98" s="59"/>
      <c r="AB98" s="59"/>
      <c r="AC98" s="59"/>
      <c r="AD98" s="59">
        <v>1.5344</v>
      </c>
      <c r="AE98" s="59"/>
      <c r="AF98" s="59">
        <v>1.5568</v>
      </c>
      <c r="AG98" s="59"/>
      <c r="AH98" s="59">
        <v>1.728</v>
      </c>
      <c r="AI98" s="59"/>
      <c r="AJ98" s="59">
        <v>2.008</v>
      </c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>
        <v>2.2334</v>
      </c>
      <c r="BC98" s="59"/>
      <c r="BD98" s="59">
        <v>2.577</v>
      </c>
      <c r="BE98" s="59"/>
      <c r="BF98" s="59">
        <v>2.2828</v>
      </c>
      <c r="BG98" s="59"/>
      <c r="BH98" s="59">
        <v>1.495</v>
      </c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/>
      <c r="CM98"/>
      <c r="CN98"/>
      <c r="CO98"/>
      <c r="CP98"/>
      <c r="CQ98"/>
      <c r="CR98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</row>
    <row r="99" spans="5:113" ht="12.75"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</row>
    <row r="100" spans="2:120" ht="12.75">
      <c r="B100" s="62" t="s">
        <v>208</v>
      </c>
      <c r="E100" s="59"/>
      <c r="F100" s="59">
        <f>'emiss 2'!$G$146</f>
        <v>94990</v>
      </c>
      <c r="G100" s="59"/>
      <c r="H100" s="59">
        <f>'emiss 2'!$I$146</f>
        <v>95622</v>
      </c>
      <c r="I100" s="59"/>
      <c r="J100" s="59">
        <f>'emiss 2'!$K$146</f>
        <v>99391</v>
      </c>
      <c r="K100" s="59"/>
      <c r="L100" s="59">
        <f>'emiss 2'!$M$146</f>
        <v>98895</v>
      </c>
      <c r="M100" s="59"/>
      <c r="N100" s="59"/>
      <c r="O100" s="59"/>
      <c r="P100" s="59"/>
      <c r="Q100" s="59"/>
      <c r="R100" s="59">
        <f>'emiss 2'!$G$146</f>
        <v>94990</v>
      </c>
      <c r="S100" s="59"/>
      <c r="T100" s="59">
        <f>'emiss 2'!$I$146</f>
        <v>95622</v>
      </c>
      <c r="U100" s="59"/>
      <c r="V100" s="59">
        <f>'emiss 2'!$K$146</f>
        <v>99391</v>
      </c>
      <c r="W100" s="59"/>
      <c r="X100" s="59">
        <f>'emiss 2'!$M$146</f>
        <v>98895</v>
      </c>
      <c r="Y100" s="59"/>
      <c r="Z100" s="59"/>
      <c r="AA100" s="59"/>
      <c r="AB100" s="59"/>
      <c r="AC100" s="59"/>
      <c r="AD100" s="59">
        <f>'emiss 2'!$G$146</f>
        <v>94990</v>
      </c>
      <c r="AE100" s="59"/>
      <c r="AF100" s="59">
        <f>'emiss 2'!$I$146</f>
        <v>95622</v>
      </c>
      <c r="AG100" s="59"/>
      <c r="AH100" s="59">
        <f>'emiss 2'!$K$146</f>
        <v>99391</v>
      </c>
      <c r="AI100" s="59"/>
      <c r="AJ100" s="59">
        <f>'emiss 2'!$M$146</f>
        <v>98895</v>
      </c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>
        <f>'emiss 2'!$G$146</f>
        <v>94990</v>
      </c>
      <c r="BC100" s="59"/>
      <c r="BD100" s="59">
        <f>'emiss 2'!$I$146</f>
        <v>95622</v>
      </c>
      <c r="BE100" s="59"/>
      <c r="BF100" s="59">
        <f>'emiss 2'!$K$146</f>
        <v>99391</v>
      </c>
      <c r="BG100" s="59"/>
      <c r="BH100" s="59">
        <f>'emiss 2'!$M$146</f>
        <v>98895</v>
      </c>
      <c r="BI100" s="59"/>
      <c r="BJ100" s="59"/>
      <c r="BK100" s="59"/>
      <c r="BL100" s="59"/>
      <c r="BM100" s="59"/>
      <c r="BN100" s="59">
        <f>'emiss 2'!$G$146</f>
        <v>94990</v>
      </c>
      <c r="BO100" s="59"/>
      <c r="BP100" s="59">
        <f>'emiss 2'!$I$146</f>
        <v>95622</v>
      </c>
      <c r="BQ100" s="59"/>
      <c r="BR100" s="59">
        <f>'emiss 2'!$K$146</f>
        <v>99391</v>
      </c>
      <c r="BS100" s="59"/>
      <c r="BT100" s="59">
        <f>'emiss 2'!$M$146</f>
        <v>98895</v>
      </c>
      <c r="BU100" s="59"/>
      <c r="BV100" s="59"/>
      <c r="BW100" s="59"/>
      <c r="BX100" s="59"/>
      <c r="BY100" s="59"/>
      <c r="BZ100" s="59">
        <f>'emiss 2'!$G$146</f>
        <v>94990</v>
      </c>
      <c r="CA100" s="59"/>
      <c r="CB100" s="59">
        <f>'emiss 2'!$I$146</f>
        <v>95622</v>
      </c>
      <c r="CC100" s="59"/>
      <c r="CD100" s="59">
        <f>'emiss 2'!$K$146</f>
        <v>99391</v>
      </c>
      <c r="CE100" s="59"/>
      <c r="CF100" s="59">
        <f>'emiss 2'!$M$146</f>
        <v>98895</v>
      </c>
      <c r="CG100" s="59"/>
      <c r="CH100" s="59"/>
      <c r="CI100" s="59"/>
      <c r="CJ100" s="59"/>
      <c r="CK100" s="59"/>
      <c r="CL100" s="59">
        <f>'emiss 2'!$G$146</f>
        <v>94990</v>
      </c>
      <c r="CM100" s="59"/>
      <c r="CN100" s="59">
        <f>'emiss 2'!$I$146</f>
        <v>95622</v>
      </c>
      <c r="CO100" s="59"/>
      <c r="CP100" s="59">
        <f>'emiss 2'!$K$146</f>
        <v>99391</v>
      </c>
      <c r="CQ100" s="59"/>
      <c r="CR100" s="59">
        <f>'emiss 2'!$M$146</f>
        <v>98895</v>
      </c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62">
        <f>CL100</f>
        <v>94990</v>
      </c>
      <c r="DL100" s="62">
        <f>CN100</f>
        <v>95622</v>
      </c>
      <c r="DN100" s="62">
        <f>CP100</f>
        <v>99391</v>
      </c>
      <c r="DP100" s="62">
        <f>CR100</f>
        <v>98895</v>
      </c>
    </row>
    <row r="101" spans="2:120" ht="12.75">
      <c r="B101" s="62" t="s">
        <v>73</v>
      </c>
      <c r="E101" s="59"/>
      <c r="F101" s="59">
        <f>'emiss 2'!$G$147</f>
        <v>3.8</v>
      </c>
      <c r="G101" s="59"/>
      <c r="H101" s="59">
        <f>'emiss 2'!$I$147</f>
        <v>5</v>
      </c>
      <c r="I101" s="59"/>
      <c r="J101" s="59">
        <f>'emiss 2'!$K$147</f>
        <v>5.4</v>
      </c>
      <c r="K101" s="59"/>
      <c r="L101" s="59">
        <f>'emiss 2'!$M$147</f>
        <v>9.2</v>
      </c>
      <c r="M101" s="59"/>
      <c r="N101" s="59"/>
      <c r="O101" s="59"/>
      <c r="P101" s="59"/>
      <c r="Q101" s="59"/>
      <c r="R101" s="59">
        <f>'emiss 2'!$G$147</f>
        <v>3.8</v>
      </c>
      <c r="S101" s="59"/>
      <c r="T101" s="59">
        <f>'emiss 2'!$I$147</f>
        <v>5</v>
      </c>
      <c r="U101" s="59"/>
      <c r="V101" s="59">
        <f>'emiss 2'!$K$147</f>
        <v>5.4</v>
      </c>
      <c r="W101" s="59"/>
      <c r="X101" s="59">
        <f>'emiss 2'!$M$147</f>
        <v>9.2</v>
      </c>
      <c r="Y101" s="59"/>
      <c r="Z101" s="59"/>
      <c r="AA101" s="59"/>
      <c r="AB101" s="59"/>
      <c r="AC101" s="59"/>
      <c r="AD101" s="59">
        <f>'emiss 2'!$G$147</f>
        <v>3.8</v>
      </c>
      <c r="AE101" s="59"/>
      <c r="AF101" s="59">
        <f>'emiss 2'!$I$147</f>
        <v>5</v>
      </c>
      <c r="AG101" s="59"/>
      <c r="AH101" s="59">
        <f>'emiss 2'!$K$147</f>
        <v>5.4</v>
      </c>
      <c r="AI101" s="59"/>
      <c r="AJ101" s="59">
        <f>'emiss 2'!$M$147</f>
        <v>9.2</v>
      </c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>
        <f>'emiss 2'!$G$147</f>
        <v>3.8</v>
      </c>
      <c r="BC101" s="59"/>
      <c r="BD101" s="59">
        <f>'emiss 2'!$I$147</f>
        <v>5</v>
      </c>
      <c r="BE101" s="59"/>
      <c r="BF101" s="59">
        <f>'emiss 2'!$K$147</f>
        <v>5.4</v>
      </c>
      <c r="BG101" s="59"/>
      <c r="BH101" s="59">
        <f>'emiss 2'!$M$147</f>
        <v>9.2</v>
      </c>
      <c r="BI101" s="59"/>
      <c r="BJ101" s="59"/>
      <c r="BK101" s="59"/>
      <c r="BL101" s="59"/>
      <c r="BM101" s="59"/>
      <c r="BN101" s="59">
        <f>'emiss 2'!$G$147</f>
        <v>3.8</v>
      </c>
      <c r="BO101" s="59"/>
      <c r="BP101" s="59">
        <f>'emiss 2'!$I$147</f>
        <v>5</v>
      </c>
      <c r="BQ101" s="59"/>
      <c r="BR101" s="59">
        <f>'emiss 2'!$K$147</f>
        <v>5.4</v>
      </c>
      <c r="BS101" s="59"/>
      <c r="BT101" s="59">
        <f>'emiss 2'!$M$147</f>
        <v>9.2</v>
      </c>
      <c r="BU101" s="59"/>
      <c r="BV101" s="59"/>
      <c r="BW101" s="59"/>
      <c r="BX101" s="59"/>
      <c r="BY101" s="59"/>
      <c r="BZ101" s="59">
        <f>'emiss 2'!$G$147</f>
        <v>3.8</v>
      </c>
      <c r="CA101" s="59"/>
      <c r="CB101" s="59">
        <f>'emiss 2'!$I$147</f>
        <v>5</v>
      </c>
      <c r="CC101" s="59"/>
      <c r="CD101" s="59">
        <f>'emiss 2'!$K$147</f>
        <v>5.4</v>
      </c>
      <c r="CE101" s="59"/>
      <c r="CF101" s="59">
        <f>'emiss 2'!$M$147</f>
        <v>9.2</v>
      </c>
      <c r="CG101" s="59"/>
      <c r="CH101" s="59"/>
      <c r="CI101" s="59"/>
      <c r="CJ101" s="59"/>
      <c r="CK101" s="59"/>
      <c r="CL101" s="59">
        <f>'emiss 2'!$G$147</f>
        <v>3.8</v>
      </c>
      <c r="CM101" s="59"/>
      <c r="CN101" s="59">
        <f>'emiss 2'!$I$147</f>
        <v>5</v>
      </c>
      <c r="CO101" s="59"/>
      <c r="CP101" s="59">
        <f>'emiss 2'!$K$147</f>
        <v>5.4</v>
      </c>
      <c r="CQ101" s="59"/>
      <c r="CR101" s="59">
        <f>'emiss 2'!$M$147</f>
        <v>9.2</v>
      </c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62">
        <f>CL101</f>
        <v>3.8</v>
      </c>
      <c r="DL101" s="62">
        <f>CN101</f>
        <v>5</v>
      </c>
      <c r="DN101" s="62">
        <f>CP101</f>
        <v>5.4</v>
      </c>
      <c r="DP101" s="62">
        <f>CR101</f>
        <v>9.2</v>
      </c>
    </row>
    <row r="102" spans="5:113" ht="12.75"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</row>
    <row r="103" spans="2:126" ht="12.75">
      <c r="B103" s="30" t="s">
        <v>111</v>
      </c>
      <c r="C103" s="30"/>
      <c r="D103" s="30" t="s">
        <v>167</v>
      </c>
      <c r="E103" s="59"/>
      <c r="F103" s="61">
        <f>F83*F84/1000000</f>
        <v>120.0069</v>
      </c>
      <c r="G103" s="61"/>
      <c r="H103" s="61">
        <f>H83*H84/1000000</f>
        <v>131.05428</v>
      </c>
      <c r="I103" s="61"/>
      <c r="J103" s="61">
        <f>J83*J84/1000000</f>
        <v>109.93006</v>
      </c>
      <c r="K103" s="61"/>
      <c r="L103" s="61">
        <f>L83*L84/1000000</f>
        <v>142.83</v>
      </c>
      <c r="M103" s="61"/>
      <c r="N103" s="61"/>
      <c r="O103" s="61"/>
      <c r="P103" s="61"/>
      <c r="Q103" s="61"/>
      <c r="R103" s="61">
        <f>R83*R84/1000000</f>
        <v>237.202</v>
      </c>
      <c r="S103" s="61"/>
      <c r="T103" s="61">
        <f>T83*T84/1000000</f>
        <v>266.056</v>
      </c>
      <c r="U103" s="61"/>
      <c r="V103" s="61">
        <f>V83*V84/1000000</f>
        <v>247.20064</v>
      </c>
      <c r="W103" s="61"/>
      <c r="X103" s="61">
        <f>X83*X84/1000000</f>
        <v>234.962</v>
      </c>
      <c r="Y103" s="61"/>
      <c r="Z103" s="61"/>
      <c r="AA103" s="61"/>
      <c r="AB103" s="61"/>
      <c r="AC103" s="61"/>
      <c r="AD103" s="61">
        <f>AD83*AD84/1000000</f>
        <v>30.42496</v>
      </c>
      <c r="AE103" s="61"/>
      <c r="AF103" s="61">
        <f>AF83*AF84/1000000</f>
        <v>31.41956</v>
      </c>
      <c r="AG103" s="61"/>
      <c r="AH103" s="61">
        <f>AH83*AH84/1000000</f>
        <v>31.5738</v>
      </c>
      <c r="AI103" s="61"/>
      <c r="AJ103" s="61">
        <f>AJ83*AJ84/1000000</f>
        <v>25.19538</v>
      </c>
      <c r="AK103" s="59"/>
      <c r="AL103" s="59"/>
      <c r="AM103" s="59"/>
      <c r="AN103" s="59"/>
      <c r="AO103" s="59"/>
      <c r="AP103" s="66">
        <f>R103+AD103</f>
        <v>267.62696</v>
      </c>
      <c r="AQ103" s="59"/>
      <c r="AR103" s="66">
        <f>T103+AF103</f>
        <v>297.47556</v>
      </c>
      <c r="AS103" s="59"/>
      <c r="AT103" s="66">
        <f>V103+AH103</f>
        <v>278.77443999999997</v>
      </c>
      <c r="AU103" s="59"/>
      <c r="AV103" s="66">
        <f>X103+AJ103</f>
        <v>260.15738</v>
      </c>
      <c r="AW103" s="59"/>
      <c r="AX103" s="66"/>
      <c r="AY103" s="59"/>
      <c r="AZ103" s="66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66">
        <f>CL103+BZ103+BN103+BB103+AD103+R103+F103</f>
        <v>387.63386</v>
      </c>
      <c r="DL103" s="66">
        <f>CN103+CB103+BP103+BD103+AF103+T103+H103</f>
        <v>428.52984</v>
      </c>
      <c r="DN103" s="66">
        <f>CP103+CD103+BR103+BF103+AH103+V103+J103</f>
        <v>388.70449999999994</v>
      </c>
      <c r="DP103" s="66">
        <f>CR103+CF103+BT103+BH103+AJ103+X103+L103</f>
        <v>402.98738000000003</v>
      </c>
      <c r="DR103" s="66"/>
      <c r="DT103" s="66"/>
      <c r="DV103" s="66">
        <f>AVERAGE(DJ103,DL103,DN103,DP103)</f>
        <v>401.963895</v>
      </c>
    </row>
    <row r="104" spans="2:126" ht="12.75">
      <c r="B104" s="30" t="s">
        <v>326</v>
      </c>
      <c r="C104" s="30"/>
      <c r="D104" s="30" t="s">
        <v>167</v>
      </c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39">
        <f>DJ100/9000*60*(21-DJ101)/21</f>
        <v>518.6755555555555</v>
      </c>
      <c r="DL104" s="39">
        <f>DL100/9000*60*(21-DL101)/21</f>
        <v>485.69904761904763</v>
      </c>
      <c r="DN104" s="39">
        <f>DN100/9000*60*(21-DN101)/21</f>
        <v>492.2220952380953</v>
      </c>
      <c r="DP104" s="39">
        <f>DP100/9000*60*(21-DP101)/21</f>
        <v>370.4638095238095</v>
      </c>
      <c r="DV104" s="66">
        <f>AVERAGE(DJ104,DL104,DN104,DP104)</f>
        <v>466.765126984127</v>
      </c>
    </row>
    <row r="105" spans="5:113" ht="12.75"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</row>
    <row r="106" spans="2:113" ht="12.75">
      <c r="B106" s="77" t="s">
        <v>324</v>
      </c>
      <c r="C106" s="77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</row>
    <row r="107" spans="2:131" ht="12.75">
      <c r="B107" s="62" t="s">
        <v>22</v>
      </c>
      <c r="D107" s="62" t="s">
        <v>70</v>
      </c>
      <c r="E107" s="59"/>
      <c r="F107" s="66">
        <f>F85*454*1000000/F$100*14/(21-F$101)/0.0283/60</f>
        <v>23231.530545650596</v>
      </c>
      <c r="G107" s="59"/>
      <c r="H107" s="66">
        <f>H85*454*1000000/H$100*14/(21-H$101)/0.0283/60</f>
        <v>26130.01443478159</v>
      </c>
      <c r="I107" s="59"/>
      <c r="J107" s="66">
        <f aca="true" t="shared" si="55" ref="J107:J120">J85*454*1000000/J$100*14/(21-J$101)/0.0283/60</f>
        <v>22258.990552576943</v>
      </c>
      <c r="K107" s="59"/>
      <c r="L107" s="66">
        <f aca="true" t="shared" si="56" ref="L107:L120">L85*454*1000000/L$100*14/(21-L$101)/0.0283/60</f>
        <v>36888.22013080236</v>
      </c>
      <c r="M107" s="59"/>
      <c r="N107" s="59"/>
      <c r="O107" s="59"/>
      <c r="P107" s="59"/>
      <c r="Q107" s="59"/>
      <c r="R107" s="66">
        <f aca="true" t="shared" si="57" ref="R107:R120">R85*454*1000000/R$100*14/(21-R$101)/0.0283/60</f>
        <v>973708.134309813</v>
      </c>
      <c r="S107" s="59"/>
      <c r="T107" s="66">
        <f aca="true" t="shared" si="58" ref="T107:T120">T85*454*1000000/T$100*14/(21-T$101)/0.0283/60</f>
        <v>1223315.2825272281</v>
      </c>
      <c r="U107" s="59"/>
      <c r="V107" s="66">
        <f aca="true" t="shared" si="59" ref="V107:V120">V85*454*1000000/V$100*14/(21-V$101)/0.0283/60</f>
        <v>1197446.7802687811</v>
      </c>
      <c r="W107" s="59"/>
      <c r="X107" s="66">
        <f aca="true" t="shared" si="60" ref="X107:X120">X85*454*1000000/X$100*14/(21-X$101)/0.0283/60</f>
        <v>2020832.9289048244</v>
      </c>
      <c r="Y107" s="59"/>
      <c r="Z107" s="59"/>
      <c r="AA107" s="59"/>
      <c r="AB107" s="59"/>
      <c r="AC107" s="59"/>
      <c r="AD107" s="66">
        <f aca="true" t="shared" si="61" ref="AD107:AD120">AD85*454*1000000/AD$100*14/(21-AD$101)/0.0283/60</f>
        <v>559023.0229919868</v>
      </c>
      <c r="AE107" s="59"/>
      <c r="AF107" s="66">
        <f aca="true" t="shared" si="62" ref="AF107:AF120">AF85*454*1000000/AF$100*14/(21-AF$101)/0.0283/60</f>
        <v>721756.0166910646</v>
      </c>
      <c r="AG107" s="59"/>
      <c r="AH107" s="66">
        <f aca="true" t="shared" si="63" ref="AH107:AH120">AH85*454*1000000/AH$100*14/(21-AH$101)/0.0283/60</f>
        <v>680806.435556041</v>
      </c>
      <c r="AI107" s="59"/>
      <c r="AJ107" s="66">
        <f aca="true" t="shared" si="64" ref="AJ107:AJ120">AJ85*454*1000000/AJ$100*14/(21-AJ$101)/0.0283/60</f>
        <v>933432.3528750857</v>
      </c>
      <c r="AK107" s="59"/>
      <c r="AL107" s="59"/>
      <c r="AM107" s="59"/>
      <c r="AN107" s="59"/>
      <c r="AP107" s="66">
        <f>R107+AD107</f>
        <v>1532731.1573017999</v>
      </c>
      <c r="AQ107" s="59"/>
      <c r="AR107" s="66">
        <f>T107+AF107</f>
        <v>1945071.2992182928</v>
      </c>
      <c r="AS107" s="59"/>
      <c r="AT107" s="66">
        <f>V107+AH107</f>
        <v>1878253.215824822</v>
      </c>
      <c r="AU107" s="59"/>
      <c r="AV107" s="66">
        <f>X107+AJ107</f>
        <v>2954265.28177991</v>
      </c>
      <c r="AW107" s="59"/>
      <c r="AX107" s="66">
        <f>Z107+AL107</f>
        <v>0</v>
      </c>
      <c r="AY107" s="59"/>
      <c r="AZ107" s="66">
        <f>AB107+AN107</f>
        <v>0</v>
      </c>
      <c r="BA107" s="59">
        <v>100</v>
      </c>
      <c r="BB107" s="66">
        <f aca="true" t="shared" si="65" ref="BB107:BB120">BB85*454*1000000/BB$100*14/(21-BB$101)/0.0283/60</f>
        <v>78721.43881149453</v>
      </c>
      <c r="BC107" s="59">
        <v>100</v>
      </c>
      <c r="BD107" s="66">
        <f aca="true" t="shared" si="66" ref="BD107:BD120">BD85*454*1000000/BD$100*14/(21-BD$101)/0.0283/60</f>
        <v>84066.22621527112</v>
      </c>
      <c r="BE107" s="59">
        <v>100</v>
      </c>
      <c r="BF107" s="66">
        <f aca="true" t="shared" si="67" ref="BF107:BF120">BF85*454*1000000/BF$100*14/(21-BF$101)/0.0283/60</f>
        <v>84786.95750612821</v>
      </c>
      <c r="BG107" s="59">
        <v>100</v>
      </c>
      <c r="BH107" s="66">
        <f aca="true" t="shared" si="68" ref="BH107:BH120">BH85*454*1000000/BH$100*14/(21-BH$101)/0.0283/60</f>
        <v>73776.44026160472</v>
      </c>
      <c r="BI107" s="59"/>
      <c r="BJ107" s="59"/>
      <c r="BK107" s="59"/>
      <c r="BL107" s="59"/>
      <c r="BM107" s="59"/>
      <c r="BN107" s="59"/>
      <c r="BO107" s="59"/>
      <c r="BP107" s="66">
        <f aca="true" t="shared" si="69" ref="BP107:BP120">BP85*454*1000000/BP$100*14/(21-BP$101)/0.0283/60</f>
        <v>0</v>
      </c>
      <c r="BQ107" s="59"/>
      <c r="BR107" s="66">
        <f aca="true" t="shared" si="70" ref="BR107:BR120">BR85*454*1000000/BR$100*14/(21-BR$101)/0.0283/60</f>
        <v>0</v>
      </c>
      <c r="BS107" s="59"/>
      <c r="BT107" s="66">
        <f aca="true" t="shared" si="71" ref="BT107:BT120">BT85*454*1000000/BT$100*14/(21-BT$101)/0.0283/60</f>
        <v>0</v>
      </c>
      <c r="BU107" s="59"/>
      <c r="BV107" s="59"/>
      <c r="BW107" s="59"/>
      <c r="BX107" s="59"/>
      <c r="BY107" s="59"/>
      <c r="BZ107" s="66">
        <f aca="true" t="shared" si="72" ref="BZ107:BZ120">BZ85*454*1000000/BZ$100*14/(21-BZ$101)/0.0283/60</f>
        <v>0</v>
      </c>
      <c r="CA107" s="59"/>
      <c r="CB107" s="66">
        <f aca="true" t="shared" si="73" ref="CB107:CB120">CB85*454*1000000/CB$100*14/(21-CB$101)/0.0283/60</f>
        <v>0</v>
      </c>
      <c r="CC107" s="59"/>
      <c r="CD107" s="66">
        <f aca="true" t="shared" si="74" ref="CD107:CD120">CD85*454*1000000/CD$100*14/(21-CD$101)/0.0283/60</f>
        <v>0</v>
      </c>
      <c r="CE107" s="59"/>
      <c r="CF107" s="59"/>
      <c r="CG107" s="59"/>
      <c r="CH107" s="59"/>
      <c r="CI107" s="59"/>
      <c r="CJ107" s="59"/>
      <c r="CK107" s="59"/>
      <c r="CL107" s="66">
        <f aca="true" t="shared" si="75" ref="CL107:CL120">CL85*454*1000000/CL$100*14/(21-CL$101)/0.0283/60</f>
        <v>0</v>
      </c>
      <c r="CM107" s="59"/>
      <c r="CN107" s="66">
        <f aca="true" t="shared" si="76" ref="CN107:CN120">CN85*454*1000000/CN$100*14/(21-CN$101)/0.0283/60</f>
        <v>0</v>
      </c>
      <c r="CO107" s="59"/>
      <c r="CP107" s="66">
        <f aca="true" t="shared" si="77" ref="CP107:CP120">CP85*454*1000000/CP$100*14/(21-CP$101)/0.0283/60</f>
        <v>0</v>
      </c>
      <c r="CQ107" s="59"/>
      <c r="CR107" s="66">
        <f aca="true" t="shared" si="78" ref="CR107:CR120">CR85*454*1000000/CR$100*14/(21-CR$101)/0.0283/60</f>
        <v>0</v>
      </c>
      <c r="CS107" s="59"/>
      <c r="CT107" s="59"/>
      <c r="CU107" s="59"/>
      <c r="CV107" s="59"/>
      <c r="CW107" s="59"/>
      <c r="CX107" s="66">
        <f aca="true" t="shared" si="79" ref="CX107:DD107">BN107+BZ107+CL107</f>
        <v>0</v>
      </c>
      <c r="CY107" s="59"/>
      <c r="CZ107" s="66">
        <f t="shared" si="79"/>
        <v>0</v>
      </c>
      <c r="DA107" s="59"/>
      <c r="DB107" s="66">
        <f t="shared" si="79"/>
        <v>0</v>
      </c>
      <c r="DC107" s="59"/>
      <c r="DD107" s="66">
        <f t="shared" si="79"/>
        <v>0</v>
      </c>
      <c r="DE107" s="59"/>
      <c r="DF107" s="59"/>
      <c r="DG107" s="59"/>
      <c r="DH107" s="59"/>
      <c r="DI107" s="59">
        <f>SUM((BB107*BA107/100),(AP107*AO107/100),(F107*E107/100))/DJ107*100</f>
        <v>4.934512867647059</v>
      </c>
      <c r="DJ107" s="66">
        <f>CL107+BZ107+BN107+BB107/2+AD107+R107+F107</f>
        <v>1595323.4072531976</v>
      </c>
      <c r="DK107" s="59">
        <f>SUM((BD107*BC107/100),(AR107*AQ107/100),(H107*G107/100))/DL107*100</f>
        <v>4.1756799455557445</v>
      </c>
      <c r="DL107" s="66">
        <f>CN107+CB107+BP107+BD107/2+AF107+T107+H107</f>
        <v>2013234.4267607098</v>
      </c>
      <c r="DM107" s="59">
        <f>SUM((BF107*BE107/100),(AT107*AS107/100),(J107*I107/100))/DN107*100</f>
        <v>4.363925544869405</v>
      </c>
      <c r="DN107" s="66">
        <f>CP107+CD107+BR107+BF107/2+AH107+V107+J107</f>
        <v>1942905.6851304632</v>
      </c>
      <c r="DO107" s="59">
        <f>SUM((BH107*BG107/100),(AV107*AU107/100),(L107*K107/100))/DP107*100</f>
        <v>2.436440677966102</v>
      </c>
      <c r="DP107" s="66">
        <f>CR107+CF107+BT107+BH107/2+AJ107+X107+L107</f>
        <v>3028041.7220415147</v>
      </c>
      <c r="DU107" s="62">
        <f>SUM((DT107*DS107/100),(DR107*DQ107/100),(DP107*DO107/100),(DN107*DM107/100),(DL107*DK107/100),(DJ107*DI107/100))/DV107*100/4</f>
        <v>3.7455663672988257</v>
      </c>
      <c r="DV107" s="66">
        <f aca="true" t="shared" si="80" ref="DV107:DV122">AVERAGE(DJ107,DL107,DN107,DP107)</f>
        <v>2144876.310296471</v>
      </c>
      <c r="DX107" s="66">
        <f>AVERAGE(R107,T107,V107,X107,Z107,AB107)+AVERAGE(AD107,AF107,AH107,AJ107,AL107,AN107)</f>
        <v>2077580.2385312063</v>
      </c>
      <c r="DY107" s="66">
        <f>AVERAGE(BZ107,CB107,CD107,CF107,CH107,CJ107)+AVERAGE(BN107,BP107,BR107,BT107)</f>
        <v>0</v>
      </c>
      <c r="DZ107" s="66">
        <f>AVERAGE(F107,H107,J107,L107,N107,P107)+AVERAGE(BB107,BD107,BF107,BH107,BJ107,BL107)/2</f>
        <v>67296.0717652652</v>
      </c>
      <c r="EA107" s="66">
        <f>SUM(DX107,DY107,DZ107)</f>
        <v>2144876.310296471</v>
      </c>
    </row>
    <row r="108" spans="2:126" ht="12.75">
      <c r="B108" s="62" t="s">
        <v>103</v>
      </c>
      <c r="D108" s="62" t="s">
        <v>70</v>
      </c>
      <c r="E108" s="59"/>
      <c r="F108" s="66">
        <f aca="true" t="shared" si="81" ref="F108:H120">F86*454*1000000/F$100*14/(21-F$101)/0.0283/60</f>
        <v>27.877836654780715</v>
      </c>
      <c r="G108" s="59"/>
      <c r="H108" s="66">
        <f t="shared" si="81"/>
        <v>33.96901876521607</v>
      </c>
      <c r="I108" s="59"/>
      <c r="J108" s="66">
        <f t="shared" si="55"/>
        <v>22.258990552576943</v>
      </c>
      <c r="K108" s="59"/>
      <c r="L108" s="66">
        <f t="shared" si="56"/>
        <v>44.26586415696282</v>
      </c>
      <c r="M108" s="59"/>
      <c r="N108" s="59"/>
      <c r="O108" s="59"/>
      <c r="P108" s="59"/>
      <c r="Q108" s="59"/>
      <c r="R108" s="66">
        <f t="shared" si="57"/>
        <v>28.867582334832104</v>
      </c>
      <c r="S108" s="59"/>
      <c r="T108" s="66">
        <f t="shared" si="58"/>
        <v>270.5973404950229</v>
      </c>
      <c r="U108" s="59"/>
      <c r="V108" s="66">
        <f t="shared" si="59"/>
        <v>44.001340760441146</v>
      </c>
      <c r="W108" s="59"/>
      <c r="X108" s="66">
        <f t="shared" si="60"/>
        <v>300.87956941471833</v>
      </c>
      <c r="Y108" s="59"/>
      <c r="Z108" s="59"/>
      <c r="AA108" s="59"/>
      <c r="AB108" s="59"/>
      <c r="AC108" s="59"/>
      <c r="AD108" s="66">
        <f t="shared" si="61"/>
        <v>3640.9810989297757</v>
      </c>
      <c r="AE108" s="59"/>
      <c r="AF108" s="66">
        <f t="shared" si="62"/>
        <v>2992.718507174611</v>
      </c>
      <c r="AG108" s="59"/>
      <c r="AH108" s="66">
        <f t="shared" si="63"/>
        <v>8604.23452596358</v>
      </c>
      <c r="AI108" s="59"/>
      <c r="AJ108" s="66">
        <f t="shared" si="64"/>
        <v>8695.355402659046</v>
      </c>
      <c r="AK108" s="59"/>
      <c r="AL108" s="59"/>
      <c r="AM108" s="59"/>
      <c r="AN108" s="59"/>
      <c r="AP108" s="66">
        <f aca="true" t="shared" si="82" ref="AP108:AP122">R108+AD108</f>
        <v>3669.848681264608</v>
      </c>
      <c r="AQ108" s="59"/>
      <c r="AR108" s="66">
        <f aca="true" t="shared" si="83" ref="AR108:AR122">T108+AF108</f>
        <v>3263.315847669634</v>
      </c>
      <c r="AS108" s="59"/>
      <c r="AT108" s="66">
        <f aca="true" t="shared" si="84" ref="AT108:AT122">V108+AH108</f>
        <v>8648.235866724022</v>
      </c>
      <c r="AU108" s="59"/>
      <c r="AV108" s="66">
        <f aca="true" t="shared" si="85" ref="AV108:AV122">X108+AJ108</f>
        <v>8996.234972073764</v>
      </c>
      <c r="AW108" s="59"/>
      <c r="AX108" s="66">
        <f>Z108+AL108</f>
        <v>0</v>
      </c>
      <c r="AY108" s="59"/>
      <c r="AZ108" s="66">
        <f>AB108+AN108</f>
        <v>0</v>
      </c>
      <c r="BA108" s="59"/>
      <c r="BB108" s="66">
        <f t="shared" si="65"/>
        <v>1180.821582172418</v>
      </c>
      <c r="BC108" s="59"/>
      <c r="BD108" s="66">
        <f t="shared" si="66"/>
        <v>1008.7947145832536</v>
      </c>
      <c r="BE108" s="59"/>
      <c r="BF108" s="66">
        <f t="shared" si="67"/>
        <v>1102.2304475796668</v>
      </c>
      <c r="BG108" s="59"/>
      <c r="BH108" s="66">
        <f t="shared" si="68"/>
        <v>811.5408428776519</v>
      </c>
      <c r="BI108" s="59"/>
      <c r="BJ108" s="59"/>
      <c r="BK108" s="59"/>
      <c r="BL108" s="59"/>
      <c r="BM108" s="59"/>
      <c r="BN108" s="59"/>
      <c r="BO108" s="59"/>
      <c r="BP108" s="66">
        <f t="shared" si="69"/>
        <v>0</v>
      </c>
      <c r="BQ108" s="59"/>
      <c r="BR108" s="66">
        <f t="shared" si="70"/>
        <v>0</v>
      </c>
      <c r="BS108" s="59"/>
      <c r="BT108" s="66">
        <f t="shared" si="71"/>
        <v>0</v>
      </c>
      <c r="BU108" s="59"/>
      <c r="BV108" s="59"/>
      <c r="BW108" s="59"/>
      <c r="BX108" s="59"/>
      <c r="BY108" s="59"/>
      <c r="BZ108" s="66">
        <f t="shared" si="72"/>
        <v>0</v>
      </c>
      <c r="CA108" s="59"/>
      <c r="CB108" s="66">
        <f t="shared" si="73"/>
        <v>0</v>
      </c>
      <c r="CC108" s="59"/>
      <c r="CD108" s="66">
        <f t="shared" si="74"/>
        <v>0</v>
      </c>
      <c r="CE108" s="59"/>
      <c r="CF108" s="59"/>
      <c r="CG108" s="59"/>
      <c r="CH108" s="59"/>
      <c r="CI108" s="59"/>
      <c r="CJ108" s="59"/>
      <c r="CK108" s="59"/>
      <c r="CL108" s="66">
        <f t="shared" si="75"/>
        <v>0</v>
      </c>
      <c r="CM108" s="59"/>
      <c r="CN108" s="66">
        <f t="shared" si="76"/>
        <v>0</v>
      </c>
      <c r="CO108" s="59"/>
      <c r="CP108" s="66">
        <f t="shared" si="77"/>
        <v>0</v>
      </c>
      <c r="CQ108" s="59"/>
      <c r="CR108" s="66">
        <f t="shared" si="78"/>
        <v>0</v>
      </c>
      <c r="CS108" s="59"/>
      <c r="CT108" s="59"/>
      <c r="CU108" s="59"/>
      <c r="CV108" s="59"/>
      <c r="CW108" s="59"/>
      <c r="CX108" s="66">
        <f aca="true" t="shared" si="86" ref="CX108:CX122">BN108+BZ108+CL108</f>
        <v>0</v>
      </c>
      <c r="CY108" s="59"/>
      <c r="CZ108" s="66">
        <f aca="true" t="shared" si="87" ref="CZ108:CZ122">BP108+CB108+CN108</f>
        <v>0</v>
      </c>
      <c r="DA108" s="59"/>
      <c r="DB108" s="66">
        <f aca="true" t="shared" si="88" ref="DB108:DB122">BR108+CD108+CP108</f>
        <v>0</v>
      </c>
      <c r="DC108" s="59"/>
      <c r="DD108" s="66">
        <f aca="true" t="shared" si="89" ref="DD108:DD122">BT108+CF108+CR108</f>
        <v>0</v>
      </c>
      <c r="DE108" s="59"/>
      <c r="DF108" s="59"/>
      <c r="DG108" s="59"/>
      <c r="DH108" s="59"/>
      <c r="DI108" s="59"/>
      <c r="DJ108" s="66">
        <f aca="true" t="shared" si="90" ref="DJ108:DJ122">CL108+BZ108+BN108+BB108+AD108+R108+F108</f>
        <v>4878.548100091806</v>
      </c>
      <c r="DK108" s="59"/>
      <c r="DL108" s="66">
        <f aca="true" t="shared" si="91" ref="DL108:DL122">CN108+CB108+BP108+BD108+AF108+T108+H108</f>
        <v>4306.079581018103</v>
      </c>
      <c r="DM108" s="59"/>
      <c r="DN108" s="66">
        <f aca="true" t="shared" si="92" ref="DN108:DN122">CP108+CD108+BR108+BF108+AH108+V108+J108</f>
        <v>9772.725304856265</v>
      </c>
      <c r="DO108" s="59"/>
      <c r="DP108" s="66">
        <f aca="true" t="shared" si="93" ref="DP108:DP122">CR108+CF108+BT108+BH108+AJ108+X108+L108</f>
        <v>9852.041679108379</v>
      </c>
      <c r="DV108" s="66">
        <f t="shared" si="80"/>
        <v>7202.348666268637</v>
      </c>
    </row>
    <row r="109" spans="2:126" ht="12.75">
      <c r="B109" s="62" t="s">
        <v>99</v>
      </c>
      <c r="D109" s="62" t="s">
        <v>70</v>
      </c>
      <c r="E109" s="59"/>
      <c r="F109" s="66">
        <f t="shared" si="81"/>
        <v>1393.8918327390363</v>
      </c>
      <c r="G109" s="59"/>
      <c r="H109" s="66">
        <f t="shared" si="81"/>
        <v>862.2904763477926</v>
      </c>
      <c r="I109" s="59"/>
      <c r="J109" s="66">
        <f t="shared" si="55"/>
        <v>667.7697165773081</v>
      </c>
      <c r="K109" s="59"/>
      <c r="L109" s="66">
        <f t="shared" si="56"/>
        <v>1733.7463461477105</v>
      </c>
      <c r="M109" s="59"/>
      <c r="N109" s="59"/>
      <c r="O109" s="59"/>
      <c r="P109" s="59"/>
      <c r="Q109" s="59"/>
      <c r="R109" s="66">
        <f t="shared" si="57"/>
        <v>9.622527444944033</v>
      </c>
      <c r="S109" s="59"/>
      <c r="T109" s="66">
        <f t="shared" si="58"/>
        <v>27.402262328609915</v>
      </c>
      <c r="U109" s="59"/>
      <c r="V109" s="66">
        <f t="shared" si="59"/>
        <v>13.538874080135736</v>
      </c>
      <c r="W109" s="59"/>
      <c r="X109" s="66">
        <f t="shared" si="60"/>
        <v>7634.257731418226</v>
      </c>
      <c r="Y109" s="59"/>
      <c r="Z109" s="59"/>
      <c r="AA109" s="59"/>
      <c r="AB109" s="59"/>
      <c r="AC109" s="59"/>
      <c r="AD109" s="66">
        <f t="shared" si="61"/>
        <v>8286.370776874663</v>
      </c>
      <c r="AE109" s="59"/>
      <c r="AF109" s="66">
        <f t="shared" si="62"/>
        <v>9522.286159191945</v>
      </c>
      <c r="AG109" s="59"/>
      <c r="AH109" s="66">
        <f t="shared" si="63"/>
        <v>20858.75036597232</v>
      </c>
      <c r="AI109" s="59"/>
      <c r="AJ109" s="66">
        <f t="shared" si="64"/>
        <v>29306.568208961973</v>
      </c>
      <c r="AK109" s="59"/>
      <c r="AL109" s="59"/>
      <c r="AM109" s="59"/>
      <c r="AN109" s="59"/>
      <c r="AP109" s="66">
        <f t="shared" si="82"/>
        <v>8295.993304319607</v>
      </c>
      <c r="AQ109" s="59"/>
      <c r="AR109" s="66">
        <f t="shared" si="83"/>
        <v>9549.688421520554</v>
      </c>
      <c r="AS109" s="59"/>
      <c r="AT109" s="66">
        <f t="shared" si="84"/>
        <v>20872.289240052454</v>
      </c>
      <c r="AU109" s="59"/>
      <c r="AV109" s="66">
        <f t="shared" si="85"/>
        <v>36940.8259403802</v>
      </c>
      <c r="AW109" s="59"/>
      <c r="AX109" s="66">
        <f>Z109+AL109</f>
        <v>0</v>
      </c>
      <c r="AY109" s="59"/>
      <c r="AZ109" s="66">
        <f>AB109+AN109</f>
        <v>0</v>
      </c>
      <c r="BA109" s="59"/>
      <c r="BB109" s="66">
        <f t="shared" si="65"/>
        <v>551.0500716804618</v>
      </c>
      <c r="BC109" s="59"/>
      <c r="BD109" s="66">
        <f t="shared" si="66"/>
        <v>798.6291490450757</v>
      </c>
      <c r="BE109" s="59"/>
      <c r="BF109" s="66">
        <f t="shared" si="67"/>
        <v>932.6565325674105</v>
      </c>
      <c r="BG109" s="59"/>
      <c r="BH109" s="66">
        <f t="shared" si="68"/>
        <v>700.8761824852448</v>
      </c>
      <c r="BI109" s="59"/>
      <c r="BJ109" s="59"/>
      <c r="BK109" s="59"/>
      <c r="BL109" s="59"/>
      <c r="BM109" s="59"/>
      <c r="BN109" s="59"/>
      <c r="BO109" s="59"/>
      <c r="BP109" s="66">
        <f t="shared" si="69"/>
        <v>0</v>
      </c>
      <c r="BQ109" s="59"/>
      <c r="BR109" s="66">
        <f t="shared" si="70"/>
        <v>0</v>
      </c>
      <c r="BS109" s="59"/>
      <c r="BT109" s="66">
        <f t="shared" si="71"/>
        <v>0</v>
      </c>
      <c r="BU109" s="59"/>
      <c r="BV109" s="59"/>
      <c r="BW109" s="59"/>
      <c r="BX109" s="59"/>
      <c r="BY109" s="59"/>
      <c r="BZ109" s="66">
        <f t="shared" si="72"/>
        <v>0</v>
      </c>
      <c r="CA109" s="59"/>
      <c r="CB109" s="66">
        <f t="shared" si="73"/>
        <v>0</v>
      </c>
      <c r="CC109" s="59"/>
      <c r="CD109" s="66">
        <f t="shared" si="74"/>
        <v>0</v>
      </c>
      <c r="CE109" s="59"/>
      <c r="CF109" s="59"/>
      <c r="CG109" s="59"/>
      <c r="CH109" s="59"/>
      <c r="CI109" s="59"/>
      <c r="CJ109" s="59"/>
      <c r="CK109" s="59"/>
      <c r="CL109" s="66">
        <f t="shared" si="75"/>
        <v>51978.20048401696</v>
      </c>
      <c r="CM109" s="59"/>
      <c r="CN109" s="66">
        <f t="shared" si="76"/>
        <v>58201.78436693421</v>
      </c>
      <c r="CO109" s="59"/>
      <c r="CP109" s="66">
        <f t="shared" si="77"/>
        <v>51155.66836980281</v>
      </c>
      <c r="CQ109" s="59"/>
      <c r="CR109" s="66">
        <f t="shared" si="78"/>
        <v>77012.37299861055</v>
      </c>
      <c r="CS109" s="59"/>
      <c r="CT109" s="59"/>
      <c r="CU109" s="59"/>
      <c r="CV109" s="59"/>
      <c r="CW109" s="59"/>
      <c r="CX109" s="66">
        <f t="shared" si="86"/>
        <v>51978.20048401696</v>
      </c>
      <c r="CY109" s="59"/>
      <c r="CZ109" s="66">
        <f t="shared" si="87"/>
        <v>58201.78436693421</v>
      </c>
      <c r="DA109" s="59"/>
      <c r="DB109" s="66">
        <f t="shared" si="88"/>
        <v>51155.66836980281</v>
      </c>
      <c r="DC109" s="59"/>
      <c r="DD109" s="66">
        <f t="shared" si="89"/>
        <v>77012.37299861055</v>
      </c>
      <c r="DE109" s="59"/>
      <c r="DF109" s="59"/>
      <c r="DG109" s="59"/>
      <c r="DH109" s="59"/>
      <c r="DI109" s="59"/>
      <c r="DJ109" s="66">
        <f t="shared" si="90"/>
        <v>62219.13569275606</v>
      </c>
      <c r="DK109" s="59"/>
      <c r="DL109" s="66">
        <f t="shared" si="91"/>
        <v>69412.39241384763</v>
      </c>
      <c r="DM109" s="59"/>
      <c r="DN109" s="66">
        <f t="shared" si="92"/>
        <v>73628.383859</v>
      </c>
      <c r="DO109" s="59"/>
      <c r="DP109" s="66">
        <f t="shared" si="93"/>
        <v>116387.8214676237</v>
      </c>
      <c r="DV109" s="66">
        <f t="shared" si="80"/>
        <v>80411.93335830685</v>
      </c>
    </row>
    <row r="110" spans="2:126" ht="12.75">
      <c r="B110" s="62" t="s">
        <v>100</v>
      </c>
      <c r="D110" s="62" t="s">
        <v>70</v>
      </c>
      <c r="E110" s="59"/>
      <c r="F110" s="66">
        <f t="shared" si="81"/>
        <v>650.4828552782166</v>
      </c>
      <c r="G110" s="59"/>
      <c r="H110" s="66">
        <f t="shared" si="81"/>
        <v>470.3402598260687</v>
      </c>
      <c r="I110" s="59"/>
      <c r="J110" s="66">
        <f t="shared" si="55"/>
        <v>489.69779215669257</v>
      </c>
      <c r="K110" s="59"/>
      <c r="L110" s="66">
        <f t="shared" si="56"/>
        <v>700.8761824852448</v>
      </c>
      <c r="M110" s="59"/>
      <c r="N110" s="59"/>
      <c r="O110" s="59"/>
      <c r="P110" s="59"/>
      <c r="Q110" s="59"/>
      <c r="R110" s="66">
        <f t="shared" si="57"/>
        <v>513.2014637303486</v>
      </c>
      <c r="S110" s="59"/>
      <c r="T110" s="66">
        <f t="shared" si="58"/>
        <v>3767.8110701838627</v>
      </c>
      <c r="U110" s="59"/>
      <c r="V110" s="66">
        <f t="shared" si="59"/>
        <v>1489.276148814931</v>
      </c>
      <c r="W110" s="59"/>
      <c r="X110" s="66">
        <f t="shared" si="60"/>
        <v>2604.6291083662186</v>
      </c>
      <c r="Y110" s="59"/>
      <c r="Z110" s="59"/>
      <c r="AA110" s="59"/>
      <c r="AB110" s="59"/>
      <c r="AC110" s="59"/>
      <c r="AD110" s="66">
        <f t="shared" si="61"/>
        <v>3640.9810989297757</v>
      </c>
      <c r="AE110" s="59"/>
      <c r="AF110" s="66">
        <f t="shared" si="62"/>
        <v>3808.9144636767774</v>
      </c>
      <c r="AG110" s="59"/>
      <c r="AH110" s="66">
        <f t="shared" si="63"/>
        <v>5214.68759149308</v>
      </c>
      <c r="AI110" s="59"/>
      <c r="AJ110" s="66">
        <f t="shared" si="64"/>
        <v>8212.28010251132</v>
      </c>
      <c r="AK110" s="59"/>
      <c r="AL110" s="59"/>
      <c r="AM110" s="59"/>
      <c r="AN110" s="59"/>
      <c r="AP110" s="66">
        <f t="shared" si="82"/>
        <v>4154.182562660124</v>
      </c>
      <c r="AQ110" s="59"/>
      <c r="AR110" s="66">
        <f t="shared" si="83"/>
        <v>7576.72553386064</v>
      </c>
      <c r="AS110" s="59"/>
      <c r="AT110" s="66">
        <f t="shared" si="84"/>
        <v>6703.9637403080105</v>
      </c>
      <c r="AU110" s="59"/>
      <c r="AV110" s="66">
        <f t="shared" si="85"/>
        <v>10816.909210877538</v>
      </c>
      <c r="AW110" s="59"/>
      <c r="AX110" s="66"/>
      <c r="AY110" s="59"/>
      <c r="AZ110" s="66"/>
      <c r="BA110" s="59"/>
      <c r="BB110" s="66">
        <f t="shared" si="65"/>
        <v>11021.00143360923</v>
      </c>
      <c r="BC110" s="59"/>
      <c r="BD110" s="66">
        <f t="shared" si="66"/>
        <v>13030.265063367026</v>
      </c>
      <c r="BE110" s="59"/>
      <c r="BF110" s="66">
        <f t="shared" si="67"/>
        <v>11446.239263327308</v>
      </c>
      <c r="BG110" s="59"/>
      <c r="BH110" s="66">
        <f t="shared" si="68"/>
        <v>9959.819435316636</v>
      </c>
      <c r="BI110" s="59"/>
      <c r="BJ110" s="59"/>
      <c r="BK110" s="59"/>
      <c r="BL110" s="59"/>
      <c r="BM110" s="59"/>
      <c r="BN110" s="59"/>
      <c r="BO110" s="59"/>
      <c r="BP110" s="66">
        <f t="shared" si="69"/>
        <v>0</v>
      </c>
      <c r="BQ110" s="59"/>
      <c r="BR110" s="66">
        <f t="shared" si="70"/>
        <v>0</v>
      </c>
      <c r="BS110" s="59"/>
      <c r="BT110" s="66">
        <f t="shared" si="71"/>
        <v>0</v>
      </c>
      <c r="BU110" s="59"/>
      <c r="BV110" s="59"/>
      <c r="BW110" s="59"/>
      <c r="BX110" s="59"/>
      <c r="BY110" s="59"/>
      <c r="BZ110" s="66">
        <f t="shared" si="72"/>
        <v>0</v>
      </c>
      <c r="CA110" s="59"/>
      <c r="CB110" s="66">
        <f t="shared" si="73"/>
        <v>0</v>
      </c>
      <c r="CC110" s="59"/>
      <c r="CD110" s="66">
        <f t="shared" si="74"/>
        <v>0</v>
      </c>
      <c r="CE110" s="59"/>
      <c r="CF110" s="59"/>
      <c r="CG110" s="59"/>
      <c r="CH110" s="59"/>
      <c r="CI110" s="59"/>
      <c r="CJ110" s="59"/>
      <c r="CK110" s="59"/>
      <c r="CL110" s="66">
        <f t="shared" si="75"/>
        <v>0</v>
      </c>
      <c r="CM110" s="59"/>
      <c r="CN110" s="66">
        <f t="shared" si="76"/>
        <v>0</v>
      </c>
      <c r="CO110" s="59"/>
      <c r="CP110" s="66">
        <f t="shared" si="77"/>
        <v>0</v>
      </c>
      <c r="CQ110" s="59"/>
      <c r="CR110" s="66">
        <f t="shared" si="78"/>
        <v>0</v>
      </c>
      <c r="CS110" s="59"/>
      <c r="CT110" s="59"/>
      <c r="CU110" s="59"/>
      <c r="CV110" s="59"/>
      <c r="CW110" s="59"/>
      <c r="CX110" s="66">
        <f t="shared" si="86"/>
        <v>0</v>
      </c>
      <c r="CY110" s="59"/>
      <c r="CZ110" s="66">
        <f t="shared" si="87"/>
        <v>0</v>
      </c>
      <c r="DA110" s="59"/>
      <c r="DB110" s="66">
        <f t="shared" si="88"/>
        <v>0</v>
      </c>
      <c r="DC110" s="59"/>
      <c r="DD110" s="66">
        <f t="shared" si="89"/>
        <v>0</v>
      </c>
      <c r="DE110" s="59"/>
      <c r="DF110" s="59"/>
      <c r="DG110" s="59"/>
      <c r="DH110" s="59"/>
      <c r="DI110" s="59"/>
      <c r="DJ110" s="66">
        <f t="shared" si="90"/>
        <v>15825.66685154757</v>
      </c>
      <c r="DK110" s="59"/>
      <c r="DL110" s="66">
        <f t="shared" si="91"/>
        <v>21077.330857053734</v>
      </c>
      <c r="DM110" s="59"/>
      <c r="DN110" s="66">
        <f t="shared" si="92"/>
        <v>18639.90079579201</v>
      </c>
      <c r="DO110" s="59"/>
      <c r="DP110" s="66">
        <f t="shared" si="93"/>
        <v>21477.604828679418</v>
      </c>
      <c r="DV110" s="66">
        <f t="shared" si="80"/>
        <v>19255.125833268183</v>
      </c>
    </row>
    <row r="111" spans="2:126" ht="12.75">
      <c r="B111" s="62" t="s">
        <v>101</v>
      </c>
      <c r="D111" s="62" t="s">
        <v>70</v>
      </c>
      <c r="E111" s="59"/>
      <c r="F111" s="66">
        <f t="shared" si="81"/>
        <v>6.969459163695179</v>
      </c>
      <c r="G111" s="59"/>
      <c r="H111" s="66">
        <f t="shared" si="81"/>
        <v>7.839004330434478</v>
      </c>
      <c r="I111" s="59"/>
      <c r="J111" s="66">
        <f t="shared" si="55"/>
        <v>6.677697165773082</v>
      </c>
      <c r="K111" s="59"/>
      <c r="L111" s="66">
        <f t="shared" si="56"/>
        <v>11.066466039240705</v>
      </c>
      <c r="M111" s="59"/>
      <c r="N111" s="59"/>
      <c r="O111" s="59"/>
      <c r="P111" s="59"/>
      <c r="Q111" s="59"/>
      <c r="R111" s="66">
        <f t="shared" si="57"/>
        <v>9.622527444944033</v>
      </c>
      <c r="S111" s="59"/>
      <c r="T111" s="66">
        <f t="shared" si="58"/>
        <v>10.275848373228715</v>
      </c>
      <c r="U111" s="59"/>
      <c r="V111" s="66">
        <f t="shared" si="59"/>
        <v>10.154155560101803</v>
      </c>
      <c r="W111" s="59"/>
      <c r="X111" s="66">
        <f t="shared" si="60"/>
        <v>13.47221952603216</v>
      </c>
      <c r="Y111" s="59"/>
      <c r="Z111" s="59"/>
      <c r="AA111" s="59"/>
      <c r="AB111" s="59"/>
      <c r="AC111" s="59"/>
      <c r="AD111" s="66">
        <f t="shared" si="61"/>
        <v>22.59919302783999</v>
      </c>
      <c r="AE111" s="59"/>
      <c r="AF111" s="66">
        <f t="shared" si="62"/>
        <v>24.485878695065</v>
      </c>
      <c r="AG111" s="59"/>
      <c r="AH111" s="66">
        <f t="shared" si="63"/>
        <v>35.19914124257828</v>
      </c>
      <c r="AI111" s="59"/>
      <c r="AJ111" s="66">
        <f t="shared" si="64"/>
        <v>51.5280320157573</v>
      </c>
      <c r="AK111" s="59"/>
      <c r="AL111" s="59"/>
      <c r="AM111" s="59"/>
      <c r="AN111" s="59"/>
      <c r="AP111" s="66">
        <f t="shared" si="82"/>
        <v>32.22172047278403</v>
      </c>
      <c r="AQ111" s="59"/>
      <c r="AR111" s="66">
        <f t="shared" si="83"/>
        <v>34.761727068293716</v>
      </c>
      <c r="AS111" s="59"/>
      <c r="AT111" s="66">
        <f t="shared" si="84"/>
        <v>45.35329680268008</v>
      </c>
      <c r="AU111" s="59"/>
      <c r="AV111" s="66">
        <f t="shared" si="85"/>
        <v>65.00025154178945</v>
      </c>
      <c r="AW111" s="59"/>
      <c r="AX111" s="66"/>
      <c r="AY111" s="59"/>
      <c r="AZ111" s="66"/>
      <c r="BA111" s="59">
        <v>100</v>
      </c>
      <c r="BB111" s="66">
        <f t="shared" si="65"/>
        <v>118.08215821724183</v>
      </c>
      <c r="BC111" s="59">
        <v>100</v>
      </c>
      <c r="BD111" s="66">
        <f t="shared" si="66"/>
        <v>126.0993393229067</v>
      </c>
      <c r="BE111" s="59">
        <v>100</v>
      </c>
      <c r="BF111" s="66">
        <f t="shared" si="67"/>
        <v>127.18043625919232</v>
      </c>
      <c r="BG111" s="59">
        <v>100</v>
      </c>
      <c r="BH111" s="66">
        <f t="shared" si="68"/>
        <v>110.66466039240709</v>
      </c>
      <c r="BI111" s="59"/>
      <c r="BJ111" s="59"/>
      <c r="BK111" s="59"/>
      <c r="BL111" s="59"/>
      <c r="BM111" s="59"/>
      <c r="BN111" s="59"/>
      <c r="BO111" s="59"/>
      <c r="BP111" s="66">
        <f t="shared" si="69"/>
        <v>0</v>
      </c>
      <c r="BQ111" s="59"/>
      <c r="BR111" s="66">
        <f t="shared" si="70"/>
        <v>0</v>
      </c>
      <c r="BS111" s="59"/>
      <c r="BT111" s="66">
        <f t="shared" si="71"/>
        <v>0</v>
      </c>
      <c r="BU111" s="59"/>
      <c r="BV111" s="59"/>
      <c r="BW111" s="59"/>
      <c r="BX111" s="59"/>
      <c r="BY111" s="59"/>
      <c r="BZ111" s="66">
        <f t="shared" si="72"/>
        <v>0</v>
      </c>
      <c r="CA111" s="59"/>
      <c r="CB111" s="66">
        <f t="shared" si="73"/>
        <v>0</v>
      </c>
      <c r="CC111" s="59"/>
      <c r="CD111" s="66">
        <f t="shared" si="74"/>
        <v>0</v>
      </c>
      <c r="CE111" s="59"/>
      <c r="CF111" s="59"/>
      <c r="CG111" s="59"/>
      <c r="CH111" s="59"/>
      <c r="CI111" s="59"/>
      <c r="CJ111" s="59"/>
      <c r="CK111" s="59"/>
      <c r="CL111" s="66">
        <f t="shared" si="75"/>
        <v>2013.5244653517257</v>
      </c>
      <c r="CM111" s="59"/>
      <c r="CN111" s="66">
        <f t="shared" si="76"/>
        <v>2225.6793466244285</v>
      </c>
      <c r="CO111" s="59"/>
      <c r="CP111" s="66">
        <f t="shared" si="77"/>
        <v>2977.8767450197056</v>
      </c>
      <c r="CQ111" s="59"/>
      <c r="CR111" s="66">
        <f t="shared" si="78"/>
        <v>2932.1224582039795</v>
      </c>
      <c r="CS111" s="59"/>
      <c r="CT111" s="59"/>
      <c r="CU111" s="59"/>
      <c r="CV111" s="59"/>
      <c r="CW111" s="59"/>
      <c r="CX111" s="66">
        <f t="shared" si="86"/>
        <v>2013.5244653517257</v>
      </c>
      <c r="CY111" s="59"/>
      <c r="CZ111" s="66">
        <f t="shared" si="87"/>
        <v>2225.6793466244285</v>
      </c>
      <c r="DA111" s="59"/>
      <c r="DB111" s="66">
        <f t="shared" si="88"/>
        <v>2977.8767450197056</v>
      </c>
      <c r="DC111" s="59"/>
      <c r="DD111" s="66">
        <f t="shared" si="89"/>
        <v>2932.1224582039795</v>
      </c>
      <c r="DE111" s="59"/>
      <c r="DF111" s="59"/>
      <c r="DG111" s="59"/>
      <c r="DH111" s="59"/>
      <c r="DI111" s="59">
        <f>SUM((BB111*BA111/100),(AP111*AO111/100),(F111*E111/100))/DJ111*100</f>
        <v>5.439574245140619</v>
      </c>
      <c r="DJ111" s="66">
        <f t="shared" si="90"/>
        <v>2170.7978032054466</v>
      </c>
      <c r="DK111" s="59">
        <f>SUM((BD111*BC111/100),(AR111*AQ111/100),(H111*G111/100))/DL111*100</f>
        <v>5.266472740676812</v>
      </c>
      <c r="DL111" s="66">
        <f t="shared" si="91"/>
        <v>2394.3794173460633</v>
      </c>
      <c r="DM111" s="59">
        <f>SUM((BF111*BE111/100),(AT111*AS111/100),(J111*I111/100))/DN111*100</f>
        <v>4.0284093823013984</v>
      </c>
      <c r="DN111" s="66">
        <f t="shared" si="92"/>
        <v>3157.0881752473515</v>
      </c>
      <c r="DO111" s="59">
        <f>SUM((BH111*BG111/100),(AV111*AU111/100),(L111*K111/100))/DP111*100</f>
        <v>3.5482477283399025</v>
      </c>
      <c r="DP111" s="66">
        <f t="shared" si="93"/>
        <v>3118.8538361774167</v>
      </c>
      <c r="DU111" s="62">
        <f>SUM((DT111*DS111/100),(DR111*DQ111/100),(DP111*DO111/100),(DN111*DM111/100),(DL111*DK111/100),(DJ111*DI111/100))/DV111*100/4</f>
        <v>4.446280719521955</v>
      </c>
      <c r="DV111" s="66">
        <f t="shared" si="80"/>
        <v>2710.2798079940694</v>
      </c>
    </row>
    <row r="112" spans="2:126" ht="12.75">
      <c r="B112" s="62" t="s">
        <v>106</v>
      </c>
      <c r="D112" s="62" t="s">
        <v>70</v>
      </c>
      <c r="E112" s="59"/>
      <c r="F112" s="66">
        <f t="shared" si="81"/>
        <v>4669.53763967577</v>
      </c>
      <c r="G112" s="59"/>
      <c r="H112" s="66">
        <f t="shared" si="81"/>
        <v>162.0060894956459</v>
      </c>
      <c r="I112" s="59"/>
      <c r="J112" s="66">
        <f t="shared" si="55"/>
        <v>40.06618299463848</v>
      </c>
      <c r="K112" s="59"/>
      <c r="L112" s="66">
        <f t="shared" si="56"/>
        <v>73.7764402616047</v>
      </c>
      <c r="M112" s="59"/>
      <c r="N112" s="59"/>
      <c r="O112" s="59"/>
      <c r="P112" s="59"/>
      <c r="Q112" s="59"/>
      <c r="R112" s="66">
        <f t="shared" si="57"/>
        <v>48.11263722472017</v>
      </c>
      <c r="S112" s="59"/>
      <c r="T112" s="66">
        <f t="shared" si="58"/>
        <v>184.9652707181169</v>
      </c>
      <c r="U112" s="59"/>
      <c r="V112" s="66">
        <f t="shared" si="59"/>
        <v>33.84718520033933</v>
      </c>
      <c r="W112" s="59"/>
      <c r="X112" s="66">
        <f t="shared" si="60"/>
        <v>80.83331715619299</v>
      </c>
      <c r="Y112" s="59"/>
      <c r="Z112" s="59"/>
      <c r="AA112" s="59"/>
      <c r="AB112" s="59"/>
      <c r="AC112" s="59"/>
      <c r="AD112" s="66">
        <f t="shared" si="61"/>
        <v>213.43682304071106</v>
      </c>
      <c r="AE112" s="59"/>
      <c r="AF112" s="66">
        <f t="shared" si="62"/>
        <v>231.2555210089472</v>
      </c>
      <c r="AG112" s="59"/>
      <c r="AH112" s="66">
        <f t="shared" si="63"/>
        <v>534.5054781280406</v>
      </c>
      <c r="AI112" s="59"/>
      <c r="AJ112" s="66">
        <f t="shared" si="64"/>
        <v>740.715460226511</v>
      </c>
      <c r="AK112" s="59"/>
      <c r="AL112" s="59"/>
      <c r="AM112" s="59"/>
      <c r="AN112" s="59"/>
      <c r="AP112" s="66">
        <f t="shared" si="82"/>
        <v>261.5494602654312</v>
      </c>
      <c r="AQ112" s="59"/>
      <c r="AR112" s="66">
        <f t="shared" si="83"/>
        <v>416.2207917270641</v>
      </c>
      <c r="AS112" s="59"/>
      <c r="AT112" s="66">
        <f t="shared" si="84"/>
        <v>568.35266332838</v>
      </c>
      <c r="AU112" s="59"/>
      <c r="AV112" s="66">
        <f t="shared" si="85"/>
        <v>821.548777382704</v>
      </c>
      <c r="AW112" s="59"/>
      <c r="AX112" s="66"/>
      <c r="AY112" s="59"/>
      <c r="AZ112" s="66"/>
      <c r="BA112" s="59"/>
      <c r="BB112" s="66">
        <f t="shared" si="65"/>
        <v>35.424647465172534</v>
      </c>
      <c r="BC112" s="59"/>
      <c r="BD112" s="66">
        <f t="shared" si="66"/>
        <v>42.033113107635565</v>
      </c>
      <c r="BE112" s="59"/>
      <c r="BF112" s="66">
        <f t="shared" si="67"/>
        <v>42.3934787530641</v>
      </c>
      <c r="BG112" s="59"/>
      <c r="BH112" s="66">
        <f t="shared" si="68"/>
        <v>36.88822013080235</v>
      </c>
      <c r="BI112" s="59"/>
      <c r="BJ112" s="59"/>
      <c r="BK112" s="59"/>
      <c r="BL112" s="59"/>
      <c r="BM112" s="59"/>
      <c r="BN112" s="59"/>
      <c r="BO112" s="59"/>
      <c r="BP112" s="66">
        <f t="shared" si="69"/>
        <v>0</v>
      </c>
      <c r="BQ112" s="59"/>
      <c r="BR112" s="66">
        <f t="shared" si="70"/>
        <v>0</v>
      </c>
      <c r="BS112" s="59"/>
      <c r="BT112" s="66">
        <f t="shared" si="71"/>
        <v>0</v>
      </c>
      <c r="BU112" s="59"/>
      <c r="BV112" s="59"/>
      <c r="BW112" s="59"/>
      <c r="BX112" s="59"/>
      <c r="BY112" s="59"/>
      <c r="BZ112" s="66">
        <f t="shared" si="72"/>
        <v>0</v>
      </c>
      <c r="CA112" s="59"/>
      <c r="CB112" s="66">
        <f t="shared" si="73"/>
        <v>0</v>
      </c>
      <c r="CC112" s="59"/>
      <c r="CD112" s="66">
        <f t="shared" si="74"/>
        <v>0</v>
      </c>
      <c r="CE112" s="59"/>
      <c r="CF112" s="59"/>
      <c r="CG112" s="59"/>
      <c r="CH112" s="59"/>
      <c r="CI112" s="59"/>
      <c r="CJ112" s="59"/>
      <c r="CK112" s="59"/>
      <c r="CL112" s="66">
        <f t="shared" si="75"/>
        <v>10092.854462915917</v>
      </c>
      <c r="CM112" s="59"/>
      <c r="CN112" s="66">
        <f t="shared" si="76"/>
        <v>9484.735230167056</v>
      </c>
      <c r="CO112" s="59"/>
      <c r="CP112" s="66">
        <f t="shared" si="77"/>
        <v>7923.27919657029</v>
      </c>
      <c r="CQ112" s="59"/>
      <c r="CR112" s="66">
        <f t="shared" si="78"/>
        <v>7983.851512699994</v>
      </c>
      <c r="CS112" s="59"/>
      <c r="CT112" s="59"/>
      <c r="CU112" s="59"/>
      <c r="CV112" s="59"/>
      <c r="CW112" s="59"/>
      <c r="CX112" s="66">
        <f t="shared" si="86"/>
        <v>10092.854462915917</v>
      </c>
      <c r="CY112" s="59"/>
      <c r="CZ112" s="66">
        <f t="shared" si="87"/>
        <v>9484.735230167056</v>
      </c>
      <c r="DA112" s="59"/>
      <c r="DB112" s="66">
        <f t="shared" si="88"/>
        <v>7923.27919657029</v>
      </c>
      <c r="DC112" s="59"/>
      <c r="DD112" s="66">
        <f t="shared" si="89"/>
        <v>7983.851512699994</v>
      </c>
      <c r="DE112" s="59"/>
      <c r="DF112" s="59"/>
      <c r="DG112" s="59"/>
      <c r="DH112" s="59"/>
      <c r="DI112" s="59"/>
      <c r="DJ112" s="66">
        <f t="shared" si="90"/>
        <v>15059.366210322289</v>
      </c>
      <c r="DK112" s="59"/>
      <c r="DL112" s="66">
        <f t="shared" si="91"/>
        <v>10104.995224497403</v>
      </c>
      <c r="DM112" s="59"/>
      <c r="DN112" s="66">
        <f t="shared" si="92"/>
        <v>8574.091521646373</v>
      </c>
      <c r="DO112" s="59"/>
      <c r="DP112" s="66">
        <f t="shared" si="93"/>
        <v>8916.064950475105</v>
      </c>
      <c r="DV112" s="66">
        <f t="shared" si="80"/>
        <v>10663.629476735292</v>
      </c>
    </row>
    <row r="113" spans="2:126" ht="12.75">
      <c r="B113" s="62" t="s">
        <v>108</v>
      </c>
      <c r="D113" s="62" t="s">
        <v>70</v>
      </c>
      <c r="E113" s="59"/>
      <c r="F113" s="66">
        <f t="shared" si="81"/>
        <v>46.46306109130119</v>
      </c>
      <c r="G113" s="59"/>
      <c r="H113" s="66">
        <f t="shared" si="81"/>
        <v>52.260028869563186</v>
      </c>
      <c r="I113" s="59"/>
      <c r="J113" s="66">
        <f t="shared" si="55"/>
        <v>44.517981105153886</v>
      </c>
      <c r="K113" s="59"/>
      <c r="L113" s="66">
        <f t="shared" si="56"/>
        <v>73.7764402616047</v>
      </c>
      <c r="M113" s="59"/>
      <c r="N113" s="59"/>
      <c r="O113" s="59"/>
      <c r="P113" s="59"/>
      <c r="Q113" s="59"/>
      <c r="R113" s="66">
        <f t="shared" si="57"/>
        <v>64.15018296629357</v>
      </c>
      <c r="S113" s="59"/>
      <c r="T113" s="66">
        <f t="shared" si="58"/>
        <v>856.3206977690595</v>
      </c>
      <c r="U113" s="59"/>
      <c r="V113" s="66">
        <f t="shared" si="59"/>
        <v>226.77614084227358</v>
      </c>
      <c r="W113" s="59"/>
      <c r="X113" s="66">
        <f t="shared" si="60"/>
        <v>583.7961794613938</v>
      </c>
      <c r="Y113" s="59"/>
      <c r="Z113" s="59"/>
      <c r="AA113" s="59"/>
      <c r="AB113" s="59"/>
      <c r="AC113" s="59"/>
      <c r="AD113" s="66">
        <f t="shared" si="61"/>
        <v>9039.677211135997</v>
      </c>
      <c r="AE113" s="59"/>
      <c r="AF113" s="66">
        <f t="shared" si="62"/>
        <v>9794.351478026</v>
      </c>
      <c r="AG113" s="59"/>
      <c r="AH113" s="66">
        <f t="shared" si="63"/>
        <v>17990.672190651127</v>
      </c>
      <c r="AI113" s="59"/>
      <c r="AJ113" s="66">
        <f t="shared" si="64"/>
        <v>23187.614407090787</v>
      </c>
      <c r="AK113" s="59"/>
      <c r="AL113" s="59"/>
      <c r="AM113" s="59"/>
      <c r="AN113" s="59"/>
      <c r="AP113" s="66">
        <f t="shared" si="82"/>
        <v>9103.82739410229</v>
      </c>
      <c r="AQ113" s="59"/>
      <c r="AR113" s="66">
        <f t="shared" si="83"/>
        <v>10650.672175795058</v>
      </c>
      <c r="AS113" s="59"/>
      <c r="AT113" s="66">
        <f t="shared" si="84"/>
        <v>18217.4483314934</v>
      </c>
      <c r="AU113" s="59"/>
      <c r="AV113" s="66">
        <f t="shared" si="85"/>
        <v>23771.41058655218</v>
      </c>
      <c r="AW113" s="59"/>
      <c r="AX113" s="66"/>
      <c r="AY113" s="59"/>
      <c r="AZ113" s="66"/>
      <c r="BA113" s="59"/>
      <c r="BB113" s="66">
        <f t="shared" si="65"/>
        <v>2322.2824449390887</v>
      </c>
      <c r="BC113" s="59"/>
      <c r="BD113" s="66">
        <f t="shared" si="66"/>
        <v>2858.2516913192176</v>
      </c>
      <c r="BE113" s="59"/>
      <c r="BF113" s="66">
        <f t="shared" si="67"/>
        <v>2967.5435127144888</v>
      </c>
      <c r="BG113" s="59"/>
      <c r="BH113" s="66">
        <f t="shared" si="68"/>
        <v>2139.5167675865373</v>
      </c>
      <c r="BI113" s="59"/>
      <c r="BJ113" s="59"/>
      <c r="BK113" s="59"/>
      <c r="BL113" s="59"/>
      <c r="BM113" s="59"/>
      <c r="BN113" s="59"/>
      <c r="BO113" s="59"/>
      <c r="BP113" s="66">
        <f t="shared" si="69"/>
        <v>0</v>
      </c>
      <c r="BQ113" s="59"/>
      <c r="BR113" s="66">
        <f t="shared" si="70"/>
        <v>0</v>
      </c>
      <c r="BS113" s="59"/>
      <c r="BT113" s="66">
        <f t="shared" si="71"/>
        <v>0</v>
      </c>
      <c r="BU113" s="59"/>
      <c r="BV113" s="59"/>
      <c r="BW113" s="59"/>
      <c r="BX113" s="59"/>
      <c r="BY113" s="59"/>
      <c r="BZ113" s="66">
        <f t="shared" si="72"/>
        <v>0</v>
      </c>
      <c r="CA113" s="59"/>
      <c r="CB113" s="66">
        <f t="shared" si="73"/>
        <v>0</v>
      </c>
      <c r="CC113" s="59"/>
      <c r="CD113" s="66">
        <f t="shared" si="74"/>
        <v>0</v>
      </c>
      <c r="CE113" s="59"/>
      <c r="CF113" s="59"/>
      <c r="CG113" s="59"/>
      <c r="CH113" s="59"/>
      <c r="CI113" s="59"/>
      <c r="CJ113" s="59"/>
      <c r="CK113" s="59"/>
      <c r="CL113" s="66">
        <f t="shared" si="75"/>
        <v>94368.18922826383</v>
      </c>
      <c r="CM113" s="59"/>
      <c r="CN113" s="66">
        <f t="shared" si="76"/>
        <v>78141.28456671722</v>
      </c>
      <c r="CO113" s="59"/>
      <c r="CP113" s="66">
        <f t="shared" si="77"/>
        <v>73383.39121655704</v>
      </c>
      <c r="CQ113" s="59"/>
      <c r="CR113" s="66">
        <f t="shared" si="78"/>
        <v>91849.61917265478</v>
      </c>
      <c r="CS113" s="59"/>
      <c r="CT113" s="59"/>
      <c r="CU113" s="59"/>
      <c r="CV113" s="59"/>
      <c r="CW113" s="59"/>
      <c r="CX113" s="66">
        <f t="shared" si="86"/>
        <v>94368.18922826383</v>
      </c>
      <c r="CY113" s="59"/>
      <c r="CZ113" s="66">
        <f t="shared" si="87"/>
        <v>78141.28456671722</v>
      </c>
      <c r="DA113" s="59"/>
      <c r="DB113" s="66">
        <f t="shared" si="88"/>
        <v>73383.39121655704</v>
      </c>
      <c r="DC113" s="59"/>
      <c r="DD113" s="66">
        <f t="shared" si="89"/>
        <v>91849.61917265478</v>
      </c>
      <c r="DE113" s="59"/>
      <c r="DF113" s="59"/>
      <c r="DG113" s="59"/>
      <c r="DH113" s="59"/>
      <c r="DI113" s="59"/>
      <c r="DJ113" s="66">
        <f t="shared" si="90"/>
        <v>105840.7621283965</v>
      </c>
      <c r="DK113" s="59"/>
      <c r="DL113" s="66">
        <f t="shared" si="91"/>
        <v>91702.46846270107</v>
      </c>
      <c r="DM113" s="59"/>
      <c r="DN113" s="66">
        <f t="shared" si="92"/>
        <v>94612.90104187006</v>
      </c>
      <c r="DO113" s="59"/>
      <c r="DP113" s="66">
        <f t="shared" si="93"/>
        <v>117834.32296705511</v>
      </c>
      <c r="DV113" s="66">
        <f t="shared" si="80"/>
        <v>102497.61365000569</v>
      </c>
    </row>
    <row r="114" spans="2:126" ht="12.75">
      <c r="B114" s="62" t="s">
        <v>209</v>
      </c>
      <c r="D114" s="62" t="s">
        <v>70</v>
      </c>
      <c r="E114" s="59"/>
      <c r="F114" s="66">
        <f t="shared" si="81"/>
        <v>255.5468360021566</v>
      </c>
      <c r="G114" s="59"/>
      <c r="H114" s="66">
        <f t="shared" si="81"/>
        <v>245.622135686947</v>
      </c>
      <c r="I114" s="59"/>
      <c r="J114" s="66">
        <f t="shared" si="55"/>
        <v>267.1078866309233</v>
      </c>
      <c r="K114" s="59"/>
      <c r="L114" s="66">
        <f t="shared" si="56"/>
        <v>339.37162520338165</v>
      </c>
      <c r="M114" s="59"/>
      <c r="N114" s="59"/>
      <c r="O114" s="59"/>
      <c r="P114" s="59"/>
      <c r="Q114" s="59"/>
      <c r="R114" s="66">
        <f t="shared" si="57"/>
        <v>295.0908416449504</v>
      </c>
      <c r="S114" s="59"/>
      <c r="T114" s="66">
        <f t="shared" si="58"/>
        <v>4110.339349291487</v>
      </c>
      <c r="U114" s="59"/>
      <c r="V114" s="66">
        <f t="shared" si="59"/>
        <v>1455.4289636145916</v>
      </c>
      <c r="W114" s="59"/>
      <c r="X114" s="66">
        <f t="shared" si="60"/>
        <v>2559.721709946112</v>
      </c>
      <c r="Y114" s="59"/>
      <c r="Z114" s="59"/>
      <c r="AA114" s="59"/>
      <c r="AB114" s="59"/>
      <c r="AC114" s="59"/>
      <c r="AD114" s="66">
        <f t="shared" si="61"/>
        <v>3892.0832436835535</v>
      </c>
      <c r="AE114" s="59"/>
      <c r="AF114" s="66">
        <f t="shared" si="62"/>
        <v>4217.012441927861</v>
      </c>
      <c r="AG114" s="59"/>
      <c r="AH114" s="66">
        <f t="shared" si="63"/>
        <v>7170.195438302983</v>
      </c>
      <c r="AI114" s="59"/>
      <c r="AJ114" s="66">
        <f t="shared" si="64"/>
        <v>10305.606403151462</v>
      </c>
      <c r="AK114" s="59"/>
      <c r="AL114" s="59"/>
      <c r="AM114" s="59"/>
      <c r="AN114" s="59"/>
      <c r="AP114" s="66">
        <f t="shared" si="82"/>
        <v>4187.174085328504</v>
      </c>
      <c r="AQ114" s="59"/>
      <c r="AR114" s="66">
        <f t="shared" si="83"/>
        <v>8327.35179121935</v>
      </c>
      <c r="AS114" s="59"/>
      <c r="AT114" s="66">
        <f t="shared" si="84"/>
        <v>8625.624401917576</v>
      </c>
      <c r="AU114" s="59"/>
      <c r="AV114" s="66">
        <f t="shared" si="85"/>
        <v>12865.328113097574</v>
      </c>
      <c r="AW114" s="59"/>
      <c r="AX114" s="66"/>
      <c r="AY114" s="59"/>
      <c r="AZ114" s="66"/>
      <c r="BA114" s="59"/>
      <c r="BB114" s="66">
        <f t="shared" si="65"/>
        <v>826.5751075206924</v>
      </c>
      <c r="BC114" s="59"/>
      <c r="BD114" s="66">
        <f t="shared" si="66"/>
        <v>1008.7947145832536</v>
      </c>
      <c r="BE114" s="59"/>
      <c r="BF114" s="66">
        <f t="shared" si="67"/>
        <v>1017.4434900735386</v>
      </c>
      <c r="BG114" s="59"/>
      <c r="BH114" s="66">
        <f t="shared" si="68"/>
        <v>811.5408428776519</v>
      </c>
      <c r="BI114" s="59"/>
      <c r="BJ114" s="59"/>
      <c r="BK114" s="59"/>
      <c r="BL114" s="59"/>
      <c r="BM114" s="59"/>
      <c r="BN114" s="59"/>
      <c r="BO114" s="59"/>
      <c r="BP114" s="66">
        <f t="shared" si="69"/>
        <v>0</v>
      </c>
      <c r="BQ114" s="59"/>
      <c r="BR114" s="66">
        <f t="shared" si="70"/>
        <v>0</v>
      </c>
      <c r="BS114" s="59"/>
      <c r="BT114" s="66">
        <f t="shared" si="71"/>
        <v>0</v>
      </c>
      <c r="BU114" s="59"/>
      <c r="BV114" s="59"/>
      <c r="BW114" s="59"/>
      <c r="BX114" s="59"/>
      <c r="BY114" s="59"/>
      <c r="BZ114" s="66">
        <f t="shared" si="72"/>
        <v>0</v>
      </c>
      <c r="CA114" s="59"/>
      <c r="CB114" s="66">
        <f t="shared" si="73"/>
        <v>0</v>
      </c>
      <c r="CC114" s="59"/>
      <c r="CD114" s="66">
        <f t="shared" si="74"/>
        <v>0</v>
      </c>
      <c r="CE114" s="59"/>
      <c r="CF114" s="59"/>
      <c r="CG114" s="59"/>
      <c r="CH114" s="59"/>
      <c r="CI114" s="59"/>
      <c r="CJ114" s="59"/>
      <c r="CK114" s="59"/>
      <c r="CL114" s="66">
        <f t="shared" si="75"/>
        <v>0</v>
      </c>
      <c r="CM114" s="59"/>
      <c r="CN114" s="66">
        <f t="shared" si="76"/>
        <v>0</v>
      </c>
      <c r="CO114" s="59"/>
      <c r="CP114" s="66">
        <f t="shared" si="77"/>
        <v>0</v>
      </c>
      <c r="CQ114" s="59"/>
      <c r="CR114" s="66">
        <f t="shared" si="78"/>
        <v>0</v>
      </c>
      <c r="CS114" s="59"/>
      <c r="CT114" s="59"/>
      <c r="CU114" s="59"/>
      <c r="CV114" s="59"/>
      <c r="CW114" s="59"/>
      <c r="CX114" s="66">
        <f t="shared" si="86"/>
        <v>0</v>
      </c>
      <c r="CY114" s="59"/>
      <c r="CZ114" s="66">
        <f t="shared" si="87"/>
        <v>0</v>
      </c>
      <c r="DA114" s="59"/>
      <c r="DB114" s="66">
        <f t="shared" si="88"/>
        <v>0</v>
      </c>
      <c r="DC114" s="59"/>
      <c r="DD114" s="66">
        <f t="shared" si="89"/>
        <v>0</v>
      </c>
      <c r="DE114" s="59"/>
      <c r="DF114" s="59"/>
      <c r="DG114" s="59"/>
      <c r="DH114" s="59"/>
      <c r="DI114" s="59"/>
      <c r="DJ114" s="66">
        <f t="shared" si="90"/>
        <v>5269.296028851353</v>
      </c>
      <c r="DK114" s="59"/>
      <c r="DL114" s="66">
        <f t="shared" si="91"/>
        <v>9581.768641489549</v>
      </c>
      <c r="DM114" s="59"/>
      <c r="DN114" s="66">
        <f t="shared" si="92"/>
        <v>9910.175778622037</v>
      </c>
      <c r="DO114" s="59"/>
      <c r="DP114" s="66">
        <f t="shared" si="93"/>
        <v>14016.240581178607</v>
      </c>
      <c r="DV114" s="66">
        <f t="shared" si="80"/>
        <v>9694.370257535387</v>
      </c>
    </row>
    <row r="115" spans="2:126" ht="12.75">
      <c r="B115" s="62" t="s">
        <v>104</v>
      </c>
      <c r="D115" s="62" t="s">
        <v>70</v>
      </c>
      <c r="E115" s="59"/>
      <c r="F115" s="66">
        <f t="shared" si="81"/>
        <v>171.91332603781441</v>
      </c>
      <c r="G115" s="59"/>
      <c r="H115" s="66">
        <f t="shared" si="81"/>
        <v>154.16708516521138</v>
      </c>
      <c r="I115" s="59"/>
      <c r="J115" s="66">
        <f t="shared" si="55"/>
        <v>111.2949527628847</v>
      </c>
      <c r="K115" s="59"/>
      <c r="L115" s="66">
        <f t="shared" si="56"/>
        <v>225.0181427978944</v>
      </c>
      <c r="M115" s="59"/>
      <c r="N115" s="59"/>
      <c r="O115" s="59"/>
      <c r="P115" s="59"/>
      <c r="Q115" s="59"/>
      <c r="R115" s="66">
        <f t="shared" si="57"/>
        <v>384.90109779776134</v>
      </c>
      <c r="S115" s="59"/>
      <c r="T115" s="66">
        <f t="shared" si="58"/>
        <v>3151.2601677901407</v>
      </c>
      <c r="U115" s="59"/>
      <c r="V115" s="66">
        <f t="shared" si="59"/>
        <v>1083.1099264108586</v>
      </c>
      <c r="W115" s="59"/>
      <c r="X115" s="66">
        <f t="shared" si="60"/>
        <v>25148.14311526004</v>
      </c>
      <c r="Y115" s="59"/>
      <c r="Z115" s="59"/>
      <c r="AA115" s="59"/>
      <c r="AB115" s="59"/>
      <c r="AC115" s="59"/>
      <c r="AD115" s="66">
        <f t="shared" si="61"/>
        <v>3264.32788179911</v>
      </c>
      <c r="AE115" s="59"/>
      <c r="AF115" s="66">
        <f t="shared" si="62"/>
        <v>3128.751166591639</v>
      </c>
      <c r="AG115" s="59"/>
      <c r="AH115" s="66">
        <f t="shared" si="63"/>
        <v>4562.851642556445</v>
      </c>
      <c r="AI115" s="59"/>
      <c r="AJ115" s="66">
        <f t="shared" si="64"/>
        <v>6118.953801871179</v>
      </c>
      <c r="AK115" s="59"/>
      <c r="AL115" s="59"/>
      <c r="AM115" s="59"/>
      <c r="AN115" s="59"/>
      <c r="AP115" s="66">
        <f t="shared" si="82"/>
        <v>3649.2289795968713</v>
      </c>
      <c r="AQ115" s="59"/>
      <c r="AR115" s="66">
        <f t="shared" si="83"/>
        <v>6280.011334381779</v>
      </c>
      <c r="AS115" s="59"/>
      <c r="AT115" s="66">
        <f t="shared" si="84"/>
        <v>5645.961568967304</v>
      </c>
      <c r="AU115" s="59"/>
      <c r="AV115" s="66">
        <f t="shared" si="85"/>
        <v>31267.09691713122</v>
      </c>
      <c r="AW115" s="59"/>
      <c r="AX115" s="66"/>
      <c r="AY115" s="59"/>
      <c r="AZ115" s="66"/>
      <c r="BA115" s="59"/>
      <c r="BB115" s="66">
        <f t="shared" si="65"/>
        <v>787.2143881149453</v>
      </c>
      <c r="BC115" s="59"/>
      <c r="BD115" s="66">
        <f t="shared" si="66"/>
        <v>1008.7947145832536</v>
      </c>
      <c r="BE115" s="59"/>
      <c r="BF115" s="66">
        <f t="shared" si="67"/>
        <v>932.6565325674105</v>
      </c>
      <c r="BG115" s="59"/>
      <c r="BH115" s="66">
        <f t="shared" si="68"/>
        <v>811.5408428776519</v>
      </c>
      <c r="BI115" s="59"/>
      <c r="BJ115" s="59"/>
      <c r="BK115" s="59"/>
      <c r="BL115" s="59"/>
      <c r="BM115" s="59"/>
      <c r="BN115" s="59"/>
      <c r="BO115" s="59"/>
      <c r="BP115" s="66">
        <f t="shared" si="69"/>
        <v>0</v>
      </c>
      <c r="BQ115" s="59"/>
      <c r="BR115" s="66">
        <f t="shared" si="70"/>
        <v>0</v>
      </c>
      <c r="BS115" s="59"/>
      <c r="BT115" s="66">
        <f t="shared" si="71"/>
        <v>0</v>
      </c>
      <c r="BU115" s="59"/>
      <c r="BV115" s="59"/>
      <c r="BW115" s="59"/>
      <c r="BX115" s="59"/>
      <c r="BY115" s="59"/>
      <c r="BZ115" s="66">
        <f t="shared" si="72"/>
        <v>0</v>
      </c>
      <c r="CA115" s="59"/>
      <c r="CB115" s="66">
        <f t="shared" si="73"/>
        <v>0</v>
      </c>
      <c r="CC115" s="59"/>
      <c r="CD115" s="66">
        <f t="shared" si="74"/>
        <v>0</v>
      </c>
      <c r="CE115" s="59"/>
      <c r="CF115" s="59"/>
      <c r="CG115" s="59"/>
      <c r="CH115" s="59"/>
      <c r="CI115" s="59"/>
      <c r="CJ115" s="59"/>
      <c r="CK115" s="59"/>
      <c r="CL115" s="66">
        <f t="shared" si="75"/>
        <v>164513.52774552946</v>
      </c>
      <c r="CM115" s="59"/>
      <c r="CN115" s="66">
        <f t="shared" si="76"/>
        <v>171371.92063597296</v>
      </c>
      <c r="CO115" s="59"/>
      <c r="CP115" s="66">
        <f t="shared" si="77"/>
        <v>178140.84099671457</v>
      </c>
      <c r="CQ115" s="59"/>
      <c r="CR115" s="66">
        <f t="shared" si="78"/>
        <v>122230.64705284059</v>
      </c>
      <c r="CS115" s="59"/>
      <c r="CT115" s="59"/>
      <c r="CU115" s="59"/>
      <c r="CV115" s="59"/>
      <c r="CW115" s="59"/>
      <c r="CX115" s="66">
        <f t="shared" si="86"/>
        <v>164513.52774552946</v>
      </c>
      <c r="CY115" s="59"/>
      <c r="CZ115" s="66">
        <f t="shared" si="87"/>
        <v>171371.92063597296</v>
      </c>
      <c r="DA115" s="59"/>
      <c r="DB115" s="66">
        <f t="shared" si="88"/>
        <v>178140.84099671457</v>
      </c>
      <c r="DC115" s="59"/>
      <c r="DD115" s="66">
        <f t="shared" si="89"/>
        <v>122230.64705284059</v>
      </c>
      <c r="DE115" s="59"/>
      <c r="DF115" s="59"/>
      <c r="DG115" s="59"/>
      <c r="DH115" s="59"/>
      <c r="DI115" s="59"/>
      <c r="DJ115" s="66">
        <f t="shared" si="90"/>
        <v>169121.8844392791</v>
      </c>
      <c r="DK115" s="59"/>
      <c r="DL115" s="66">
        <f t="shared" si="91"/>
        <v>178814.8937701032</v>
      </c>
      <c r="DM115" s="59"/>
      <c r="DN115" s="66">
        <f t="shared" si="92"/>
        <v>184830.7540510122</v>
      </c>
      <c r="DO115" s="59"/>
      <c r="DP115" s="66">
        <f t="shared" si="93"/>
        <v>154534.30295564738</v>
      </c>
      <c r="DV115" s="66">
        <f t="shared" si="80"/>
        <v>171825.45880401047</v>
      </c>
    </row>
    <row r="116" spans="2:131" ht="12.75">
      <c r="B116" s="62" t="s">
        <v>112</v>
      </c>
      <c r="D116" s="62" t="s">
        <v>70</v>
      </c>
      <c r="E116" s="59"/>
      <c r="F116" s="66">
        <f t="shared" si="81"/>
        <v>6.27251324732566</v>
      </c>
      <c r="G116" s="59"/>
      <c r="H116" s="66">
        <f t="shared" si="81"/>
        <v>6.532503608695398</v>
      </c>
      <c r="I116" s="59"/>
      <c r="J116" s="66">
        <f t="shared" si="55"/>
        <v>5.342157732618467</v>
      </c>
      <c r="K116" s="59"/>
      <c r="L116" s="66">
        <f t="shared" si="56"/>
        <v>11.804230441856754</v>
      </c>
      <c r="M116" s="59"/>
      <c r="N116" s="59"/>
      <c r="O116" s="59"/>
      <c r="P116" s="59"/>
      <c r="Q116" s="59"/>
      <c r="R116" s="66">
        <f t="shared" si="57"/>
        <v>4.811263722472017</v>
      </c>
      <c r="S116" s="59"/>
      <c r="T116" s="66">
        <f t="shared" si="58"/>
        <v>5.4804524657219815</v>
      </c>
      <c r="U116" s="59"/>
      <c r="V116" s="66">
        <f t="shared" si="59"/>
        <v>4.4001340760441146</v>
      </c>
      <c r="W116" s="59"/>
      <c r="X116" s="66">
        <f t="shared" si="60"/>
        <v>12.124997573428944</v>
      </c>
      <c r="Y116" s="59"/>
      <c r="Z116" s="59"/>
      <c r="AA116" s="59"/>
      <c r="AB116" s="59"/>
      <c r="AC116" s="59"/>
      <c r="AD116" s="66">
        <f t="shared" si="61"/>
        <v>77.84166487367106</v>
      </c>
      <c r="AE116" s="59"/>
      <c r="AF116" s="66">
        <f t="shared" si="62"/>
        <v>97.94351478026</v>
      </c>
      <c r="AG116" s="59"/>
      <c r="AH116" s="66">
        <f t="shared" si="63"/>
        <v>67.79093868941003</v>
      </c>
      <c r="AI116" s="59"/>
      <c r="AJ116" s="66">
        <f t="shared" si="64"/>
        <v>77.29204802363597</v>
      </c>
      <c r="AK116" s="59"/>
      <c r="AL116" s="59"/>
      <c r="AM116" s="59"/>
      <c r="AN116" s="59"/>
      <c r="AP116" s="66">
        <f t="shared" si="82"/>
        <v>82.65292859614308</v>
      </c>
      <c r="AQ116" s="59"/>
      <c r="AR116" s="66">
        <f t="shared" si="83"/>
        <v>103.42396724598198</v>
      </c>
      <c r="AS116" s="59"/>
      <c r="AT116" s="66">
        <f t="shared" si="84"/>
        <v>72.19107276545414</v>
      </c>
      <c r="AU116" s="59"/>
      <c r="AV116" s="66">
        <f t="shared" si="85"/>
        <v>89.41704559706491</v>
      </c>
      <c r="AW116" s="59"/>
      <c r="AX116" s="66"/>
      <c r="AY116" s="59"/>
      <c r="AZ116" s="66"/>
      <c r="BA116" s="59">
        <v>100</v>
      </c>
      <c r="BB116" s="66">
        <f t="shared" si="65"/>
        <v>7.872143881149453</v>
      </c>
      <c r="BC116" s="59">
        <v>100</v>
      </c>
      <c r="BD116" s="66">
        <f t="shared" si="66"/>
        <v>8.406622621527113</v>
      </c>
      <c r="BE116" s="59">
        <v>100</v>
      </c>
      <c r="BF116" s="66">
        <f t="shared" si="67"/>
        <v>8.478695750612822</v>
      </c>
      <c r="BG116" s="59">
        <v>100</v>
      </c>
      <c r="BH116" s="66">
        <f t="shared" si="68"/>
        <v>7.377644026160472</v>
      </c>
      <c r="BI116" s="59"/>
      <c r="BJ116" s="59"/>
      <c r="BK116" s="59"/>
      <c r="BL116" s="59"/>
      <c r="BM116" s="59"/>
      <c r="BN116" s="59"/>
      <c r="BO116" s="59"/>
      <c r="BP116" s="66">
        <f t="shared" si="69"/>
        <v>0</v>
      </c>
      <c r="BQ116" s="59"/>
      <c r="BR116" s="66">
        <f t="shared" si="70"/>
        <v>0</v>
      </c>
      <c r="BS116" s="59"/>
      <c r="BT116" s="66">
        <f t="shared" si="71"/>
        <v>0</v>
      </c>
      <c r="BU116" s="59"/>
      <c r="BV116" s="59"/>
      <c r="BW116" s="59"/>
      <c r="BX116" s="59"/>
      <c r="BY116" s="59"/>
      <c r="BZ116" s="66">
        <f t="shared" si="72"/>
        <v>0</v>
      </c>
      <c r="CA116" s="59"/>
      <c r="CB116" s="66">
        <f t="shared" si="73"/>
        <v>0</v>
      </c>
      <c r="CC116" s="59"/>
      <c r="CD116" s="66">
        <f t="shared" si="74"/>
        <v>0</v>
      </c>
      <c r="CE116" s="59"/>
      <c r="CF116" s="59"/>
      <c r="CG116" s="59"/>
      <c r="CH116" s="59"/>
      <c r="CI116" s="59"/>
      <c r="CJ116" s="59"/>
      <c r="CK116" s="59"/>
      <c r="CL116" s="66">
        <f t="shared" si="75"/>
        <v>0</v>
      </c>
      <c r="CM116" s="59"/>
      <c r="CN116" s="66">
        <f t="shared" si="76"/>
        <v>0</v>
      </c>
      <c r="CO116" s="59"/>
      <c r="CP116" s="66">
        <f t="shared" si="77"/>
        <v>0</v>
      </c>
      <c r="CQ116" s="59"/>
      <c r="CR116" s="66">
        <f t="shared" si="78"/>
        <v>0</v>
      </c>
      <c r="CS116" s="59"/>
      <c r="CT116" s="59"/>
      <c r="CU116" s="59"/>
      <c r="CV116" s="59"/>
      <c r="CW116" s="59"/>
      <c r="CX116" s="66">
        <f t="shared" si="86"/>
        <v>0</v>
      </c>
      <c r="CY116" s="59"/>
      <c r="CZ116" s="66">
        <f t="shared" si="87"/>
        <v>0</v>
      </c>
      <c r="DA116" s="59"/>
      <c r="DB116" s="66">
        <f t="shared" si="88"/>
        <v>0</v>
      </c>
      <c r="DC116" s="59"/>
      <c r="DD116" s="66">
        <f t="shared" si="89"/>
        <v>0</v>
      </c>
      <c r="DE116" s="59"/>
      <c r="DF116" s="59"/>
      <c r="DG116" s="59"/>
      <c r="DH116" s="59"/>
      <c r="DI116" s="59">
        <f>SUM((BB116*BA116/100),(AP116*AO116/100),(F116*E116/100))/DJ116*100</f>
        <v>8.477294371333127</v>
      </c>
      <c r="DJ116" s="66">
        <f>CL116+BZ116+BN116+BB116/2+AD116+R116+F116</f>
        <v>92.86151378404347</v>
      </c>
      <c r="DK116" s="59">
        <f>SUM((BD116*BC116/100),(AR116*AQ116/100),(H116*G116/100))/DL116*100</f>
        <v>7.363909129875698</v>
      </c>
      <c r="DL116" s="66">
        <f>CN116+CB116+BP116+BD116/2+AF116+T116+H116</f>
        <v>114.15978216544093</v>
      </c>
      <c r="DM116" s="59">
        <f>SUM((BF116*BE116/100),(AT116*AS116/100),(J116*I116/100))/DN116*100</f>
        <v>10.368629581298679</v>
      </c>
      <c r="DN116" s="66">
        <f>CP116+CD116+BR116+BF116/2+AH116+V116+J116</f>
        <v>81.772578373379</v>
      </c>
      <c r="DO116" s="59">
        <f>SUM((BH116*BG116/100),(AV116*AU116/100),(L116*K116/100))/DP116*100</f>
        <v>7.032348804500703</v>
      </c>
      <c r="DP116" s="66">
        <f>CR116+CF116+BT116+BH116/2+AJ116+X116+L116</f>
        <v>104.91009805200191</v>
      </c>
      <c r="DU116" s="62">
        <f>SUM((DT116*DS116/100),(DR116*DQ116/100),(DP116*DO116/100),(DN116*DM116/100),(DL116*DK116/100),(DJ116*DI116/100))/DV116*100/4</f>
        <v>8.162250963739936</v>
      </c>
      <c r="DV116" s="66">
        <f t="shared" si="80"/>
        <v>98.42599309371633</v>
      </c>
      <c r="DX116" s="66">
        <f>AVERAGE(R116,T116,V116,X116,Z116,AB116)+AVERAGE(AD116,AF116,AH116,AJ116,AL116,AN116)</f>
        <v>86.92125355116103</v>
      </c>
      <c r="DY116" s="66">
        <f>AVERAGE(BZ116,CB116,CD116,CF116,CH116,CJ116)+AVERAGE(BN116,BP116,BR116,BT116)</f>
        <v>0</v>
      </c>
      <c r="DZ116" s="66">
        <f>AVERAGE(F116,H116,J116,L116,N116,P116)+AVERAGE(BB116,BD116,BF116,BH116,BJ116,BL116)/2</f>
        <v>11.504739542555303</v>
      </c>
      <c r="EA116" s="66">
        <f>SUM(DX116,DY116,DZ116)</f>
        <v>98.42599309371633</v>
      </c>
    </row>
    <row r="117" spans="2:126" ht="12.75">
      <c r="B117" s="62" t="s">
        <v>105</v>
      </c>
      <c r="D117" s="62" t="s">
        <v>70</v>
      </c>
      <c r="E117" s="59"/>
      <c r="F117" s="66">
        <f t="shared" si="81"/>
        <v>348.4729581847591</v>
      </c>
      <c r="G117" s="59"/>
      <c r="H117" s="66">
        <f t="shared" si="81"/>
        <v>287.4301587825976</v>
      </c>
      <c r="I117" s="59"/>
      <c r="J117" s="66">
        <f t="shared" si="55"/>
        <v>267.1078866309233</v>
      </c>
      <c r="K117" s="59"/>
      <c r="L117" s="66">
        <f t="shared" si="56"/>
        <v>361.50455728186313</v>
      </c>
      <c r="M117" s="59"/>
      <c r="N117" s="59"/>
      <c r="O117" s="59"/>
      <c r="P117" s="59"/>
      <c r="Q117" s="59"/>
      <c r="R117" s="66">
        <f t="shared" si="57"/>
        <v>64.15018296629357</v>
      </c>
      <c r="S117" s="59"/>
      <c r="T117" s="66">
        <f t="shared" si="58"/>
        <v>102.75848373228717</v>
      </c>
      <c r="U117" s="59"/>
      <c r="V117" s="66">
        <f t="shared" si="59"/>
        <v>67.69437040067866</v>
      </c>
      <c r="W117" s="59"/>
      <c r="X117" s="66">
        <f t="shared" si="60"/>
        <v>134.72219526032163</v>
      </c>
      <c r="Y117" s="59"/>
      <c r="Z117" s="59"/>
      <c r="AA117" s="59"/>
      <c r="AB117" s="59"/>
      <c r="AC117" s="59"/>
      <c r="AD117" s="66">
        <f t="shared" si="61"/>
        <v>590.0900401713775</v>
      </c>
      <c r="AE117" s="59"/>
      <c r="AF117" s="66">
        <f t="shared" si="62"/>
        <v>639.3534992600306</v>
      </c>
      <c r="AG117" s="59"/>
      <c r="AH117" s="66">
        <f t="shared" si="63"/>
        <v>925.6070474900214</v>
      </c>
      <c r="AI117" s="59"/>
      <c r="AJ117" s="66">
        <f t="shared" si="64"/>
        <v>1384.8158604234777</v>
      </c>
      <c r="AK117" s="59"/>
      <c r="AL117" s="59"/>
      <c r="AM117" s="59"/>
      <c r="AN117" s="59"/>
      <c r="AP117" s="66">
        <f t="shared" si="82"/>
        <v>654.240223137671</v>
      </c>
      <c r="AQ117" s="59"/>
      <c r="AR117" s="66">
        <f t="shared" si="83"/>
        <v>742.1119829923177</v>
      </c>
      <c r="AS117" s="59"/>
      <c r="AT117" s="66">
        <f t="shared" si="84"/>
        <v>993.3014178907</v>
      </c>
      <c r="AU117" s="59"/>
      <c r="AV117" s="66">
        <f t="shared" si="85"/>
        <v>1519.5380556837993</v>
      </c>
      <c r="AW117" s="59"/>
      <c r="AX117" s="66"/>
      <c r="AY117" s="59"/>
      <c r="AZ117" s="66"/>
      <c r="BA117" s="59"/>
      <c r="BB117" s="66">
        <f t="shared" si="65"/>
        <v>1653.1502150413849</v>
      </c>
      <c r="BC117" s="59"/>
      <c r="BD117" s="66">
        <f t="shared" si="66"/>
        <v>1681.3245243054225</v>
      </c>
      <c r="BE117" s="59"/>
      <c r="BF117" s="66">
        <f t="shared" si="67"/>
        <v>1653.3456713695005</v>
      </c>
      <c r="BG117" s="59"/>
      <c r="BH117" s="66">
        <f t="shared" si="68"/>
        <v>1291.0877045780824</v>
      </c>
      <c r="BI117" s="59"/>
      <c r="BJ117" s="59"/>
      <c r="BK117" s="59"/>
      <c r="BL117" s="59"/>
      <c r="BM117" s="59"/>
      <c r="BN117" s="59"/>
      <c r="BO117" s="59"/>
      <c r="BP117" s="66">
        <f t="shared" si="69"/>
        <v>0</v>
      </c>
      <c r="BQ117" s="59"/>
      <c r="BR117" s="66">
        <f t="shared" si="70"/>
        <v>0</v>
      </c>
      <c r="BS117" s="59"/>
      <c r="BT117" s="66">
        <f t="shared" si="71"/>
        <v>0</v>
      </c>
      <c r="BU117" s="59"/>
      <c r="BV117" s="59"/>
      <c r="BW117" s="59"/>
      <c r="BX117" s="59"/>
      <c r="BY117" s="59"/>
      <c r="BZ117" s="66">
        <f t="shared" si="72"/>
        <v>0</v>
      </c>
      <c r="CA117" s="59"/>
      <c r="CB117" s="66">
        <f t="shared" si="73"/>
        <v>0</v>
      </c>
      <c r="CC117" s="59"/>
      <c r="CD117" s="66">
        <f t="shared" si="74"/>
        <v>0</v>
      </c>
      <c r="CE117" s="59"/>
      <c r="CF117" s="59"/>
      <c r="CG117" s="59"/>
      <c r="CH117" s="59"/>
      <c r="CI117" s="59"/>
      <c r="CJ117" s="59"/>
      <c r="CK117" s="59"/>
      <c r="CL117" s="66">
        <f t="shared" si="75"/>
        <v>0</v>
      </c>
      <c r="CM117" s="59"/>
      <c r="CN117" s="66">
        <f t="shared" si="76"/>
        <v>0</v>
      </c>
      <c r="CO117" s="59"/>
      <c r="CP117" s="66">
        <f t="shared" si="77"/>
        <v>0</v>
      </c>
      <c r="CQ117" s="59"/>
      <c r="CR117" s="66">
        <f t="shared" si="78"/>
        <v>0</v>
      </c>
      <c r="CS117" s="59"/>
      <c r="CT117" s="59"/>
      <c r="CU117" s="59"/>
      <c r="CV117" s="59"/>
      <c r="CW117" s="59"/>
      <c r="CX117" s="66">
        <f t="shared" si="86"/>
        <v>0</v>
      </c>
      <c r="CY117" s="59"/>
      <c r="CZ117" s="66">
        <f t="shared" si="87"/>
        <v>0</v>
      </c>
      <c r="DA117" s="59"/>
      <c r="DB117" s="66">
        <f t="shared" si="88"/>
        <v>0</v>
      </c>
      <c r="DC117" s="59"/>
      <c r="DD117" s="66">
        <f t="shared" si="89"/>
        <v>0</v>
      </c>
      <c r="DE117" s="59"/>
      <c r="DF117" s="59"/>
      <c r="DG117" s="59"/>
      <c r="DH117" s="59"/>
      <c r="DI117" s="59"/>
      <c r="DJ117" s="66">
        <f t="shared" si="90"/>
        <v>2655.863396363815</v>
      </c>
      <c r="DK117" s="59"/>
      <c r="DL117" s="66">
        <f t="shared" si="91"/>
        <v>2710.866666080338</v>
      </c>
      <c r="DM117" s="59"/>
      <c r="DN117" s="66">
        <f t="shared" si="92"/>
        <v>2913.7549758911236</v>
      </c>
      <c r="DO117" s="59"/>
      <c r="DP117" s="66">
        <f t="shared" si="93"/>
        <v>3172.130317543745</v>
      </c>
      <c r="DV117" s="66">
        <f t="shared" si="80"/>
        <v>2863.1538389697553</v>
      </c>
    </row>
    <row r="118" spans="2:126" ht="12.75">
      <c r="B118" s="62" t="s">
        <v>107</v>
      </c>
      <c r="D118" s="62" t="s">
        <v>70</v>
      </c>
      <c r="E118" s="59"/>
      <c r="F118" s="66">
        <f t="shared" si="81"/>
        <v>1.16157652728253</v>
      </c>
      <c r="G118" s="59"/>
      <c r="H118" s="66">
        <f t="shared" si="81"/>
        <v>1.3065007217390796</v>
      </c>
      <c r="I118" s="59"/>
      <c r="J118" s="66">
        <f t="shared" si="55"/>
        <v>1.112949527628847</v>
      </c>
      <c r="K118" s="59"/>
      <c r="L118" s="66">
        <f t="shared" si="56"/>
        <v>1.844411006540118</v>
      </c>
      <c r="M118" s="59"/>
      <c r="N118" s="59"/>
      <c r="O118" s="59"/>
      <c r="P118" s="59"/>
      <c r="Q118" s="59"/>
      <c r="R118" s="66">
        <f t="shared" si="57"/>
        <v>7.056520126292293</v>
      </c>
      <c r="S118" s="59"/>
      <c r="T118" s="66">
        <f t="shared" si="58"/>
        <v>8.220678698582974</v>
      </c>
      <c r="U118" s="59"/>
      <c r="V118" s="66">
        <f t="shared" si="59"/>
        <v>8.123324448081442</v>
      </c>
      <c r="W118" s="59"/>
      <c r="X118" s="66">
        <f t="shared" si="60"/>
        <v>13.023145541831093</v>
      </c>
      <c r="Y118" s="59"/>
      <c r="Z118" s="59"/>
      <c r="AA118" s="59"/>
      <c r="AB118" s="59"/>
      <c r="AC118" s="59"/>
      <c r="AD118" s="66">
        <f t="shared" si="61"/>
        <v>28.87674664668443</v>
      </c>
      <c r="AE118" s="59"/>
      <c r="AF118" s="66">
        <f t="shared" si="62"/>
        <v>29.92718507174611</v>
      </c>
      <c r="AG118" s="59"/>
      <c r="AH118" s="66">
        <f t="shared" si="63"/>
        <v>16.947734672352507</v>
      </c>
      <c r="AI118" s="59"/>
      <c r="AJ118" s="66">
        <f t="shared" si="64"/>
        <v>33.81527101034072</v>
      </c>
      <c r="AK118" s="59"/>
      <c r="AL118" s="59"/>
      <c r="AM118" s="59"/>
      <c r="AN118" s="59"/>
      <c r="AP118" s="66">
        <f t="shared" si="82"/>
        <v>35.93326677297672</v>
      </c>
      <c r="AQ118" s="59"/>
      <c r="AR118" s="66">
        <f t="shared" si="83"/>
        <v>38.14786377032908</v>
      </c>
      <c r="AS118" s="59"/>
      <c r="AT118" s="66">
        <f t="shared" si="84"/>
        <v>25.07105912043395</v>
      </c>
      <c r="AU118" s="59"/>
      <c r="AV118" s="66">
        <f t="shared" si="85"/>
        <v>46.838416552171815</v>
      </c>
      <c r="AW118" s="59"/>
      <c r="AX118" s="66"/>
      <c r="AY118" s="59"/>
      <c r="AZ118" s="66"/>
      <c r="BA118" s="59">
        <v>100</v>
      </c>
      <c r="BB118" s="66">
        <f t="shared" si="65"/>
        <v>19.680359702873638</v>
      </c>
      <c r="BC118" s="59">
        <v>100</v>
      </c>
      <c r="BD118" s="66">
        <f t="shared" si="66"/>
        <v>21.016556553817782</v>
      </c>
      <c r="BE118" s="59">
        <v>100</v>
      </c>
      <c r="BF118" s="66">
        <f t="shared" si="67"/>
        <v>21.19673937653205</v>
      </c>
      <c r="BG118" s="59">
        <v>100</v>
      </c>
      <c r="BH118" s="66">
        <f t="shared" si="68"/>
        <v>18.444110065401176</v>
      </c>
      <c r="BI118" s="59"/>
      <c r="BJ118" s="59"/>
      <c r="BK118" s="59"/>
      <c r="BL118" s="59"/>
      <c r="BM118" s="59"/>
      <c r="BN118" s="59"/>
      <c r="BO118" s="59"/>
      <c r="BP118" s="66">
        <f t="shared" si="69"/>
        <v>0</v>
      </c>
      <c r="BQ118" s="59"/>
      <c r="BR118" s="66">
        <f t="shared" si="70"/>
        <v>0</v>
      </c>
      <c r="BS118" s="59"/>
      <c r="BT118" s="66">
        <f t="shared" si="71"/>
        <v>0</v>
      </c>
      <c r="BU118" s="59"/>
      <c r="BV118" s="59"/>
      <c r="BW118" s="59"/>
      <c r="BX118" s="59"/>
      <c r="BY118" s="59"/>
      <c r="BZ118" s="66">
        <f t="shared" si="72"/>
        <v>0</v>
      </c>
      <c r="CA118" s="59"/>
      <c r="CB118" s="66">
        <f t="shared" si="73"/>
        <v>0</v>
      </c>
      <c r="CC118" s="59"/>
      <c r="CD118" s="66">
        <f t="shared" si="74"/>
        <v>0</v>
      </c>
      <c r="CE118" s="59"/>
      <c r="CF118" s="59"/>
      <c r="CG118" s="59"/>
      <c r="CH118" s="59"/>
      <c r="CI118" s="59"/>
      <c r="CJ118" s="59"/>
      <c r="CK118" s="59"/>
      <c r="CL118" s="66">
        <f t="shared" si="75"/>
        <v>0</v>
      </c>
      <c r="CM118" s="59"/>
      <c r="CN118" s="66">
        <f t="shared" si="76"/>
        <v>0</v>
      </c>
      <c r="CO118" s="59"/>
      <c r="CP118" s="66">
        <f t="shared" si="77"/>
        <v>0</v>
      </c>
      <c r="CQ118" s="59"/>
      <c r="CR118" s="66">
        <f t="shared" si="78"/>
        <v>0</v>
      </c>
      <c r="CS118" s="59"/>
      <c r="CT118" s="59"/>
      <c r="CU118" s="59"/>
      <c r="CV118" s="59"/>
      <c r="CW118" s="59"/>
      <c r="CX118" s="66">
        <f t="shared" si="86"/>
        <v>0</v>
      </c>
      <c r="CY118" s="59"/>
      <c r="CZ118" s="66">
        <f t="shared" si="87"/>
        <v>0</v>
      </c>
      <c r="DA118" s="59"/>
      <c r="DB118" s="66">
        <f t="shared" si="88"/>
        <v>0</v>
      </c>
      <c r="DC118" s="59"/>
      <c r="DD118" s="66">
        <f t="shared" si="89"/>
        <v>0</v>
      </c>
      <c r="DE118" s="59"/>
      <c r="DF118" s="59"/>
      <c r="DG118" s="59"/>
      <c r="DH118" s="59"/>
      <c r="DI118" s="59">
        <f>SUM((BB118*BA118/100),(AP118*AO118/100),(F118*E118/100))/DJ118*100</f>
        <v>34.66365360558493</v>
      </c>
      <c r="DJ118" s="66">
        <f t="shared" si="90"/>
        <v>56.77520300313289</v>
      </c>
      <c r="DK118" s="59">
        <f>SUM((BD118*BC118/100),(AR118*AQ118/100),(H118*G118/100))/DL118*100</f>
        <v>34.75481469493446</v>
      </c>
      <c r="DL118" s="66">
        <f t="shared" si="91"/>
        <v>60.47092104588594</v>
      </c>
      <c r="DM118" s="59">
        <f>SUM((BF118*BE118/100),(AT118*AS118/100),(J118*I118/100))/DN118*100</f>
        <v>44.737029828083436</v>
      </c>
      <c r="DN118" s="66">
        <f t="shared" si="92"/>
        <v>47.38074802459485</v>
      </c>
      <c r="DO118" s="59">
        <f>SUM((BH118*BG118/100),(AV118*AU118/100),(L118*K118/100))/DP118*100</f>
        <v>27.476465809719503</v>
      </c>
      <c r="DP118" s="66">
        <f t="shared" si="93"/>
        <v>67.12693762411311</v>
      </c>
      <c r="DU118" s="62">
        <f>SUM((DT118*DS118/100),(DR118*DQ118/100),(DP118*DO118/100),(DN118*DM118/100),(DL118*DK118/100),(DJ118*DI118/100))/DV118*100/4</f>
        <v>34.66513271277312</v>
      </c>
      <c r="DV118" s="66">
        <f t="shared" si="80"/>
        <v>57.938452424431695</v>
      </c>
    </row>
    <row r="119" spans="2:126" ht="12.75">
      <c r="B119" s="62" t="s">
        <v>102</v>
      </c>
      <c r="D119" s="62" t="s">
        <v>70</v>
      </c>
      <c r="E119" s="59"/>
      <c r="F119" s="66">
        <f t="shared" si="81"/>
        <v>13.938918327390358</v>
      </c>
      <c r="G119" s="59"/>
      <c r="H119" s="66">
        <f t="shared" si="81"/>
        <v>13.065007217390797</v>
      </c>
      <c r="I119" s="59"/>
      <c r="J119" s="66">
        <f t="shared" si="55"/>
        <v>6.677697165773082</v>
      </c>
      <c r="K119" s="59"/>
      <c r="L119" s="66">
        <f t="shared" si="56"/>
        <v>22.13293207848141</v>
      </c>
      <c r="M119" s="59"/>
      <c r="N119" s="59"/>
      <c r="O119" s="59"/>
      <c r="P119" s="59"/>
      <c r="Q119" s="59"/>
      <c r="R119" s="66">
        <f t="shared" si="57"/>
        <v>6.4150182966293565</v>
      </c>
      <c r="S119" s="59"/>
      <c r="T119" s="66">
        <f t="shared" si="58"/>
        <v>6.850565582152479</v>
      </c>
      <c r="U119" s="59"/>
      <c r="V119" s="66">
        <f t="shared" si="59"/>
        <v>6.769437040067868</v>
      </c>
      <c r="W119" s="59"/>
      <c r="X119" s="66">
        <f t="shared" si="60"/>
        <v>8.981479684021442</v>
      </c>
      <c r="Y119" s="59"/>
      <c r="Z119" s="59"/>
      <c r="AA119" s="59"/>
      <c r="AB119" s="59"/>
      <c r="AC119" s="59"/>
      <c r="AD119" s="66">
        <f t="shared" si="61"/>
        <v>2.511021447537776</v>
      </c>
      <c r="AE119" s="59"/>
      <c r="AF119" s="66">
        <f t="shared" si="62"/>
        <v>2.7206531883405556</v>
      </c>
      <c r="AG119" s="59"/>
      <c r="AH119" s="66">
        <f t="shared" si="63"/>
        <v>2.6073437957465395</v>
      </c>
      <c r="AI119" s="59"/>
      <c r="AJ119" s="66">
        <f t="shared" si="64"/>
        <v>3.220502000984831</v>
      </c>
      <c r="AK119" s="59"/>
      <c r="AL119" s="59"/>
      <c r="AM119" s="59"/>
      <c r="AN119" s="59"/>
      <c r="AP119" s="66">
        <f t="shared" si="82"/>
        <v>8.926039744167133</v>
      </c>
      <c r="AQ119" s="59"/>
      <c r="AR119" s="66">
        <f t="shared" si="83"/>
        <v>9.571218770493035</v>
      </c>
      <c r="AS119" s="59"/>
      <c r="AT119" s="66">
        <f t="shared" si="84"/>
        <v>9.376780835814408</v>
      </c>
      <c r="AU119" s="59"/>
      <c r="AV119" s="66">
        <f t="shared" si="85"/>
        <v>12.201981685006274</v>
      </c>
      <c r="AW119" s="59"/>
      <c r="AX119" s="66"/>
      <c r="AY119" s="59"/>
      <c r="AZ119" s="66"/>
      <c r="BA119" s="59">
        <v>100</v>
      </c>
      <c r="BB119" s="66">
        <f t="shared" si="65"/>
        <v>78.72143881149455</v>
      </c>
      <c r="BC119" s="59">
        <v>100</v>
      </c>
      <c r="BD119" s="66">
        <f t="shared" si="66"/>
        <v>84.06622621527113</v>
      </c>
      <c r="BE119" s="59">
        <v>100</v>
      </c>
      <c r="BF119" s="66">
        <f t="shared" si="67"/>
        <v>84.7869575061282</v>
      </c>
      <c r="BG119" s="59">
        <v>100</v>
      </c>
      <c r="BH119" s="66">
        <f t="shared" si="68"/>
        <v>73.7764402616047</v>
      </c>
      <c r="BI119" s="59"/>
      <c r="BJ119" s="59"/>
      <c r="BK119" s="59"/>
      <c r="BL119" s="59"/>
      <c r="BM119" s="59"/>
      <c r="BN119" s="59"/>
      <c r="BO119" s="59"/>
      <c r="BP119" s="66">
        <f t="shared" si="69"/>
        <v>0</v>
      </c>
      <c r="BQ119" s="59"/>
      <c r="BR119" s="66">
        <f t="shared" si="70"/>
        <v>0</v>
      </c>
      <c r="BS119" s="59"/>
      <c r="BT119" s="66">
        <f t="shared" si="71"/>
        <v>0</v>
      </c>
      <c r="BU119" s="59"/>
      <c r="BV119" s="59"/>
      <c r="BW119" s="59"/>
      <c r="BX119" s="59"/>
      <c r="BY119" s="59"/>
      <c r="BZ119" s="66">
        <f t="shared" si="72"/>
        <v>0</v>
      </c>
      <c r="CA119" s="59"/>
      <c r="CB119" s="66">
        <f t="shared" si="73"/>
        <v>0</v>
      </c>
      <c r="CC119" s="59"/>
      <c r="CD119" s="66">
        <f t="shared" si="74"/>
        <v>0</v>
      </c>
      <c r="CE119" s="59"/>
      <c r="CF119" s="59"/>
      <c r="CG119" s="59"/>
      <c r="CH119" s="59"/>
      <c r="CI119" s="59"/>
      <c r="CJ119" s="59"/>
      <c r="CK119" s="59"/>
      <c r="CL119" s="66">
        <f t="shared" si="75"/>
        <v>0</v>
      </c>
      <c r="CM119" s="59"/>
      <c r="CN119" s="66">
        <f t="shared" si="76"/>
        <v>0</v>
      </c>
      <c r="CO119" s="59"/>
      <c r="CP119" s="66">
        <f t="shared" si="77"/>
        <v>0</v>
      </c>
      <c r="CQ119" s="59"/>
      <c r="CR119" s="66">
        <f t="shared" si="78"/>
        <v>0</v>
      </c>
      <c r="CS119" s="59"/>
      <c r="CT119" s="59"/>
      <c r="CU119" s="59"/>
      <c r="CV119" s="59"/>
      <c r="CW119" s="59"/>
      <c r="CX119" s="66">
        <f t="shared" si="86"/>
        <v>0</v>
      </c>
      <c r="CY119" s="59"/>
      <c r="CZ119" s="66">
        <f t="shared" si="87"/>
        <v>0</v>
      </c>
      <c r="DA119" s="59"/>
      <c r="DB119" s="66">
        <f t="shared" si="88"/>
        <v>0</v>
      </c>
      <c r="DC119" s="59"/>
      <c r="DD119" s="66">
        <f t="shared" si="89"/>
        <v>0</v>
      </c>
      <c r="DE119" s="59"/>
      <c r="DF119" s="59"/>
      <c r="DG119" s="59"/>
      <c r="DH119" s="59"/>
      <c r="DI119" s="59">
        <f>SUM((BB119*BA119/100),(AP119*AO119/100),(F119*E119/100))/DJ119*100</f>
        <v>77.49210645015788</v>
      </c>
      <c r="DJ119" s="66">
        <f t="shared" si="90"/>
        <v>101.58639688305203</v>
      </c>
      <c r="DK119" s="59">
        <f>SUM((BD119*BC119/100),(AR119*AQ119/100),(H119*G119/100))/DL119*100</f>
        <v>78.78565532422269</v>
      </c>
      <c r="DL119" s="66">
        <f t="shared" si="91"/>
        <v>106.70245220315496</v>
      </c>
      <c r="DM119" s="59">
        <f>SUM((BF119*BE119/100),(AT119*AS119/100),(J119*I119/100))/DN119*100</f>
        <v>84.0794828824515</v>
      </c>
      <c r="DN119" s="66">
        <f t="shared" si="92"/>
        <v>100.8414355077157</v>
      </c>
      <c r="DO119" s="59">
        <f>SUM((BH119*BG119/100),(AV119*AU119/100),(L119*K119/100))/DP119*100</f>
        <v>68.2411583194873</v>
      </c>
      <c r="DP119" s="66">
        <f t="shared" si="93"/>
        <v>108.1113540250924</v>
      </c>
      <c r="DU119" s="62">
        <f>SUM((DT119*DS119/100),(DR119*DQ119/100),(DP119*DO119/100),(DN119*DM119/100),(DL119*DK119/100),(DJ119*DI119/100))/DV119*100/4</f>
        <v>77.01797544897609</v>
      </c>
      <c r="DV119" s="66">
        <f t="shared" si="80"/>
        <v>104.31040965475377</v>
      </c>
    </row>
    <row r="120" spans="2:126" ht="12.75">
      <c r="B120" s="62" t="s">
        <v>139</v>
      </c>
      <c r="D120" s="62" t="s">
        <v>70</v>
      </c>
      <c r="E120" s="59"/>
      <c r="F120" s="66">
        <f t="shared" si="81"/>
        <v>720177.4469151684</v>
      </c>
      <c r="G120" s="59"/>
      <c r="H120" s="66">
        <f t="shared" si="81"/>
        <v>679.3803753043212</v>
      </c>
      <c r="I120" s="59"/>
      <c r="J120" s="66">
        <f t="shared" si="55"/>
        <v>645.5107260247314</v>
      </c>
      <c r="K120" s="59"/>
      <c r="L120" s="66">
        <f t="shared" si="56"/>
        <v>848.4290630084542</v>
      </c>
      <c r="M120" s="59"/>
      <c r="N120" s="59"/>
      <c r="O120" s="59"/>
      <c r="P120" s="59"/>
      <c r="Q120" s="59"/>
      <c r="R120" s="66">
        <f t="shared" si="57"/>
        <v>1411.3040252584583</v>
      </c>
      <c r="S120" s="59"/>
      <c r="T120" s="66">
        <f t="shared" si="58"/>
        <v>11645.961489659214</v>
      </c>
      <c r="U120" s="59"/>
      <c r="V120" s="66">
        <f t="shared" si="59"/>
        <v>3520.107260835292</v>
      </c>
      <c r="W120" s="59"/>
      <c r="X120" s="66">
        <f t="shared" si="60"/>
        <v>9430.553668222516</v>
      </c>
      <c r="Y120" s="59"/>
      <c r="Z120" s="59"/>
      <c r="AA120" s="59"/>
      <c r="AB120" s="59"/>
      <c r="AC120" s="59"/>
      <c r="AD120" s="66">
        <f t="shared" si="61"/>
        <v>3515.4300265528877</v>
      </c>
      <c r="AE120" s="59"/>
      <c r="AF120" s="66">
        <f t="shared" si="62"/>
        <v>3808.9144636767774</v>
      </c>
      <c r="AG120" s="59"/>
      <c r="AH120" s="66">
        <f t="shared" si="63"/>
        <v>4171.750073194464</v>
      </c>
      <c r="AI120" s="59"/>
      <c r="AJ120" s="66">
        <f t="shared" si="64"/>
        <v>6441.004001969663</v>
      </c>
      <c r="AK120" s="59"/>
      <c r="AL120" s="59"/>
      <c r="AM120" s="59"/>
      <c r="AN120" s="59"/>
      <c r="AO120" s="59"/>
      <c r="AP120" s="66">
        <f t="shared" si="82"/>
        <v>4926.734051811346</v>
      </c>
      <c r="AQ120" s="59"/>
      <c r="AR120" s="66">
        <f t="shared" si="83"/>
        <v>15454.875953335992</v>
      </c>
      <c r="AS120" s="59"/>
      <c r="AT120" s="66">
        <f t="shared" si="84"/>
        <v>7691.857334029755</v>
      </c>
      <c r="AU120" s="59"/>
      <c r="AV120" s="66">
        <f t="shared" si="85"/>
        <v>15871.557670192178</v>
      </c>
      <c r="AW120" s="59"/>
      <c r="AX120" s="66"/>
      <c r="AY120" s="59"/>
      <c r="AZ120" s="66"/>
      <c r="BA120" s="59"/>
      <c r="BB120" s="66">
        <f t="shared" si="65"/>
        <v>5116.893522747144</v>
      </c>
      <c r="BC120" s="59"/>
      <c r="BD120" s="66">
        <f t="shared" si="66"/>
        <v>6304.966966145335</v>
      </c>
      <c r="BE120" s="59"/>
      <c r="BF120" s="66">
        <f t="shared" si="67"/>
        <v>5511.1522378983345</v>
      </c>
      <c r="BG120" s="59"/>
      <c r="BH120" s="66">
        <f t="shared" si="68"/>
        <v>4795.468617004307</v>
      </c>
      <c r="BI120" s="59"/>
      <c r="BJ120" s="59"/>
      <c r="BK120" s="59"/>
      <c r="BL120" s="59"/>
      <c r="BM120" s="59"/>
      <c r="BN120" s="59"/>
      <c r="BO120" s="59"/>
      <c r="BP120" s="66">
        <f t="shared" si="69"/>
        <v>0</v>
      </c>
      <c r="BQ120" s="59"/>
      <c r="BR120" s="66">
        <f t="shared" si="70"/>
        <v>0</v>
      </c>
      <c r="BS120" s="59"/>
      <c r="BT120" s="66">
        <f t="shared" si="71"/>
        <v>0</v>
      </c>
      <c r="BU120" s="59"/>
      <c r="BV120" s="59"/>
      <c r="BW120" s="59"/>
      <c r="BX120" s="59"/>
      <c r="BY120" s="59"/>
      <c r="BZ120" s="66">
        <f t="shared" si="72"/>
        <v>0</v>
      </c>
      <c r="CA120" s="59"/>
      <c r="CB120" s="66">
        <f t="shared" si="73"/>
        <v>0</v>
      </c>
      <c r="CC120" s="59"/>
      <c r="CD120" s="66">
        <f t="shared" si="74"/>
        <v>0</v>
      </c>
      <c r="CE120" s="59"/>
      <c r="CF120" s="59"/>
      <c r="CG120" s="59"/>
      <c r="CH120" s="59"/>
      <c r="CI120" s="59"/>
      <c r="CJ120" s="59"/>
      <c r="CK120" s="59"/>
      <c r="CL120" s="66">
        <f t="shared" si="75"/>
        <v>0</v>
      </c>
      <c r="CM120" s="59"/>
      <c r="CN120" s="66">
        <f t="shared" si="76"/>
        <v>0</v>
      </c>
      <c r="CO120" s="59"/>
      <c r="CP120" s="66">
        <f t="shared" si="77"/>
        <v>0</v>
      </c>
      <c r="CQ120" s="59"/>
      <c r="CR120" s="66">
        <f t="shared" si="78"/>
        <v>0</v>
      </c>
      <c r="CS120" s="59"/>
      <c r="CT120" s="59"/>
      <c r="CU120" s="59"/>
      <c r="CV120" s="59"/>
      <c r="CW120" s="59"/>
      <c r="CX120" s="66">
        <f t="shared" si="86"/>
        <v>0</v>
      </c>
      <c r="CY120" s="59"/>
      <c r="CZ120" s="66">
        <f t="shared" si="87"/>
        <v>0</v>
      </c>
      <c r="DA120" s="59"/>
      <c r="DB120" s="66">
        <f t="shared" si="88"/>
        <v>0</v>
      </c>
      <c r="DC120" s="59"/>
      <c r="DD120" s="66">
        <f t="shared" si="89"/>
        <v>0</v>
      </c>
      <c r="DE120" s="59"/>
      <c r="DF120" s="59"/>
      <c r="DG120" s="59"/>
      <c r="DH120" s="59"/>
      <c r="DI120" s="59"/>
      <c r="DJ120" s="66">
        <f t="shared" si="90"/>
        <v>730221.0744897269</v>
      </c>
      <c r="DK120" s="59"/>
      <c r="DL120" s="66">
        <f t="shared" si="91"/>
        <v>22439.22329478565</v>
      </c>
      <c r="DM120" s="59"/>
      <c r="DN120" s="66">
        <f t="shared" si="92"/>
        <v>13848.520297952822</v>
      </c>
      <c r="DO120" s="59"/>
      <c r="DP120" s="66">
        <f t="shared" si="93"/>
        <v>21515.455350204942</v>
      </c>
      <c r="DV120" s="66">
        <f t="shared" si="80"/>
        <v>197006.06835816757</v>
      </c>
    </row>
    <row r="121" spans="2:131" ht="12.75">
      <c r="B121" s="62" t="s">
        <v>77</v>
      </c>
      <c r="D121" s="62" t="s">
        <v>70</v>
      </c>
      <c r="E121" s="59"/>
      <c r="F121" s="66">
        <f>F112+F115</f>
        <v>4841.450965713585</v>
      </c>
      <c r="G121" s="59"/>
      <c r="H121" s="66">
        <f>H112+H115</f>
        <v>316.1731746608573</v>
      </c>
      <c r="I121" s="59"/>
      <c r="J121" s="66">
        <f>J112+J115</f>
        <v>151.3611357575232</v>
      </c>
      <c r="K121" s="59"/>
      <c r="L121" s="66">
        <f>L112+L115</f>
        <v>298.79458305949913</v>
      </c>
      <c r="M121" s="59"/>
      <c r="N121" s="59"/>
      <c r="O121" s="59"/>
      <c r="P121" s="59"/>
      <c r="Q121" s="59"/>
      <c r="R121" s="66">
        <f>R112+R115</f>
        <v>433.0137350224815</v>
      </c>
      <c r="S121" s="59"/>
      <c r="T121" s="66">
        <f>T112+T115</f>
        <v>3336.2254385082574</v>
      </c>
      <c r="U121" s="59"/>
      <c r="V121" s="66">
        <f>V112+V115</f>
        <v>1116.957111611198</v>
      </c>
      <c r="W121" s="59"/>
      <c r="X121" s="66">
        <f>X112+X115</f>
        <v>25228.976432416235</v>
      </c>
      <c r="Y121" s="59"/>
      <c r="Z121" s="59"/>
      <c r="AA121" s="59"/>
      <c r="AB121" s="59"/>
      <c r="AC121" s="59"/>
      <c r="AD121" s="66">
        <f>AD112+AD115</f>
        <v>3477.764704839821</v>
      </c>
      <c r="AE121" s="59"/>
      <c r="AF121" s="66">
        <f>AF112+AF115</f>
        <v>3360.0066876005862</v>
      </c>
      <c r="AG121" s="59"/>
      <c r="AH121" s="66">
        <f>AH112+AH115</f>
        <v>5097.357120684485</v>
      </c>
      <c r="AI121" s="59"/>
      <c r="AJ121" s="66">
        <f>AJ112+AJ115</f>
        <v>6859.66926209769</v>
      </c>
      <c r="AK121" s="59"/>
      <c r="AL121" s="59"/>
      <c r="AM121" s="59"/>
      <c r="AN121" s="59"/>
      <c r="AO121" s="59"/>
      <c r="AP121" s="66">
        <f t="shared" si="82"/>
        <v>3910.7784398623025</v>
      </c>
      <c r="AQ121" s="59"/>
      <c r="AR121" s="66">
        <f t="shared" si="83"/>
        <v>6696.232126108844</v>
      </c>
      <c r="AS121" s="59"/>
      <c r="AT121" s="66">
        <f t="shared" si="84"/>
        <v>6214.314232295683</v>
      </c>
      <c r="AU121" s="59"/>
      <c r="AV121" s="66">
        <f t="shared" si="85"/>
        <v>32088.645694513925</v>
      </c>
      <c r="AW121" s="59"/>
      <c r="AX121" s="66"/>
      <c r="AY121" s="59"/>
      <c r="AZ121" s="66"/>
      <c r="BA121" s="59"/>
      <c r="BB121" s="66">
        <f>BB112+BB115</f>
        <v>822.6390355801178</v>
      </c>
      <c r="BC121" s="59"/>
      <c r="BD121" s="66">
        <f>BD112+BD115</f>
        <v>1050.827827690889</v>
      </c>
      <c r="BE121" s="59"/>
      <c r="BF121" s="66">
        <f>BF112+BF115</f>
        <v>975.0500113204746</v>
      </c>
      <c r="BG121" s="59"/>
      <c r="BH121" s="66">
        <f>BH112+BH115</f>
        <v>848.4290630084542</v>
      </c>
      <c r="BI121" s="59"/>
      <c r="BJ121" s="59"/>
      <c r="BK121" s="59"/>
      <c r="BL121" s="59"/>
      <c r="BM121" s="59"/>
      <c r="BN121" s="59"/>
      <c r="BO121" s="59"/>
      <c r="BP121" s="66">
        <f>BP112+BP115</f>
        <v>0</v>
      </c>
      <c r="BQ121" s="59"/>
      <c r="BR121" s="66">
        <f>BR112+BR115</f>
        <v>0</v>
      </c>
      <c r="BS121" s="59"/>
      <c r="BT121" s="66">
        <f>BT112+BT115</f>
        <v>0</v>
      </c>
      <c r="BU121" s="59"/>
      <c r="BV121" s="59"/>
      <c r="BW121" s="59"/>
      <c r="BX121" s="59"/>
      <c r="BY121" s="59"/>
      <c r="BZ121" s="66">
        <f>BZ112+BZ115</f>
        <v>0</v>
      </c>
      <c r="CA121" s="59"/>
      <c r="CB121" s="66">
        <f>CB112+CB115</f>
        <v>0</v>
      </c>
      <c r="CC121" s="59"/>
      <c r="CD121" s="66">
        <f>CD112+CD115</f>
        <v>0</v>
      </c>
      <c r="CE121" s="59"/>
      <c r="CF121" s="59"/>
      <c r="CG121" s="59"/>
      <c r="CH121" s="59"/>
      <c r="CI121" s="59"/>
      <c r="CJ121" s="59"/>
      <c r="CK121" s="59"/>
      <c r="CL121" s="66">
        <f>CL112+CL115</f>
        <v>174606.38220844537</v>
      </c>
      <c r="CM121" s="59"/>
      <c r="CN121" s="66">
        <f>CN112+CN115</f>
        <v>180856.65586614</v>
      </c>
      <c r="CO121" s="59"/>
      <c r="CP121" s="66">
        <f>CP112+CP115</f>
        <v>186064.12019328485</v>
      </c>
      <c r="CQ121" s="59"/>
      <c r="CR121" s="66">
        <f>CR112+CR115</f>
        <v>130214.49856554059</v>
      </c>
      <c r="CS121" s="59"/>
      <c r="CT121" s="59"/>
      <c r="CU121" s="59"/>
      <c r="CV121" s="59"/>
      <c r="CW121" s="59"/>
      <c r="CX121" s="66">
        <f t="shared" si="86"/>
        <v>174606.38220844537</v>
      </c>
      <c r="CY121" s="59"/>
      <c r="CZ121" s="66">
        <f t="shared" si="87"/>
        <v>180856.65586614</v>
      </c>
      <c r="DA121" s="59"/>
      <c r="DB121" s="66">
        <f t="shared" si="88"/>
        <v>186064.12019328485</v>
      </c>
      <c r="DC121" s="59"/>
      <c r="DD121" s="66">
        <f t="shared" si="89"/>
        <v>130214.49856554059</v>
      </c>
      <c r="DE121" s="59"/>
      <c r="DF121" s="59"/>
      <c r="DG121" s="59"/>
      <c r="DH121" s="59"/>
      <c r="DI121" s="59"/>
      <c r="DJ121" s="66">
        <f t="shared" si="90"/>
        <v>184181.2506496014</v>
      </c>
      <c r="DK121" s="59"/>
      <c r="DL121" s="66">
        <f t="shared" si="91"/>
        <v>188919.8889946006</v>
      </c>
      <c r="DM121" s="59"/>
      <c r="DN121" s="66">
        <f t="shared" si="92"/>
        <v>193404.84557265855</v>
      </c>
      <c r="DO121" s="59"/>
      <c r="DP121" s="66">
        <f t="shared" si="93"/>
        <v>163450.36790612247</v>
      </c>
      <c r="DV121" s="66">
        <f t="shared" si="80"/>
        <v>182489.08828074575</v>
      </c>
      <c r="DX121" s="66">
        <f>AVERAGE(R121,T121,V121,X121,Z121,AB121)+AVERAGE(AD121,AF121,AH121,AJ121,AL121,AN121)</f>
        <v>12227.492623195189</v>
      </c>
      <c r="DY121" s="66">
        <f>AVERAGE(CL121,CN121,CP121,CR121)</f>
        <v>167935.41420835268</v>
      </c>
      <c r="DZ121" s="66">
        <f>AVERAGE(F121,H121,J121,L121,N121,P121)+AVERAGE(BB121,BD121,BF121,BH121,BJ121,BL121)</f>
        <v>2326.1814491978503</v>
      </c>
      <c r="EA121" s="66">
        <f>SUM(DX121,DY121,DZ121)</f>
        <v>182489.08828074572</v>
      </c>
    </row>
    <row r="122" spans="2:131" ht="12.75">
      <c r="B122" s="62" t="s">
        <v>78</v>
      </c>
      <c r="D122" s="62" t="s">
        <v>70</v>
      </c>
      <c r="E122" s="59"/>
      <c r="F122" s="66">
        <f>F109+F111+F113</f>
        <v>1447.3243529940326</v>
      </c>
      <c r="G122" s="59"/>
      <c r="H122" s="66">
        <f>H109+H111+H113</f>
        <v>922.3895095477902</v>
      </c>
      <c r="I122" s="59"/>
      <c r="J122" s="66">
        <f>J109+J111+J113</f>
        <v>718.9653948482352</v>
      </c>
      <c r="K122" s="59"/>
      <c r="L122" s="66">
        <f>L109+L111+L113</f>
        <v>1818.5892524485557</v>
      </c>
      <c r="M122" s="59"/>
      <c r="N122" s="59"/>
      <c r="O122" s="59"/>
      <c r="P122" s="59"/>
      <c r="Q122" s="59"/>
      <c r="R122" s="66">
        <f>R109+R111+R113</f>
        <v>83.39523785618164</v>
      </c>
      <c r="S122" s="59"/>
      <c r="T122" s="66">
        <f>T109+T111+T113</f>
        <v>893.9988084708981</v>
      </c>
      <c r="U122" s="59"/>
      <c r="V122" s="66">
        <f>V109+V111+V113</f>
        <v>250.46917048251112</v>
      </c>
      <c r="W122" s="59"/>
      <c r="X122" s="66">
        <f>X109+X111+X113</f>
        <v>8231.526130405651</v>
      </c>
      <c r="Y122" s="59"/>
      <c r="Z122" s="59"/>
      <c r="AA122" s="59"/>
      <c r="AB122" s="59"/>
      <c r="AC122" s="59"/>
      <c r="AD122" s="66">
        <f>AD109+AD111+AD113</f>
        <v>17348.647181038497</v>
      </c>
      <c r="AE122" s="59"/>
      <c r="AF122" s="66">
        <f>AF109+AF111+AF113</f>
        <v>19341.12351591301</v>
      </c>
      <c r="AG122" s="59"/>
      <c r="AH122" s="66">
        <f>AH109+AH111+AH113</f>
        <v>38884.62169786602</v>
      </c>
      <c r="AI122" s="59"/>
      <c r="AJ122" s="66">
        <f>AJ109+AJ111+AJ113</f>
        <v>52545.71064806852</v>
      </c>
      <c r="AK122" s="59"/>
      <c r="AL122" s="59"/>
      <c r="AM122" s="59"/>
      <c r="AN122" s="59"/>
      <c r="AO122" s="59"/>
      <c r="AP122" s="66">
        <f t="shared" si="82"/>
        <v>17432.042418894678</v>
      </c>
      <c r="AQ122" s="59"/>
      <c r="AR122" s="66">
        <f t="shared" si="83"/>
        <v>20235.122324383905</v>
      </c>
      <c r="AS122" s="59"/>
      <c r="AT122" s="66">
        <f t="shared" si="84"/>
        <v>39135.09086834853</v>
      </c>
      <c r="AU122" s="59"/>
      <c r="AV122" s="66">
        <f t="shared" si="85"/>
        <v>60777.236778474165</v>
      </c>
      <c r="AW122" s="59"/>
      <c r="AX122" s="66"/>
      <c r="AY122" s="59"/>
      <c r="AZ122" s="66"/>
      <c r="BA122" s="59">
        <f>BB111/BB122*100</f>
        <v>3.9473684210526327</v>
      </c>
      <c r="BB122" s="66">
        <f>BB109+BB111+BB113</f>
        <v>2991.414674836792</v>
      </c>
      <c r="BC122" s="59">
        <f>BD111/BD122*100</f>
        <v>3.333333333333335</v>
      </c>
      <c r="BD122" s="66">
        <f>BD109+BD111+BD113</f>
        <v>3782.9801796872</v>
      </c>
      <c r="BE122" s="59">
        <f>BF111/BF122*100</f>
        <v>3.157894736842105</v>
      </c>
      <c r="BF122" s="66">
        <f>BF109+BF111+BF113</f>
        <v>4027.3804815410913</v>
      </c>
      <c r="BG122" s="59">
        <f>BH111/BH122*100</f>
        <v>3.75</v>
      </c>
      <c r="BH122" s="66">
        <f>BH109+BH111+BH113</f>
        <v>2951.057610464189</v>
      </c>
      <c r="BI122" s="59"/>
      <c r="BJ122" s="59"/>
      <c r="BK122" s="59"/>
      <c r="BL122" s="59"/>
      <c r="BM122" s="59"/>
      <c r="BN122" s="59"/>
      <c r="BO122" s="59"/>
      <c r="BP122" s="66">
        <f>BP109+BP111+BP113</f>
        <v>0</v>
      </c>
      <c r="BQ122" s="59"/>
      <c r="BR122" s="66">
        <f>BR109+BR111+BR113</f>
        <v>0</v>
      </c>
      <c r="BS122" s="59"/>
      <c r="BT122" s="66">
        <f>BT109+BT111+BT113</f>
        <v>0</v>
      </c>
      <c r="BU122" s="59"/>
      <c r="BV122" s="59"/>
      <c r="BW122" s="59"/>
      <c r="BX122" s="59"/>
      <c r="BY122" s="59"/>
      <c r="BZ122" s="66">
        <f>BZ109+BZ111+BZ113</f>
        <v>0</v>
      </c>
      <c r="CA122" s="59"/>
      <c r="CB122" s="66">
        <f>CB109+CB111+CB113</f>
        <v>0</v>
      </c>
      <c r="CC122" s="59"/>
      <c r="CD122" s="66">
        <f>CD109+CD111+CD113</f>
        <v>0</v>
      </c>
      <c r="CE122" s="59"/>
      <c r="CF122" s="59"/>
      <c r="CG122" s="59"/>
      <c r="CH122" s="59"/>
      <c r="CI122" s="59"/>
      <c r="CJ122" s="59"/>
      <c r="CK122" s="59"/>
      <c r="CL122" s="66">
        <f>CL109+CL111+CL113</f>
        <v>148359.9141776325</v>
      </c>
      <c r="CM122" s="59"/>
      <c r="CN122" s="66">
        <f>CN109+CN111+CN113</f>
        <v>138568.74828027585</v>
      </c>
      <c r="CO122" s="59"/>
      <c r="CP122" s="66">
        <f>CP109+CP111+CP113</f>
        <v>127516.93633137955</v>
      </c>
      <c r="CQ122" s="59"/>
      <c r="CR122" s="66">
        <f>CR109+CR111+CR113</f>
        <v>171794.11462946932</v>
      </c>
      <c r="CS122" s="59"/>
      <c r="CT122" s="59"/>
      <c r="CU122" s="59"/>
      <c r="CV122" s="59"/>
      <c r="CW122" s="59"/>
      <c r="CX122" s="66">
        <f t="shared" si="86"/>
        <v>148359.9141776325</v>
      </c>
      <c r="CY122" s="59"/>
      <c r="CZ122" s="66">
        <f t="shared" si="87"/>
        <v>138568.74828027585</v>
      </c>
      <c r="DA122" s="59"/>
      <c r="DB122" s="66">
        <f t="shared" si="88"/>
        <v>127516.93633137955</v>
      </c>
      <c r="DC122" s="59"/>
      <c r="DD122" s="66">
        <f t="shared" si="89"/>
        <v>171794.11462946932</v>
      </c>
      <c r="DE122" s="59"/>
      <c r="DF122" s="59"/>
      <c r="DG122" s="59"/>
      <c r="DH122" s="59"/>
      <c r="DI122" s="59">
        <f>SUM((BB122*BA122/100),(AP122*AO122/100),(F122*E122/100))/DJ122*100</f>
        <v>0.06936596116472994</v>
      </c>
      <c r="DJ122" s="66">
        <f t="shared" si="90"/>
        <v>170230.69562435802</v>
      </c>
      <c r="DK122" s="59">
        <f>SUM((BD122*BC122/100),(AR122*AQ122/100),(H122*G122/100))/DL122*100</f>
        <v>0.0771206196642179</v>
      </c>
      <c r="DL122" s="66">
        <f t="shared" si="91"/>
        <v>163509.24029389475</v>
      </c>
      <c r="DM122" s="59">
        <f>SUM((BF122*BE122/100),(AT122*AS122/100),(J122*I122/100))/DN122*100</f>
        <v>0.07420165896365419</v>
      </c>
      <c r="DN122" s="66">
        <f t="shared" si="92"/>
        <v>171398.37307611742</v>
      </c>
      <c r="DO122" s="59">
        <f>SUM((BH122*BG122/100),(AV122*AU122/100),(L122*K122/100))/DP122*100</f>
        <v>0.046626862277757565</v>
      </c>
      <c r="DP122" s="66">
        <f t="shared" si="93"/>
        <v>237340.99827085625</v>
      </c>
      <c r="DU122" s="62">
        <f>SUM((DT122*DS122/100),(DR122*DQ122/100),(DP122*DO122/100),(DN122*DM122/100),(DL122*DK122/100),(DJ122*DI122/100))/DV122*100/4</f>
        <v>0.06492121591471636</v>
      </c>
      <c r="DV122" s="66">
        <f t="shared" si="80"/>
        <v>185619.82681630662</v>
      </c>
      <c r="DX122" s="66">
        <f>AVERAGE(R122,T122,V122,X122,Z122,AB122)+AVERAGE(AD122,AF122,AH122,AJ122,AL122,AN122)</f>
        <v>34394.87309752532</v>
      </c>
      <c r="DY122" s="66">
        <f>AVERAGE(CL122,CN122,CP122,CR122)</f>
        <v>146559.92835468933</v>
      </c>
      <c r="DZ122" s="66">
        <f>AVERAGE(F122,H122,J122,L122,N122,P122)+AVERAGE(BB122,BD122,BF122,BH122,BJ122,BL122)</f>
        <v>4665.025364091971</v>
      </c>
      <c r="EA122" s="66">
        <f>SUM(DX122,DY122,DZ122)</f>
        <v>185619.82681630662</v>
      </c>
    </row>
    <row r="123" spans="5:113" ht="12.75"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</row>
    <row r="124" spans="2:126" ht="12.75">
      <c r="B124" s="29" t="s">
        <v>181</v>
      </c>
      <c r="C124" s="29"/>
      <c r="D124" s="29"/>
      <c r="E124" s="59"/>
      <c r="F124" s="72" t="s">
        <v>140</v>
      </c>
      <c r="G124" s="72"/>
      <c r="H124" s="72" t="s">
        <v>141</v>
      </c>
      <c r="I124" s="72"/>
      <c r="J124" s="72" t="s">
        <v>142</v>
      </c>
      <c r="K124" s="72"/>
      <c r="L124" s="72" t="s">
        <v>143</v>
      </c>
      <c r="M124" s="72"/>
      <c r="N124" s="72" t="s">
        <v>154</v>
      </c>
      <c r="O124" s="72"/>
      <c r="P124" s="72" t="s">
        <v>153</v>
      </c>
      <c r="Q124" s="72"/>
      <c r="R124" s="72" t="s">
        <v>140</v>
      </c>
      <c r="S124" s="72"/>
      <c r="T124" s="72" t="s">
        <v>141</v>
      </c>
      <c r="U124" s="72"/>
      <c r="V124" s="72" t="s">
        <v>142</v>
      </c>
      <c r="W124" s="72"/>
      <c r="X124" s="72" t="s">
        <v>143</v>
      </c>
      <c r="Y124" s="72"/>
      <c r="Z124" s="72" t="s">
        <v>154</v>
      </c>
      <c r="AA124" s="72"/>
      <c r="AB124" s="72" t="s">
        <v>153</v>
      </c>
      <c r="AC124" s="72"/>
      <c r="AD124" s="72" t="s">
        <v>140</v>
      </c>
      <c r="AE124" s="72"/>
      <c r="AF124" s="72" t="s">
        <v>141</v>
      </c>
      <c r="AG124" s="72"/>
      <c r="AH124" s="72" t="s">
        <v>142</v>
      </c>
      <c r="AI124" s="72"/>
      <c r="AJ124" s="72" t="s">
        <v>143</v>
      </c>
      <c r="AK124" s="72"/>
      <c r="AL124" s="72" t="s">
        <v>154</v>
      </c>
      <c r="AM124" s="72"/>
      <c r="AN124" s="72" t="s">
        <v>153</v>
      </c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 t="s">
        <v>140</v>
      </c>
      <c r="BC124" s="72"/>
      <c r="BD124" s="72" t="s">
        <v>141</v>
      </c>
      <c r="BE124" s="72"/>
      <c r="BF124" s="72" t="s">
        <v>142</v>
      </c>
      <c r="BG124" s="72"/>
      <c r="BH124" s="72" t="s">
        <v>143</v>
      </c>
      <c r="BI124" s="72"/>
      <c r="BJ124" s="72" t="s">
        <v>154</v>
      </c>
      <c r="BK124" s="72"/>
      <c r="BL124" s="72" t="s">
        <v>153</v>
      </c>
      <c r="BM124" s="72"/>
      <c r="BN124" s="72" t="s">
        <v>140</v>
      </c>
      <c r="BO124" s="72"/>
      <c r="BP124" s="72" t="s">
        <v>141</v>
      </c>
      <c r="BQ124" s="72"/>
      <c r="BR124" s="72" t="s">
        <v>142</v>
      </c>
      <c r="BS124" s="72"/>
      <c r="BT124" s="72" t="s">
        <v>143</v>
      </c>
      <c r="BU124" s="72"/>
      <c r="BV124" s="72" t="s">
        <v>154</v>
      </c>
      <c r="BW124" s="72"/>
      <c r="BX124" s="72" t="s">
        <v>153</v>
      </c>
      <c r="BY124" s="72"/>
      <c r="BZ124" s="72" t="s">
        <v>140</v>
      </c>
      <c r="CA124" s="72"/>
      <c r="CB124" s="72" t="s">
        <v>141</v>
      </c>
      <c r="CC124" s="72"/>
      <c r="CD124" s="72" t="s">
        <v>142</v>
      </c>
      <c r="CE124" s="72"/>
      <c r="CF124" s="72" t="s">
        <v>143</v>
      </c>
      <c r="CG124" s="72"/>
      <c r="CH124" s="72" t="s">
        <v>154</v>
      </c>
      <c r="CI124" s="72"/>
      <c r="CJ124" s="72" t="s">
        <v>153</v>
      </c>
      <c r="CK124" s="72"/>
      <c r="CL124" s="72" t="s">
        <v>140</v>
      </c>
      <c r="CM124" s="72"/>
      <c r="CN124" s="72" t="s">
        <v>141</v>
      </c>
      <c r="CO124" s="72"/>
      <c r="CP124" s="72" t="s">
        <v>142</v>
      </c>
      <c r="CQ124" s="72"/>
      <c r="CR124" s="72" t="s">
        <v>143</v>
      </c>
      <c r="CS124" s="72"/>
      <c r="CT124" s="72" t="s">
        <v>154</v>
      </c>
      <c r="CU124" s="72"/>
      <c r="CV124" s="72" t="s">
        <v>153</v>
      </c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 t="s">
        <v>140</v>
      </c>
      <c r="DK124" s="72"/>
      <c r="DL124" s="72" t="s">
        <v>141</v>
      </c>
      <c r="DM124" s="72"/>
      <c r="DN124" s="72" t="s">
        <v>142</v>
      </c>
      <c r="DO124" s="72"/>
      <c r="DP124" s="72" t="s">
        <v>143</v>
      </c>
      <c r="DQ124" s="72"/>
      <c r="DR124" s="72" t="s">
        <v>154</v>
      </c>
      <c r="DS124" s="72"/>
      <c r="DT124" s="72" t="s">
        <v>153</v>
      </c>
      <c r="DU124" s="72"/>
      <c r="DV124" s="72" t="s">
        <v>71</v>
      </c>
    </row>
    <row r="125" spans="5:126" ht="12.75">
      <c r="E125" s="59"/>
      <c r="F125" s="59" t="s">
        <v>136</v>
      </c>
      <c r="G125" s="59"/>
      <c r="H125" s="59" t="s">
        <v>136</v>
      </c>
      <c r="I125" s="59"/>
      <c r="J125" s="59" t="s">
        <v>136</v>
      </c>
      <c r="K125" s="59"/>
      <c r="L125" s="59" t="s">
        <v>136</v>
      </c>
      <c r="M125" s="59"/>
      <c r="N125" s="59" t="s">
        <v>136</v>
      </c>
      <c r="O125" s="59"/>
      <c r="P125" s="59" t="s">
        <v>136</v>
      </c>
      <c r="Q125" s="59"/>
      <c r="R125" s="59" t="s">
        <v>319</v>
      </c>
      <c r="S125" s="59"/>
      <c r="T125" s="59" t="s">
        <v>319</v>
      </c>
      <c r="U125" s="59"/>
      <c r="V125" s="59" t="s">
        <v>319</v>
      </c>
      <c r="W125" s="59"/>
      <c r="X125" s="59" t="s">
        <v>319</v>
      </c>
      <c r="Y125" s="59"/>
      <c r="Z125" s="59"/>
      <c r="AA125" s="59"/>
      <c r="AB125" s="59"/>
      <c r="AC125" s="59"/>
      <c r="AD125" s="59" t="s">
        <v>316</v>
      </c>
      <c r="AE125" s="59"/>
      <c r="AF125" s="59" t="s">
        <v>316</v>
      </c>
      <c r="AG125" s="59"/>
      <c r="AH125" s="59" t="s">
        <v>316</v>
      </c>
      <c r="AI125" s="59"/>
      <c r="AJ125" s="59" t="s">
        <v>316</v>
      </c>
      <c r="AK125" s="59"/>
      <c r="AL125" s="59" t="s">
        <v>316</v>
      </c>
      <c r="AM125" s="59"/>
      <c r="AN125" s="59" t="s">
        <v>316</v>
      </c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 t="s">
        <v>201</v>
      </c>
      <c r="BC125" s="59"/>
      <c r="BD125" s="59" t="s">
        <v>201</v>
      </c>
      <c r="BE125" s="59"/>
      <c r="BF125" s="59" t="s">
        <v>201</v>
      </c>
      <c r="BG125" s="59"/>
      <c r="BH125" s="59" t="s">
        <v>201</v>
      </c>
      <c r="BI125" s="59"/>
      <c r="BJ125" s="59"/>
      <c r="BK125" s="59"/>
      <c r="BL125" s="59"/>
      <c r="BM125" s="59"/>
      <c r="BN125" s="59" t="s">
        <v>67</v>
      </c>
      <c r="BO125" s="59"/>
      <c r="BP125" s="59" t="s">
        <v>67</v>
      </c>
      <c r="BQ125" s="59"/>
      <c r="BR125" s="59" t="s">
        <v>67</v>
      </c>
      <c r="BS125" s="59"/>
      <c r="BT125" s="59" t="s">
        <v>67</v>
      </c>
      <c r="BU125" s="59"/>
      <c r="BV125" s="59"/>
      <c r="BW125" s="59"/>
      <c r="BX125" s="59"/>
      <c r="BY125" s="59"/>
      <c r="BZ125" s="59" t="s">
        <v>67</v>
      </c>
      <c r="CA125" s="59"/>
      <c r="CB125" s="59" t="s">
        <v>67</v>
      </c>
      <c r="CC125" s="59"/>
      <c r="CD125" s="59" t="s">
        <v>67</v>
      </c>
      <c r="CE125" s="59"/>
      <c r="CF125" s="59" t="s">
        <v>67</v>
      </c>
      <c r="CG125" s="59"/>
      <c r="CH125" s="59" t="s">
        <v>67</v>
      </c>
      <c r="CI125" s="59"/>
      <c r="CJ125" s="59" t="s">
        <v>67</v>
      </c>
      <c r="CK125" s="59"/>
      <c r="CL125" s="59" t="s">
        <v>67</v>
      </c>
      <c r="CM125" s="59"/>
      <c r="CN125" s="59" t="s">
        <v>67</v>
      </c>
      <c r="CO125" s="59"/>
      <c r="CP125" s="59" t="s">
        <v>67</v>
      </c>
      <c r="CQ125" s="59"/>
      <c r="CR125" s="59" t="s">
        <v>67</v>
      </c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62" t="s">
        <v>31</v>
      </c>
      <c r="DL125" s="62" t="s">
        <v>31</v>
      </c>
      <c r="DN125" s="62" t="s">
        <v>31</v>
      </c>
      <c r="DP125" s="62" t="s">
        <v>31</v>
      </c>
      <c r="DR125" s="62" t="s">
        <v>31</v>
      </c>
      <c r="DT125" s="62" t="s">
        <v>31</v>
      </c>
      <c r="DV125" s="62" t="s">
        <v>31</v>
      </c>
    </row>
    <row r="126" spans="2:126" ht="12.75">
      <c r="B126" s="62" t="s">
        <v>309</v>
      </c>
      <c r="E126" s="59"/>
      <c r="F126" s="59" t="s">
        <v>136</v>
      </c>
      <c r="G126" s="59"/>
      <c r="H126" s="59" t="s">
        <v>136</v>
      </c>
      <c r="I126" s="59"/>
      <c r="J126" s="59" t="s">
        <v>136</v>
      </c>
      <c r="K126" s="59"/>
      <c r="L126" s="59" t="s">
        <v>136</v>
      </c>
      <c r="M126" s="59"/>
      <c r="N126" s="59" t="s">
        <v>136</v>
      </c>
      <c r="O126" s="59"/>
      <c r="P126" s="59" t="s">
        <v>136</v>
      </c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 t="s">
        <v>79</v>
      </c>
      <c r="AQ126" s="59"/>
      <c r="AR126" s="59" t="s">
        <v>79</v>
      </c>
      <c r="AS126" s="59"/>
      <c r="AT126" s="59" t="s">
        <v>79</v>
      </c>
      <c r="AU126" s="59"/>
      <c r="AV126" s="59" t="s">
        <v>79</v>
      </c>
      <c r="AW126" s="59"/>
      <c r="AX126" s="59" t="s">
        <v>79</v>
      </c>
      <c r="AY126" s="59"/>
      <c r="AZ126" s="59" t="s">
        <v>79</v>
      </c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 t="s">
        <v>67</v>
      </c>
      <c r="CY126" s="59"/>
      <c r="CZ126" s="59" t="s">
        <v>67</v>
      </c>
      <c r="DA126" s="59"/>
      <c r="DB126" s="59" t="s">
        <v>67</v>
      </c>
      <c r="DC126" s="59"/>
      <c r="DD126" s="59" t="s">
        <v>67</v>
      </c>
      <c r="DE126" s="59"/>
      <c r="DF126" s="59" t="s">
        <v>67</v>
      </c>
      <c r="DG126" s="59"/>
      <c r="DH126" s="59" t="s">
        <v>67</v>
      </c>
      <c r="DI126" s="59"/>
      <c r="DJ126" s="62" t="s">
        <v>31</v>
      </c>
      <c r="DL126" s="62" t="s">
        <v>31</v>
      </c>
      <c r="DN126" s="62" t="s">
        <v>31</v>
      </c>
      <c r="DP126" s="62" t="s">
        <v>31</v>
      </c>
      <c r="DR126" s="62" t="s">
        <v>31</v>
      </c>
      <c r="DT126" s="62" t="s">
        <v>31</v>
      </c>
      <c r="DV126" s="62" t="s">
        <v>31</v>
      </c>
    </row>
    <row r="127" spans="2:113" ht="12.75">
      <c r="B127" s="62" t="s">
        <v>308</v>
      </c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</row>
    <row r="128" spans="2:113" ht="12.75">
      <c r="B128" s="62" t="s">
        <v>109</v>
      </c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</row>
    <row r="129" spans="1:113" ht="12.75">
      <c r="A129" s="62" t="s">
        <v>181</v>
      </c>
      <c r="B129" s="62" t="s">
        <v>204</v>
      </c>
      <c r="D129" s="62" t="s">
        <v>205</v>
      </c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>
        <v>0</v>
      </c>
      <c r="S129" s="59"/>
      <c r="T129" s="59">
        <v>0</v>
      </c>
      <c r="U129" s="59"/>
      <c r="V129" s="59"/>
      <c r="W129" s="59"/>
      <c r="X129" s="59"/>
      <c r="Y129" s="59"/>
      <c r="Z129" s="59"/>
      <c r="AA129" s="59"/>
      <c r="AB129" s="59"/>
      <c r="AC129" s="59"/>
      <c r="AD129" s="59">
        <v>0</v>
      </c>
      <c r="AE129" s="59"/>
      <c r="AF129" s="59">
        <v>0</v>
      </c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</row>
    <row r="130" spans="1:113" ht="12.75">
      <c r="A130" s="62" t="s">
        <v>181</v>
      </c>
      <c r="B130" s="62" t="s">
        <v>206</v>
      </c>
      <c r="D130" s="62" t="s">
        <v>207</v>
      </c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>
        <v>0</v>
      </c>
      <c r="S130" s="59"/>
      <c r="T130" s="59">
        <v>0</v>
      </c>
      <c r="U130" s="59"/>
      <c r="V130" s="59"/>
      <c r="W130" s="59"/>
      <c r="X130" s="59"/>
      <c r="Y130" s="59"/>
      <c r="Z130" s="59"/>
      <c r="AA130" s="59"/>
      <c r="AB130" s="59"/>
      <c r="AC130" s="59"/>
      <c r="AD130" s="59">
        <v>0</v>
      </c>
      <c r="AE130" s="59"/>
      <c r="AF130" s="59">
        <v>0</v>
      </c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</row>
    <row r="131" spans="1:113" ht="12.75">
      <c r="A131" s="62" t="s">
        <v>181</v>
      </c>
      <c r="B131" s="62" t="s">
        <v>22</v>
      </c>
      <c r="D131" s="62" t="s">
        <v>205</v>
      </c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>
        <v>0</v>
      </c>
      <c r="S131" s="59"/>
      <c r="T131" s="59">
        <v>0</v>
      </c>
      <c r="U131" s="59"/>
      <c r="V131" s="59"/>
      <c r="W131" s="59"/>
      <c r="X131" s="59"/>
      <c r="Y131" s="59"/>
      <c r="Z131" s="59"/>
      <c r="AA131" s="59"/>
      <c r="AB131" s="59"/>
      <c r="AC131" s="59"/>
      <c r="AD131" s="59">
        <v>0</v>
      </c>
      <c r="AE131" s="59"/>
      <c r="AF131" s="59">
        <v>0</v>
      </c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</row>
    <row r="132" spans="5:113" ht="12.75"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</row>
    <row r="133" spans="2:126" ht="12.75">
      <c r="B133" s="29" t="s">
        <v>183</v>
      </c>
      <c r="C133" s="29"/>
      <c r="D133" s="29"/>
      <c r="E133" s="59"/>
      <c r="F133" s="72" t="s">
        <v>140</v>
      </c>
      <c r="G133" s="72"/>
      <c r="H133" s="72" t="s">
        <v>141</v>
      </c>
      <c r="I133" s="72"/>
      <c r="J133" s="72" t="s">
        <v>142</v>
      </c>
      <c r="K133" s="72"/>
      <c r="L133" s="72" t="s">
        <v>143</v>
      </c>
      <c r="M133" s="72"/>
      <c r="N133" s="72" t="s">
        <v>154</v>
      </c>
      <c r="O133" s="72"/>
      <c r="P133" s="72" t="s">
        <v>153</v>
      </c>
      <c r="Q133" s="72"/>
      <c r="R133" s="72" t="s">
        <v>140</v>
      </c>
      <c r="S133" s="72"/>
      <c r="T133" s="72" t="s">
        <v>141</v>
      </c>
      <c r="U133" s="72"/>
      <c r="V133" s="72" t="s">
        <v>142</v>
      </c>
      <c r="W133" s="72"/>
      <c r="X133" s="72" t="s">
        <v>143</v>
      </c>
      <c r="Y133" s="72"/>
      <c r="Z133" s="72" t="s">
        <v>154</v>
      </c>
      <c r="AA133" s="72"/>
      <c r="AB133" s="72" t="s">
        <v>153</v>
      </c>
      <c r="AC133" s="72"/>
      <c r="AD133" s="72" t="s">
        <v>140</v>
      </c>
      <c r="AE133" s="72"/>
      <c r="AF133" s="72" t="s">
        <v>141</v>
      </c>
      <c r="AG133" s="72"/>
      <c r="AH133" s="72" t="s">
        <v>142</v>
      </c>
      <c r="AI133" s="72"/>
      <c r="AJ133" s="72" t="s">
        <v>143</v>
      </c>
      <c r="AK133" s="72"/>
      <c r="AL133" s="72" t="s">
        <v>154</v>
      </c>
      <c r="AM133" s="72"/>
      <c r="AN133" s="72" t="s">
        <v>153</v>
      </c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 t="s">
        <v>140</v>
      </c>
      <c r="BC133" s="72"/>
      <c r="BD133" s="72" t="s">
        <v>141</v>
      </c>
      <c r="BE133" s="72"/>
      <c r="BF133" s="72" t="s">
        <v>142</v>
      </c>
      <c r="BG133" s="72"/>
      <c r="BH133" s="72" t="s">
        <v>143</v>
      </c>
      <c r="BI133" s="72"/>
      <c r="BJ133" s="72" t="s">
        <v>154</v>
      </c>
      <c r="BK133" s="72"/>
      <c r="BL133" s="72" t="s">
        <v>153</v>
      </c>
      <c r="BM133" s="72"/>
      <c r="BN133" s="72" t="s">
        <v>140</v>
      </c>
      <c r="BO133" s="72"/>
      <c r="BP133" s="72" t="s">
        <v>141</v>
      </c>
      <c r="BQ133" s="72"/>
      <c r="BR133" s="72" t="s">
        <v>142</v>
      </c>
      <c r="BS133" s="72"/>
      <c r="BT133" s="72" t="s">
        <v>143</v>
      </c>
      <c r="BU133" s="72"/>
      <c r="BV133" s="72" t="s">
        <v>154</v>
      </c>
      <c r="BW133" s="72"/>
      <c r="BX133" s="72" t="s">
        <v>153</v>
      </c>
      <c r="BY133" s="72"/>
      <c r="BZ133" s="72" t="s">
        <v>140</v>
      </c>
      <c r="CA133" s="72"/>
      <c r="CB133" s="72" t="s">
        <v>141</v>
      </c>
      <c r="CC133" s="72"/>
      <c r="CD133" s="72" t="s">
        <v>142</v>
      </c>
      <c r="CE133" s="72"/>
      <c r="CF133" s="72" t="s">
        <v>143</v>
      </c>
      <c r="CG133" s="72"/>
      <c r="CH133" s="72" t="s">
        <v>154</v>
      </c>
      <c r="CI133" s="72"/>
      <c r="CJ133" s="72" t="s">
        <v>153</v>
      </c>
      <c r="CK133" s="72"/>
      <c r="CL133" s="72" t="s">
        <v>140</v>
      </c>
      <c r="CM133" s="72"/>
      <c r="CN133" s="72" t="s">
        <v>141</v>
      </c>
      <c r="CO133" s="72"/>
      <c r="CP133" s="72" t="s">
        <v>142</v>
      </c>
      <c r="CQ133" s="72"/>
      <c r="CR133" s="72" t="s">
        <v>143</v>
      </c>
      <c r="CS133" s="72"/>
      <c r="CT133" s="72" t="s">
        <v>154</v>
      </c>
      <c r="CU133" s="72"/>
      <c r="CV133" s="72" t="s">
        <v>153</v>
      </c>
      <c r="CW133" s="72"/>
      <c r="CX133" s="72" t="s">
        <v>140</v>
      </c>
      <c r="CY133" s="72"/>
      <c r="CZ133" s="72" t="s">
        <v>141</v>
      </c>
      <c r="DA133" s="72"/>
      <c r="DB133" s="72" t="s">
        <v>142</v>
      </c>
      <c r="DC133" s="72"/>
      <c r="DD133" s="72" t="s">
        <v>143</v>
      </c>
      <c r="DE133" s="72"/>
      <c r="DF133" s="72" t="s">
        <v>154</v>
      </c>
      <c r="DG133" s="72"/>
      <c r="DH133" s="72" t="s">
        <v>153</v>
      </c>
      <c r="DI133" s="72"/>
      <c r="DJ133" s="72" t="s">
        <v>140</v>
      </c>
      <c r="DK133" s="72"/>
      <c r="DL133" s="72" t="s">
        <v>141</v>
      </c>
      <c r="DM133" s="72"/>
      <c r="DN133" s="72" t="s">
        <v>142</v>
      </c>
      <c r="DO133" s="72"/>
      <c r="DP133" s="72" t="s">
        <v>143</v>
      </c>
      <c r="DQ133" s="72"/>
      <c r="DR133" s="72" t="s">
        <v>154</v>
      </c>
      <c r="DS133" s="72"/>
      <c r="DT133" s="72" t="s">
        <v>153</v>
      </c>
      <c r="DU133" s="72"/>
      <c r="DV133" s="72" t="s">
        <v>71</v>
      </c>
    </row>
    <row r="134" spans="5:113" ht="12.75"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</row>
    <row r="135" spans="2:113" ht="12.75">
      <c r="B135" s="32" t="s">
        <v>309</v>
      </c>
      <c r="C135" s="32"/>
      <c r="E135" s="59"/>
      <c r="F135" s="59" t="s">
        <v>310</v>
      </c>
      <c r="G135" s="59"/>
      <c r="H135" s="59" t="s">
        <v>310</v>
      </c>
      <c r="I135" s="59"/>
      <c r="J135" s="59" t="s">
        <v>310</v>
      </c>
      <c r="K135" s="59"/>
      <c r="L135" s="59" t="s">
        <v>310</v>
      </c>
      <c r="M135" s="59"/>
      <c r="N135" s="59" t="s">
        <v>310</v>
      </c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 t="s">
        <v>312</v>
      </c>
      <c r="AE135" s="59"/>
      <c r="AF135" s="59" t="s">
        <v>312</v>
      </c>
      <c r="AG135" s="59"/>
      <c r="AH135" s="59" t="s">
        <v>312</v>
      </c>
      <c r="AI135" s="59"/>
      <c r="AJ135" s="59" t="s">
        <v>312</v>
      </c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 t="s">
        <v>313</v>
      </c>
      <c r="BC135" s="59"/>
      <c r="BD135" s="59" t="s">
        <v>313</v>
      </c>
      <c r="BE135" s="59"/>
      <c r="BF135" s="59" t="s">
        <v>313</v>
      </c>
      <c r="BG135" s="59"/>
      <c r="BH135" s="59" t="s">
        <v>313</v>
      </c>
      <c r="BI135" s="59"/>
      <c r="BJ135" s="59" t="s">
        <v>313</v>
      </c>
      <c r="BK135" s="59"/>
      <c r="BL135" s="59"/>
      <c r="BM135" s="59"/>
      <c r="BN135" s="59" t="s">
        <v>315</v>
      </c>
      <c r="BO135" s="59"/>
      <c r="BP135" s="59" t="s">
        <v>315</v>
      </c>
      <c r="BQ135" s="59"/>
      <c r="BR135" s="59" t="s">
        <v>315</v>
      </c>
      <c r="BS135" s="59"/>
      <c r="BT135" s="59" t="s">
        <v>315</v>
      </c>
      <c r="BU135" s="59"/>
      <c r="BV135" s="59" t="s">
        <v>315</v>
      </c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</row>
    <row r="136" spans="2:126" ht="12.75">
      <c r="B136" s="32" t="s">
        <v>308</v>
      </c>
      <c r="C136" s="32"/>
      <c r="E136" s="59"/>
      <c r="F136" s="59" t="s">
        <v>136</v>
      </c>
      <c r="G136" s="59"/>
      <c r="H136" s="59" t="s">
        <v>136</v>
      </c>
      <c r="I136" s="59"/>
      <c r="J136" s="59" t="s">
        <v>136</v>
      </c>
      <c r="K136" s="59"/>
      <c r="L136" s="59" t="s">
        <v>136</v>
      </c>
      <c r="M136" s="59"/>
      <c r="N136" s="59" t="s">
        <v>136</v>
      </c>
      <c r="O136" s="59"/>
      <c r="P136" s="59" t="s">
        <v>136</v>
      </c>
      <c r="Q136" s="59"/>
      <c r="R136" s="59" t="s">
        <v>319</v>
      </c>
      <c r="S136" s="59"/>
      <c r="T136" s="59" t="s">
        <v>319</v>
      </c>
      <c r="U136" s="59"/>
      <c r="V136" s="59" t="s">
        <v>319</v>
      </c>
      <c r="W136" s="59"/>
      <c r="X136" s="59" t="s">
        <v>319</v>
      </c>
      <c r="Y136" s="59"/>
      <c r="Z136" s="59" t="s">
        <v>319</v>
      </c>
      <c r="AA136" s="59"/>
      <c r="AB136" s="59" t="s">
        <v>319</v>
      </c>
      <c r="AC136" s="59"/>
      <c r="AD136" s="59" t="s">
        <v>316</v>
      </c>
      <c r="AE136" s="59"/>
      <c r="AF136" s="59" t="s">
        <v>316</v>
      </c>
      <c r="AG136" s="59"/>
      <c r="AH136" s="59" t="s">
        <v>316</v>
      </c>
      <c r="AI136" s="59"/>
      <c r="AJ136" s="59" t="s">
        <v>316</v>
      </c>
      <c r="AK136" s="59"/>
      <c r="AL136" s="59" t="s">
        <v>316</v>
      </c>
      <c r="AM136" s="59"/>
      <c r="AN136" s="59" t="s">
        <v>316</v>
      </c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 t="s">
        <v>201</v>
      </c>
      <c r="BC136" s="59"/>
      <c r="BD136" s="59" t="s">
        <v>201</v>
      </c>
      <c r="BE136" s="59"/>
      <c r="BF136" s="59" t="s">
        <v>201</v>
      </c>
      <c r="BG136" s="59"/>
      <c r="BH136" s="59" t="s">
        <v>201</v>
      </c>
      <c r="BI136" s="59"/>
      <c r="BJ136" s="59"/>
      <c r="BK136" s="59"/>
      <c r="BL136" s="59"/>
      <c r="BM136" s="59"/>
      <c r="BN136" s="59" t="s">
        <v>67</v>
      </c>
      <c r="BO136" s="59"/>
      <c r="BP136" s="59" t="s">
        <v>67</v>
      </c>
      <c r="BQ136" s="59"/>
      <c r="BR136" s="59" t="s">
        <v>67</v>
      </c>
      <c r="BS136" s="59"/>
      <c r="BT136" s="59" t="s">
        <v>67</v>
      </c>
      <c r="BU136" s="59"/>
      <c r="BV136" s="59"/>
      <c r="BW136" s="59"/>
      <c r="BX136" s="59"/>
      <c r="BY136" s="59"/>
      <c r="BZ136" s="59" t="s">
        <v>67</v>
      </c>
      <c r="CA136" s="59"/>
      <c r="CB136" s="59" t="s">
        <v>67</v>
      </c>
      <c r="CC136" s="59"/>
      <c r="CD136" s="59" t="s">
        <v>67</v>
      </c>
      <c r="CE136" s="59"/>
      <c r="CF136" s="59" t="s">
        <v>67</v>
      </c>
      <c r="CG136" s="59"/>
      <c r="CH136" s="59" t="s">
        <v>67</v>
      </c>
      <c r="CI136" s="59"/>
      <c r="CJ136" s="59" t="s">
        <v>67</v>
      </c>
      <c r="CK136" s="59"/>
      <c r="CL136" s="59" t="s">
        <v>67</v>
      </c>
      <c r="CM136" s="59"/>
      <c r="CN136" s="59" t="s">
        <v>67</v>
      </c>
      <c r="CO136" s="59"/>
      <c r="CP136" s="59" t="s">
        <v>67</v>
      </c>
      <c r="CQ136" s="59"/>
      <c r="CR136" s="59" t="s">
        <v>67</v>
      </c>
      <c r="CS136" s="59"/>
      <c r="CT136" s="59" t="s">
        <v>67</v>
      </c>
      <c r="CU136" s="59"/>
      <c r="CV136" s="59" t="s">
        <v>67</v>
      </c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62" t="s">
        <v>31</v>
      </c>
      <c r="DL136" s="62" t="s">
        <v>31</v>
      </c>
      <c r="DN136" s="62" t="s">
        <v>31</v>
      </c>
      <c r="DP136" s="62" t="s">
        <v>31</v>
      </c>
      <c r="DR136" s="62" t="s">
        <v>31</v>
      </c>
      <c r="DT136" s="62" t="s">
        <v>31</v>
      </c>
      <c r="DV136" s="62" t="s">
        <v>31</v>
      </c>
    </row>
    <row r="137" spans="2:126" ht="12.75">
      <c r="B137" s="32" t="s">
        <v>109</v>
      </c>
      <c r="C137" s="32"/>
      <c r="F137" s="59" t="s">
        <v>136</v>
      </c>
      <c r="G137" s="59"/>
      <c r="H137" s="59" t="s">
        <v>136</v>
      </c>
      <c r="I137" s="59"/>
      <c r="J137" s="59" t="s">
        <v>136</v>
      </c>
      <c r="K137" s="59"/>
      <c r="L137" s="59" t="s">
        <v>136</v>
      </c>
      <c r="M137" s="59"/>
      <c r="N137" s="59" t="s">
        <v>136</v>
      </c>
      <c r="O137" s="59"/>
      <c r="P137" s="59" t="s">
        <v>136</v>
      </c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 t="s">
        <v>79</v>
      </c>
      <c r="AQ137" s="59"/>
      <c r="AR137" s="59" t="s">
        <v>79</v>
      </c>
      <c r="AS137" s="59"/>
      <c r="AT137" s="59" t="s">
        <v>79</v>
      </c>
      <c r="AU137" s="59"/>
      <c r="AV137" s="59" t="s">
        <v>79</v>
      </c>
      <c r="AW137" s="59"/>
      <c r="AX137" s="59" t="s">
        <v>79</v>
      </c>
      <c r="AY137" s="59"/>
      <c r="AZ137" s="59" t="s">
        <v>79</v>
      </c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 t="s">
        <v>67</v>
      </c>
      <c r="CY137" s="59"/>
      <c r="CZ137" s="59" t="s">
        <v>67</v>
      </c>
      <c r="DA137" s="59"/>
      <c r="DB137" s="59" t="s">
        <v>67</v>
      </c>
      <c r="DC137" s="59"/>
      <c r="DD137" s="59" t="s">
        <v>67</v>
      </c>
      <c r="DE137" s="59"/>
      <c r="DF137" s="59" t="s">
        <v>67</v>
      </c>
      <c r="DG137" s="59"/>
      <c r="DH137" s="59" t="s">
        <v>67</v>
      </c>
      <c r="DI137" s="59"/>
      <c r="DJ137" s="62" t="s">
        <v>31</v>
      </c>
      <c r="DL137" s="62" t="s">
        <v>31</v>
      </c>
      <c r="DN137" s="62" t="s">
        <v>31</v>
      </c>
      <c r="DP137" s="62" t="s">
        <v>31</v>
      </c>
      <c r="DR137" s="62" t="s">
        <v>31</v>
      </c>
      <c r="DT137" s="62" t="s">
        <v>31</v>
      </c>
      <c r="DV137" s="62" t="s">
        <v>31</v>
      </c>
    </row>
    <row r="138" spans="1:113" ht="12.75">
      <c r="A138" s="62" t="s">
        <v>183</v>
      </c>
      <c r="B138" s="62" t="s">
        <v>204</v>
      </c>
      <c r="D138" s="62" t="s">
        <v>205</v>
      </c>
      <c r="E138" s="59"/>
      <c r="F138" s="59">
        <v>8904</v>
      </c>
      <c r="G138" s="59"/>
      <c r="H138" s="59">
        <v>19446</v>
      </c>
      <c r="I138" s="59"/>
      <c r="J138" s="59">
        <v>12462</v>
      </c>
      <c r="K138" s="59"/>
      <c r="L138" s="59">
        <v>17216</v>
      </c>
      <c r="N138" s="59">
        <v>13610</v>
      </c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>
        <v>3718</v>
      </c>
      <c r="AE138" s="59"/>
      <c r="AF138" s="59">
        <v>3206</v>
      </c>
      <c r="AG138" s="59"/>
      <c r="AH138" s="59">
        <v>3718</v>
      </c>
      <c r="AI138" s="59"/>
      <c r="AJ138" s="59">
        <v>2522</v>
      </c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>
        <v>159220</v>
      </c>
      <c r="BD138">
        <v>162848</v>
      </c>
      <c r="BF138">
        <v>163300</v>
      </c>
      <c r="BG138" s="59"/>
      <c r="BH138">
        <v>162660</v>
      </c>
      <c r="BI138" s="59"/>
      <c r="BJ138">
        <v>160060</v>
      </c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</row>
    <row r="139" spans="1:113" ht="12.75">
      <c r="A139" s="62" t="s">
        <v>183</v>
      </c>
      <c r="B139" s="62" t="s">
        <v>206</v>
      </c>
      <c r="D139" s="62" t="s">
        <v>207</v>
      </c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>
        <v>0</v>
      </c>
      <c r="AE139" s="59"/>
      <c r="AF139" s="59">
        <v>0</v>
      </c>
      <c r="AG139" s="59"/>
      <c r="AH139" s="59">
        <v>0</v>
      </c>
      <c r="AI139" s="59"/>
      <c r="AJ139" s="59">
        <v>0</v>
      </c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>
        <v>400</v>
      </c>
      <c r="BP139" s="59">
        <v>400</v>
      </c>
      <c r="BR139" s="59">
        <v>400</v>
      </c>
      <c r="BS139" s="59"/>
      <c r="BT139" s="59">
        <v>400</v>
      </c>
      <c r="BU139" s="59"/>
      <c r="BV139" s="59">
        <v>400</v>
      </c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</row>
    <row r="140" spans="1:113" ht="12.75">
      <c r="A140" s="62" t="s">
        <v>183</v>
      </c>
      <c r="B140" s="62" t="s">
        <v>22</v>
      </c>
      <c r="D140" s="62" t="s">
        <v>205</v>
      </c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>
        <v>0</v>
      </c>
      <c r="BP140" s="59">
        <v>0</v>
      </c>
      <c r="BR140" s="59">
        <v>0</v>
      </c>
      <c r="BS140" s="59"/>
      <c r="BT140" s="59">
        <v>0</v>
      </c>
      <c r="BU140" s="59"/>
      <c r="BV140" s="59">
        <v>0</v>
      </c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</row>
    <row r="141" spans="66:74" ht="12.75">
      <c r="BN141" s="59">
        <v>400</v>
      </c>
      <c r="BP141" s="59">
        <v>400</v>
      </c>
      <c r="BR141" s="59">
        <v>400</v>
      </c>
      <c r="BT141" s="59">
        <v>400</v>
      </c>
      <c r="BV141" s="59">
        <v>400</v>
      </c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B1">
      <selection activeCell="C25" sqref="C25"/>
    </sheetView>
  </sheetViews>
  <sheetFormatPr defaultColWidth="9.140625" defaultRowHeight="12.75"/>
  <cols>
    <col min="1" max="1" width="7.421875" style="16" hidden="1" customWidth="1"/>
    <col min="2" max="2" width="14.57421875" style="16" customWidth="1"/>
    <col min="3" max="3" width="7.421875" style="16" customWidth="1"/>
    <col min="4" max="4" width="11.140625" style="16" customWidth="1"/>
    <col min="5" max="16384" width="9.140625" style="16" customWidth="1"/>
  </cols>
  <sheetData>
    <row r="1" ht="12.75">
      <c r="B1" s="2" t="s">
        <v>68</v>
      </c>
    </row>
    <row r="2" spans="5:9" ht="12.75">
      <c r="E2" s="20">
        <v>1</v>
      </c>
      <c r="F2" s="20">
        <v>2</v>
      </c>
      <c r="G2" s="20">
        <v>3</v>
      </c>
      <c r="H2" s="20">
        <v>4</v>
      </c>
      <c r="I2" s="20" t="s">
        <v>71</v>
      </c>
    </row>
    <row r="3" spans="1:4" ht="12.75">
      <c r="A3" s="16" t="s">
        <v>110</v>
      </c>
      <c r="B3" s="2" t="str">
        <f>'feed 1'!B3</f>
        <v>404C10</v>
      </c>
      <c r="D3" s="16" t="s">
        <v>155</v>
      </c>
    </row>
    <row r="5" spans="2:9" s="4" customFormat="1" ht="12.75">
      <c r="B5" s="9" t="s">
        <v>145</v>
      </c>
      <c r="C5" s="9" t="s">
        <v>147</v>
      </c>
      <c r="D5" s="9" t="s">
        <v>151</v>
      </c>
      <c r="E5">
        <v>473</v>
      </c>
      <c r="F5">
        <v>462</v>
      </c>
      <c r="G5">
        <v>446</v>
      </c>
      <c r="H5">
        <v>468</v>
      </c>
      <c r="I5" s="14">
        <f>AVERAGE(E5:H5)</f>
        <v>462.25</v>
      </c>
    </row>
    <row r="6" spans="2:8" s="4" customFormat="1" ht="12.75">
      <c r="B6" s="9" t="s">
        <v>145</v>
      </c>
      <c r="C6" s="9" t="s">
        <v>147</v>
      </c>
      <c r="D6" s="9" t="s">
        <v>81</v>
      </c>
      <c r="E6">
        <v>453</v>
      </c>
      <c r="F6">
        <v>443</v>
      </c>
      <c r="G6">
        <v>438</v>
      </c>
      <c r="H6">
        <v>454</v>
      </c>
    </row>
    <row r="7" spans="2:8" s="4" customFormat="1" ht="12.75">
      <c r="B7" s="9" t="s">
        <v>148</v>
      </c>
      <c r="C7" s="9" t="s">
        <v>149</v>
      </c>
      <c r="D7" s="9" t="s">
        <v>150</v>
      </c>
      <c r="E7">
        <v>106.2</v>
      </c>
      <c r="F7">
        <v>102.6</v>
      </c>
      <c r="G7">
        <v>98.6</v>
      </c>
      <c r="H7">
        <v>104.6</v>
      </c>
    </row>
    <row r="8" spans="2:8" s="4" customFormat="1" ht="12.75">
      <c r="B8" s="9" t="s">
        <v>148</v>
      </c>
      <c r="C8" s="9" t="s">
        <v>149</v>
      </c>
      <c r="D8" s="9" t="s">
        <v>81</v>
      </c>
      <c r="E8">
        <v>111</v>
      </c>
      <c r="F8">
        <v>107.1</v>
      </c>
      <c r="G8">
        <v>113</v>
      </c>
      <c r="H8">
        <v>108.3</v>
      </c>
    </row>
    <row r="9" spans="2:8" ht="12.75">
      <c r="B9" s="16" t="s">
        <v>146</v>
      </c>
      <c r="C9" s="16" t="s">
        <v>147</v>
      </c>
      <c r="D9" s="16" t="s">
        <v>151</v>
      </c>
      <c r="E9">
        <v>1816</v>
      </c>
      <c r="F9">
        <v>1790</v>
      </c>
      <c r="G9">
        <v>1806</v>
      </c>
      <c r="H9">
        <v>1768</v>
      </c>
    </row>
    <row r="10" spans="2:8" ht="12.75">
      <c r="B10" s="16" t="s">
        <v>146</v>
      </c>
      <c r="C10" s="16" t="s">
        <v>147</v>
      </c>
      <c r="D10" s="16" t="s">
        <v>81</v>
      </c>
      <c r="E10">
        <v>1790</v>
      </c>
      <c r="F10">
        <v>1771</v>
      </c>
      <c r="G10">
        <v>1781</v>
      </c>
      <c r="H10">
        <v>1761</v>
      </c>
    </row>
    <row r="11" ht="12.75">
      <c r="B11" s="2"/>
    </row>
    <row r="12" spans="2:9" ht="12.75">
      <c r="B12" s="2"/>
      <c r="E12" s="20">
        <v>5</v>
      </c>
      <c r="F12" s="20">
        <v>6</v>
      </c>
      <c r="G12" s="20">
        <v>7</v>
      </c>
      <c r="I12" s="20" t="s">
        <v>71</v>
      </c>
    </row>
    <row r="13" spans="1:4" ht="12.75">
      <c r="A13" s="16" t="s">
        <v>110</v>
      </c>
      <c r="B13" s="2" t="str">
        <f>'feed 1'!B49</f>
        <v>404C11</v>
      </c>
      <c r="D13" s="16" t="s">
        <v>160</v>
      </c>
    </row>
    <row r="14" spans="2:8" s="4" customFormat="1" ht="12.75">
      <c r="B14" s="9"/>
      <c r="C14" s="9"/>
      <c r="D14" s="9"/>
      <c r="E14" s="44"/>
      <c r="G14" s="5"/>
      <c r="H14" s="44"/>
    </row>
    <row r="15" spans="2:9" ht="12.75">
      <c r="B15" s="9" t="s">
        <v>145</v>
      </c>
      <c r="C15" s="9" t="s">
        <v>147</v>
      </c>
      <c r="D15" s="9" t="s">
        <v>151</v>
      </c>
      <c r="E15" s="16">
        <v>458</v>
      </c>
      <c r="F15" s="32">
        <v>445</v>
      </c>
      <c r="G15" s="16">
        <v>455</v>
      </c>
      <c r="H15" s="44"/>
      <c r="I15" s="14">
        <f>AVERAGE(E15:H15)</f>
        <v>452.6666666666667</v>
      </c>
    </row>
    <row r="16" spans="2:8" s="4" customFormat="1" ht="12.75">
      <c r="B16" s="9" t="s">
        <v>145</v>
      </c>
      <c r="C16" s="9" t="s">
        <v>147</v>
      </c>
      <c r="D16" s="9" t="s">
        <v>81</v>
      </c>
      <c r="E16" s="16">
        <v>452</v>
      </c>
      <c r="F16" s="32">
        <v>442</v>
      </c>
      <c r="G16" s="16">
        <v>447</v>
      </c>
      <c r="H16"/>
    </row>
    <row r="17" spans="2:8" ht="12.75">
      <c r="B17" s="9" t="s">
        <v>148</v>
      </c>
      <c r="C17" s="9" t="s">
        <v>149</v>
      </c>
      <c r="D17" s="9" t="s">
        <v>150</v>
      </c>
      <c r="E17" s="16">
        <v>98.8</v>
      </c>
      <c r="F17" s="32">
        <v>94.4</v>
      </c>
      <c r="G17" s="16">
        <v>102.7</v>
      </c>
      <c r="H17" s="44"/>
    </row>
    <row r="18" spans="2:8" s="4" customFormat="1" ht="12.75">
      <c r="B18" s="9" t="s">
        <v>148</v>
      </c>
      <c r="C18" s="9" t="s">
        <v>149</v>
      </c>
      <c r="D18" s="9" t="s">
        <v>81</v>
      </c>
      <c r="E18" s="16">
        <v>105.5</v>
      </c>
      <c r="F18" s="32">
        <v>98.7</v>
      </c>
      <c r="G18" s="16">
        <v>104.1</v>
      </c>
      <c r="H18"/>
    </row>
    <row r="19" spans="2:7" ht="12.75">
      <c r="B19" s="16" t="s">
        <v>146</v>
      </c>
      <c r="C19" s="16" t="s">
        <v>147</v>
      </c>
      <c r="D19" s="16" t="s">
        <v>151</v>
      </c>
      <c r="E19" s="16">
        <v>1738</v>
      </c>
      <c r="F19" s="32">
        <v>1719</v>
      </c>
      <c r="G19" s="16">
        <v>1757</v>
      </c>
    </row>
    <row r="20" spans="2:8" ht="12.75">
      <c r="B20" s="16" t="s">
        <v>146</v>
      </c>
      <c r="C20" s="16" t="s">
        <v>147</v>
      </c>
      <c r="D20" s="16" t="s">
        <v>81</v>
      </c>
      <c r="E20" s="16">
        <v>1731</v>
      </c>
      <c r="F20" s="32">
        <v>1706</v>
      </c>
      <c r="G20" s="16">
        <v>1748</v>
      </c>
      <c r="H20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49"/>
  <sheetViews>
    <sheetView workbookViewId="0" topLeftCell="C1">
      <selection activeCell="C25" sqref="C25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5.00390625" style="0" customWidth="1"/>
    <col min="4" max="4" width="5.28125" style="0" customWidth="1"/>
  </cols>
  <sheetData>
    <row r="1" ht="12.75">
      <c r="C1" s="2" t="s">
        <v>275</v>
      </c>
    </row>
    <row r="3" ht="12.75">
      <c r="C3" s="29" t="s">
        <v>174</v>
      </c>
    </row>
    <row r="5" spans="1:31" s="62" customFormat="1" ht="12.75">
      <c r="A5" s="62" t="s">
        <v>174</v>
      </c>
      <c r="B5" s="62" t="s">
        <v>272</v>
      </c>
      <c r="C5" s="62" t="s">
        <v>273</v>
      </c>
      <c r="D5" s="62" t="s">
        <v>147</v>
      </c>
      <c r="E5" s="59">
        <v>1769</v>
      </c>
      <c r="F5" s="59">
        <v>1767</v>
      </c>
      <c r="G5" s="59">
        <v>1788</v>
      </c>
      <c r="H5" s="59">
        <v>1755</v>
      </c>
      <c r="I5" s="59">
        <v>1838</v>
      </c>
      <c r="J5" s="59">
        <v>1757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22" s="62" customFormat="1" ht="12.75">
      <c r="A6" s="62" t="s">
        <v>174</v>
      </c>
      <c r="B6" s="62" t="s">
        <v>272</v>
      </c>
      <c r="C6" s="62" t="s">
        <v>274</v>
      </c>
      <c r="D6" s="62" t="s">
        <v>147</v>
      </c>
      <c r="E6" s="59">
        <v>487</v>
      </c>
      <c r="F6" s="59">
        <v>474</v>
      </c>
      <c r="G6" s="59">
        <v>474</v>
      </c>
      <c r="H6" s="59">
        <v>514</v>
      </c>
      <c r="I6" s="59">
        <v>524</v>
      </c>
      <c r="J6" s="59">
        <v>519</v>
      </c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1:23" s="62" customFormat="1" ht="12.75">
      <c r="A7" s="62" t="s">
        <v>174</v>
      </c>
      <c r="B7" s="62" t="s">
        <v>272</v>
      </c>
      <c r="C7" s="62" t="s">
        <v>148</v>
      </c>
      <c r="D7" s="62" t="s">
        <v>149</v>
      </c>
      <c r="E7" s="59">
        <v>104.5</v>
      </c>
      <c r="F7" s="59">
        <v>107.3</v>
      </c>
      <c r="G7" s="59">
        <v>107.5</v>
      </c>
      <c r="H7" s="59">
        <v>104.1</v>
      </c>
      <c r="I7" s="59">
        <v>92.1</v>
      </c>
      <c r="J7" s="59">
        <v>94.3</v>
      </c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5:23" s="62" customFormat="1" ht="12.75"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3:23" s="62" customFormat="1" ht="12.75">
      <c r="C9" s="29" t="s">
        <v>176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</row>
    <row r="10" spans="5:23" s="62" customFormat="1" ht="12.75"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</row>
    <row r="11" spans="2:31" s="62" customFormat="1" ht="12.75">
      <c r="B11" s="62" t="s">
        <v>272</v>
      </c>
      <c r="C11" s="62" t="s">
        <v>273</v>
      </c>
      <c r="D11" s="62" t="s">
        <v>147</v>
      </c>
      <c r="E11" s="59">
        <v>1398</v>
      </c>
      <c r="F11" s="59">
        <v>1362</v>
      </c>
      <c r="G11" s="59">
        <v>1370</v>
      </c>
      <c r="H11" s="59">
        <v>1332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1:22" s="62" customFormat="1" ht="12.75">
      <c r="A12" s="62" t="s">
        <v>176</v>
      </c>
      <c r="B12" s="62" t="s">
        <v>272</v>
      </c>
      <c r="C12" s="62" t="s">
        <v>274</v>
      </c>
      <c r="D12" s="62" t="s">
        <v>147</v>
      </c>
      <c r="E12" s="59">
        <v>388</v>
      </c>
      <c r="F12" s="59">
        <v>435</v>
      </c>
      <c r="G12" s="59">
        <v>376</v>
      </c>
      <c r="H12" s="59">
        <v>404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3" s="62" customFormat="1" ht="12.75">
      <c r="A13" s="62" t="s">
        <v>176</v>
      </c>
      <c r="B13" s="62" t="s">
        <v>272</v>
      </c>
      <c r="C13" s="62" t="s">
        <v>148</v>
      </c>
      <c r="D13" s="62" t="s">
        <v>149</v>
      </c>
      <c r="E13" s="59">
        <v>107.5</v>
      </c>
      <c r="F13" s="59">
        <v>105.5</v>
      </c>
      <c r="G13" s="59">
        <v>115.3</v>
      </c>
      <c r="H13" s="59">
        <v>112.4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</row>
    <row r="14" spans="5:23" s="62" customFormat="1" ht="12.75"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</row>
    <row r="15" spans="3:23" s="62" customFormat="1" ht="12.75">
      <c r="C15" s="29" t="s">
        <v>177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5:23" s="62" customFormat="1" ht="12.75"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</row>
    <row r="17" spans="1:31" s="62" customFormat="1" ht="12.75">
      <c r="A17" s="62" t="s">
        <v>177</v>
      </c>
      <c r="B17" s="62" t="s">
        <v>272</v>
      </c>
      <c r="C17" s="62" t="s">
        <v>273</v>
      </c>
      <c r="D17" s="62" t="s">
        <v>147</v>
      </c>
      <c r="E17" s="59">
        <v>1473</v>
      </c>
      <c r="F17" s="59">
        <v>1541</v>
      </c>
      <c r="G17" s="59">
        <v>1499</v>
      </c>
      <c r="H17" s="59">
        <v>1576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22" s="62" customFormat="1" ht="12.75">
      <c r="A18" s="62" t="s">
        <v>177</v>
      </c>
      <c r="B18" s="62" t="s">
        <v>272</v>
      </c>
      <c r="C18" s="62" t="s">
        <v>274</v>
      </c>
      <c r="D18" s="62" t="s">
        <v>147</v>
      </c>
      <c r="E18" s="59">
        <v>397</v>
      </c>
      <c r="F18" s="59">
        <v>430</v>
      </c>
      <c r="G18" s="59">
        <v>407</v>
      </c>
      <c r="H18" s="59">
        <v>425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1:23" s="62" customFormat="1" ht="12.75">
      <c r="A19" s="62" t="s">
        <v>177</v>
      </c>
      <c r="B19" s="62" t="s">
        <v>272</v>
      </c>
      <c r="C19" s="62" t="s">
        <v>148</v>
      </c>
      <c r="D19" s="62" t="s">
        <v>149</v>
      </c>
      <c r="E19" s="59">
        <v>100.7</v>
      </c>
      <c r="F19" s="59">
        <v>103.4</v>
      </c>
      <c r="G19" s="59">
        <v>142.3</v>
      </c>
      <c r="H19" s="59">
        <v>135.8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</row>
    <row r="20" spans="5:23" s="62" customFormat="1" ht="12.75"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</row>
    <row r="21" spans="3:23" s="62" customFormat="1" ht="12.75">
      <c r="C21" s="29" t="s">
        <v>179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</row>
    <row r="22" spans="5:23" s="62" customFormat="1" ht="12.75"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</row>
    <row r="23" spans="1:31" s="62" customFormat="1" ht="12.75">
      <c r="A23" s="62" t="s">
        <v>179</v>
      </c>
      <c r="B23" s="62" t="s">
        <v>272</v>
      </c>
      <c r="C23" s="62" t="s">
        <v>273</v>
      </c>
      <c r="D23" s="62" t="s">
        <v>147</v>
      </c>
      <c r="E23" s="59">
        <v>1794</v>
      </c>
      <c r="F23" s="59">
        <v>1759</v>
      </c>
      <c r="G23" s="59">
        <v>1770</v>
      </c>
      <c r="H23" s="59">
        <v>1745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</row>
    <row r="24" spans="1:22" s="62" customFormat="1" ht="12.75">
      <c r="A24" s="62" t="s">
        <v>179</v>
      </c>
      <c r="B24" s="62" t="s">
        <v>272</v>
      </c>
      <c r="C24" s="62" t="s">
        <v>274</v>
      </c>
      <c r="D24" s="62" t="s">
        <v>147</v>
      </c>
      <c r="E24" s="59">
        <v>515</v>
      </c>
      <c r="F24" s="59">
        <v>509</v>
      </c>
      <c r="G24" s="59">
        <v>521</v>
      </c>
      <c r="H24" s="59">
        <v>517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:23" s="62" customFormat="1" ht="12.75">
      <c r="A25" s="62" t="s">
        <v>179</v>
      </c>
      <c r="B25" s="62" t="s">
        <v>272</v>
      </c>
      <c r="C25" s="62" t="s">
        <v>148</v>
      </c>
      <c r="D25" s="62" t="s">
        <v>149</v>
      </c>
      <c r="E25" s="59">
        <v>94.1</v>
      </c>
      <c r="F25" s="59">
        <v>95.1</v>
      </c>
      <c r="G25" s="59">
        <v>100.3</v>
      </c>
      <c r="H25" s="59">
        <v>94.8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</row>
    <row r="26" spans="5:23" s="62" customFormat="1" ht="12.75"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</row>
    <row r="27" spans="3:23" s="62" customFormat="1" ht="12.75">
      <c r="C27" s="29" t="s">
        <v>183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28" spans="5:23" s="62" customFormat="1" ht="12.75"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</row>
    <row r="29" spans="1:22" s="62" customFormat="1" ht="12.75">
      <c r="A29" s="62" t="s">
        <v>183</v>
      </c>
      <c r="B29" s="62" t="s">
        <v>272</v>
      </c>
      <c r="C29" s="62" t="s">
        <v>274</v>
      </c>
      <c r="D29" s="62" t="s">
        <v>147</v>
      </c>
      <c r="E29" s="59">
        <v>458.2</v>
      </c>
      <c r="F29" s="59">
        <v>452.8</v>
      </c>
      <c r="G29" s="59">
        <v>448.04</v>
      </c>
      <c r="H29" s="59">
        <v>454.6</v>
      </c>
      <c r="I29" s="59">
        <v>473.15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5:22" s="62" customFormat="1" ht="12.75"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3:22" s="62" customFormat="1" ht="12.75">
      <c r="C31" s="29" t="s">
        <v>184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5:22" s="62" customFormat="1" ht="12.75"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:31" s="62" customFormat="1" ht="12.75">
      <c r="A33" s="62" t="s">
        <v>184</v>
      </c>
      <c r="B33" s="62" t="s">
        <v>272</v>
      </c>
      <c r="C33" s="62" t="s">
        <v>273</v>
      </c>
      <c r="D33" s="62" t="s">
        <v>147</v>
      </c>
      <c r="E33" s="59">
        <v>1570</v>
      </c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</row>
    <row r="34" spans="1:22" s="62" customFormat="1" ht="12.75">
      <c r="A34" s="62" t="s">
        <v>184</v>
      </c>
      <c r="B34" s="62" t="s">
        <v>272</v>
      </c>
      <c r="C34" s="62" t="s">
        <v>274</v>
      </c>
      <c r="D34" s="62" t="s">
        <v>147</v>
      </c>
      <c r="E34" s="59">
        <v>447</v>
      </c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5:22" s="62" customFormat="1" ht="12.75"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3:22" s="62" customFormat="1" ht="12.75">
      <c r="C36" s="29" t="s">
        <v>186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5:22" s="62" customFormat="1" ht="12.75"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1:31" s="62" customFormat="1" ht="12.75">
      <c r="A38" s="62" t="s">
        <v>186</v>
      </c>
      <c r="B38" s="62" t="s">
        <v>272</v>
      </c>
      <c r="C38" s="62" t="s">
        <v>273</v>
      </c>
      <c r="D38" s="62" t="s">
        <v>147</v>
      </c>
      <c r="E38" s="59">
        <v>1799</v>
      </c>
      <c r="F38" s="59">
        <v>1724</v>
      </c>
      <c r="G38" s="59">
        <v>1760</v>
      </c>
      <c r="H38" s="59">
        <v>1745</v>
      </c>
      <c r="I38" s="59">
        <v>1762</v>
      </c>
      <c r="J38" s="59">
        <v>1755</v>
      </c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</row>
    <row r="39" spans="1:22" s="62" customFormat="1" ht="12.75">
      <c r="A39" s="62" t="s">
        <v>186</v>
      </c>
      <c r="B39" s="62" t="s">
        <v>272</v>
      </c>
      <c r="C39" s="62" t="s">
        <v>274</v>
      </c>
      <c r="D39" s="62" t="s">
        <v>147</v>
      </c>
      <c r="E39" s="59">
        <v>549</v>
      </c>
      <c r="F39" s="59">
        <v>553</v>
      </c>
      <c r="G39" s="59">
        <v>565</v>
      </c>
      <c r="H39" s="59">
        <v>560</v>
      </c>
      <c r="I39" s="59">
        <v>466</v>
      </c>
      <c r="J39" s="59">
        <v>479</v>
      </c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</row>
    <row r="40" spans="5:22" s="62" customFormat="1" ht="12.75"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</row>
    <row r="41" spans="3:22" s="62" customFormat="1" ht="12.75">
      <c r="C41" s="29" t="s">
        <v>189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</row>
    <row r="42" spans="5:22" s="62" customFormat="1" ht="12.75"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</row>
    <row r="43" spans="1:31" s="62" customFormat="1" ht="12.75">
      <c r="A43" s="62" t="s">
        <v>189</v>
      </c>
      <c r="B43" s="62" t="s">
        <v>272</v>
      </c>
      <c r="C43" s="62" t="s">
        <v>273</v>
      </c>
      <c r="D43" s="62" t="s">
        <v>147</v>
      </c>
      <c r="E43" s="59">
        <v>1720</v>
      </c>
      <c r="F43" s="59">
        <v>1719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</row>
    <row r="44" spans="1:22" s="62" customFormat="1" ht="12.75">
      <c r="A44" s="62" t="s">
        <v>189</v>
      </c>
      <c r="B44" s="62" t="s">
        <v>272</v>
      </c>
      <c r="C44" s="62" t="s">
        <v>274</v>
      </c>
      <c r="D44" s="62" t="s">
        <v>147</v>
      </c>
      <c r="E44" s="59">
        <v>522</v>
      </c>
      <c r="F44" s="59">
        <v>515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</row>
    <row r="45" spans="5:22" s="62" customFormat="1" ht="12.75"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</row>
    <row r="46" spans="3:22" s="62" customFormat="1" ht="12.75">
      <c r="C46" s="29" t="s">
        <v>191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</row>
    <row r="47" spans="5:22" s="62" customFormat="1" ht="12.75"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</row>
    <row r="48" spans="2:31" s="62" customFormat="1" ht="12.75">
      <c r="B48" s="62" t="s">
        <v>272</v>
      </c>
      <c r="C48" s="62" t="s">
        <v>273</v>
      </c>
      <c r="D48" s="62" t="s">
        <v>147</v>
      </c>
      <c r="E48" s="59">
        <v>1504</v>
      </c>
      <c r="F48" s="59">
        <v>1523</v>
      </c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</row>
    <row r="49" spans="1:22" s="62" customFormat="1" ht="12.75">
      <c r="A49" s="62" t="s">
        <v>191</v>
      </c>
      <c r="B49" s="62" t="s">
        <v>272</v>
      </c>
      <c r="C49" s="62" t="s">
        <v>274</v>
      </c>
      <c r="D49" s="62" t="s">
        <v>147</v>
      </c>
      <c r="E49" s="59">
        <v>427</v>
      </c>
      <c r="F49" s="59">
        <v>424</v>
      </c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2004-02-25T17:49:00Z</cp:lastPrinted>
  <dcterms:created xsi:type="dcterms:W3CDTF">2000-01-10T00:44:42Z</dcterms:created>
  <dcterms:modified xsi:type="dcterms:W3CDTF">2005-03-10T17:50:03Z</dcterms:modified>
  <cp:category/>
  <cp:version/>
  <cp:contentType/>
  <cp:contentStatus/>
</cp:coreProperties>
</file>