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<sst xmlns="http://schemas.openxmlformats.org/spreadsheetml/2006/main" count="414" uniqueCount="150">
  <si>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</si>
  <si>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</si>
  <si>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</si>
  <si>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</si>
  <si>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</si>
  <si>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</si>
  <si>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</si>
  <si>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</si>
  <si>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</si>
  <si>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</si>
  <si>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</si>
  <si>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</si>
  <si>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</si>
  <si>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</si>
  <si>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</si>
  <si>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</si>
  <si>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</si>
  <si>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</si>
  <si>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</si>
  <si>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</si>
  <si>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</si>
  <si>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</si>
  <si>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</si>
  <si>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</si>
  <si>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</si>
  <si>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</si>
  <si>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</si>
  <si>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</si>
  <si>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</si>
  <si>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</si>
  <si>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</si>
  <si>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</si>
  <si>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</si>
  <si>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</si>
  <si>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</si>
  <si>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</si>
  <si>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</si>
  <si>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Btu/lb</t>
  </si>
  <si>
    <t>Chlorine</t>
  </si>
  <si>
    <t>Stack Gas Flowrate</t>
  </si>
  <si>
    <t>Process Information</t>
  </si>
  <si>
    <t>F</t>
  </si>
  <si>
    <t>n</t>
  </si>
  <si>
    <t>Eastman Chemical Co</t>
  </si>
  <si>
    <t>kW</t>
  </si>
  <si>
    <t>TND003376928</t>
  </si>
  <si>
    <t>Eastman Chemicals Co. - Tennessee Eastman Div</t>
  </si>
  <si>
    <t>Kingsport</t>
  </si>
  <si>
    <t>TN</t>
  </si>
  <si>
    <t>14 Blrs (# 11 - 24) exhaust to one common breeching interconnected to 3 stacks</t>
  </si>
  <si>
    <t>Research Cottrell, 2 fields; 11,232 ft2 plate area for 135 kacfm @ 450 F, SCA=83 ft2/kacfm</t>
  </si>
  <si>
    <t>Recertification of Compliance for Tennessee Eastman Division Boilers 18, 19, and 20; dated March 24, 1998</t>
  </si>
  <si>
    <t>sootblow</t>
  </si>
  <si>
    <t>ft/min</t>
  </si>
  <si>
    <t>klb/hr</t>
  </si>
  <si>
    <t>Biosludge</t>
  </si>
  <si>
    <t>ESP</t>
  </si>
  <si>
    <t>Hazardous Wastes</t>
  </si>
  <si>
    <t xml:space="preserve">CoC; min combustion temperature </t>
  </si>
  <si>
    <t>CoC; max feedrates</t>
  </si>
  <si>
    <t xml:space="preserve">PM, metals, CO, HCl/Cl2; feed analysis for metals, ash, HCl/Cl2 </t>
  </si>
  <si>
    <t>Haz Waste Description</t>
  </si>
  <si>
    <t>Supplemental Fuel</t>
  </si>
  <si>
    <t>1011C2</t>
  </si>
  <si>
    <t>BIF Interim Status Tier III for metals and chlorine</t>
  </si>
  <si>
    <t>Babcock &amp; Wilcox, coal-fired watertube spreader-stoker, 196 MM Btu/hr, comb chamber dimensions (ft): 18 w, 17 l, 40 h, 600 psig steam</t>
  </si>
  <si>
    <t>Feedstreams</t>
  </si>
  <si>
    <t>Coal</t>
  </si>
  <si>
    <t>Boiler No. 20</t>
  </si>
  <si>
    <t>Boiler Nos. 18 and 19</t>
  </si>
  <si>
    <t>lb/hr</t>
  </si>
  <si>
    <t>nd</t>
  </si>
  <si>
    <t>Total</t>
  </si>
  <si>
    <t>Capacity (MMBtu/hr)</t>
  </si>
  <si>
    <t>Comb Chamber Outlet Temperature</t>
  </si>
  <si>
    <t>ESP Inlet Temperature</t>
  </si>
  <si>
    <t>ESP Power</t>
  </si>
  <si>
    <t>Steam Flow</t>
  </si>
  <si>
    <t>ESP Air Flow (velocity)</t>
  </si>
  <si>
    <t>Comb Chamber Temperature</t>
  </si>
  <si>
    <t>7% O2</t>
  </si>
  <si>
    <t>Feedrate MTEC Calculations</t>
  </si>
  <si>
    <t>Phase II ID No.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</si>
  <si>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</si>
  <si>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</si>
  <si>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</si>
  <si>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</si>
  <si>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</si>
  <si>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</si>
  <si>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</si>
  <si>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</si>
  <si>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</si>
  <si>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Mercury</t>
  </si>
  <si>
    <t>Lead</t>
  </si>
  <si>
    <t>Cadmium</t>
  </si>
  <si>
    <t>Arsenic</t>
  </si>
  <si>
    <t>Beryllium</t>
  </si>
  <si>
    <t>Antimony</t>
  </si>
  <si>
    <t>Comments</t>
  </si>
  <si>
    <t xml:space="preserve">(PM, HCl/Cl2) </t>
  </si>
  <si>
    <t>(Metals)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</si>
  <si>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</si>
  <si>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</si>
  <si>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</si>
  <si>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</si>
  <si>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</si>
  <si>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</si>
  <si>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</si>
  <si>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Estimated Firing Rate</t>
  </si>
  <si>
    <t>1011C1</t>
  </si>
  <si>
    <t>*</t>
  </si>
  <si>
    <t>Thermal Feedrate</t>
  </si>
  <si>
    <t>Feed Rate</t>
  </si>
  <si>
    <t>Feedstream Description</t>
  </si>
  <si>
    <t xml:space="preserve">   Sample Volume</t>
  </si>
  <si>
    <t>dscf</t>
  </si>
  <si>
    <t>HWC Burn Status (Date if Terminated)</t>
  </si>
  <si>
    <t>Barium</t>
  </si>
  <si>
    <t>Silver</t>
  </si>
  <si>
    <t>Thallium</t>
  </si>
  <si>
    <t xml:space="preserve">     Cond Dates</t>
  </si>
  <si>
    <t>Cond Description</t>
  </si>
  <si>
    <t>Coal-fired boiler</t>
  </si>
  <si>
    <t>R1</t>
  </si>
  <si>
    <t>R2</t>
  </si>
  <si>
    <t>R3</t>
  </si>
  <si>
    <t>Feedstream Number</t>
  </si>
  <si>
    <t>Feed Class</t>
  </si>
  <si>
    <t>Sludge</t>
  </si>
  <si>
    <t>E1</t>
  </si>
  <si>
    <t>E2</t>
  </si>
  <si>
    <t>Combustor Class</t>
  </si>
  <si>
    <t>Combustor Type</t>
  </si>
  <si>
    <t>Stoker</t>
  </si>
  <si>
    <t>APCS Detailed Acronym</t>
  </si>
  <si>
    <t>APCS General Class</t>
  </si>
  <si>
    <t>Number of Sister Facilities</t>
  </si>
  <si>
    <t>source</t>
  </si>
  <si>
    <t>cond</t>
  </si>
  <si>
    <t>emiss</t>
  </si>
  <si>
    <t>feed</t>
  </si>
  <si>
    <t>process</t>
  </si>
  <si>
    <t>F1</t>
  </si>
  <si>
    <t>F2</t>
  </si>
  <si>
    <t>F3</t>
  </si>
  <si>
    <t>F4</t>
  </si>
  <si>
    <t>MMBtu/hr</t>
  </si>
  <si>
    <t>Feed Class 2</t>
  </si>
  <si>
    <t>Heating Value</t>
  </si>
  <si>
    <t>Yes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</si>
</sst>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  <numFmt numFmtId="173" formatCode="0.000000000"/>
    <numFmt numFmtId="174" formatCode="0.0000000000"/>
    <numFmt numFmtId="175" formatCode="0.0E+00"/>
    <numFmt numFmtId="176" formatCode="mmmm\ d\,\ yyyy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137</v>
      </c>
    </row>
    <row r="2" ht="12.75">
      <c r="A2" t="s">
        <v>138</v>
      </c>
    </row>
    <row r="3" ht="12.75">
      <c r="A3" t="s">
        <v>139</v>
      </c>
    </row>
    <row r="4" ht="12.75">
      <c r="A4" t="s">
        <v>140</v>
      </c>
    </row>
    <row r="5" ht="12.75">
      <c r="A5" t="s">
        <v>141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0.13671875" style="2" customWidth="1"/>
    <col min="2" max="2" width="22.7109375" style="2" customWidth="1"/>
    <col min="3" max="3" width="58.140625" style="2" customWidth="1"/>
    <col min="4" max="4" width="9.00390625" style="2" customWidth="1"/>
    <col min="5" max="16384" width="11.421875" style="2" customWidth="1"/>
  </cols>
  <sheetData>
    <row r="1" ht="12.75">
      <c r="B1" s="1" t="s">
        <v>83</v>
      </c>
    </row>
    <row r="3" spans="2:3" ht="12.75">
      <c r="B3" s="2" t="s">
        <v>82</v>
      </c>
      <c r="C3" s="15">
        <v>1011</v>
      </c>
    </row>
    <row r="4" spans="2:3" ht="12.75">
      <c r="B4" s="2" t="s">
        <v>18</v>
      </c>
      <c r="C4" s="2" t="s">
        <v>45</v>
      </c>
    </row>
    <row r="5" spans="2:3" ht="12.75">
      <c r="B5" s="2" t="s">
        <v>19</v>
      </c>
      <c r="C5" s="2" t="s">
        <v>46</v>
      </c>
    </row>
    <row r="6" ht="12.75">
      <c r="B6" s="2" t="s">
        <v>20</v>
      </c>
    </row>
    <row r="7" spans="2:3" ht="12.75">
      <c r="B7" s="2" t="s">
        <v>86</v>
      </c>
      <c r="C7" s="2" t="s">
        <v>47</v>
      </c>
    </row>
    <row r="8" spans="2:3" ht="12.75">
      <c r="B8" s="2" t="s">
        <v>87</v>
      </c>
      <c r="C8" s="2" t="s">
        <v>48</v>
      </c>
    </row>
    <row r="9" spans="2:3" ht="12.75">
      <c r="B9" s="2" t="s">
        <v>21</v>
      </c>
      <c r="C9" s="2" t="s">
        <v>68</v>
      </c>
    </row>
    <row r="10" spans="2:3" ht="12.75">
      <c r="B10" s="2" t="s">
        <v>22</v>
      </c>
      <c r="C10" s="2" t="s">
        <v>69</v>
      </c>
    </row>
    <row r="11" spans="2:3" ht="12.75">
      <c r="B11" s="2" t="s">
        <v>136</v>
      </c>
      <c r="C11" s="15">
        <v>2</v>
      </c>
    </row>
    <row r="12" spans="2:3" ht="12.75">
      <c r="B12" s="2" t="s">
        <v>131</v>
      </c>
      <c r="C12" s="2" t="s">
        <v>122</v>
      </c>
    </row>
    <row r="13" spans="2:3" ht="12.75">
      <c r="B13" s="2" t="s">
        <v>132</v>
      </c>
      <c r="C13" s="2" t="s">
        <v>133</v>
      </c>
    </row>
    <row r="14" spans="2:3" s="16" customFormat="1" ht="38.25">
      <c r="B14" s="16" t="s">
        <v>23</v>
      </c>
      <c r="C14" s="16" t="s">
        <v>65</v>
      </c>
    </row>
    <row r="15" spans="2:3" s="16" customFormat="1" ht="12.75">
      <c r="B15" s="16" t="s">
        <v>73</v>
      </c>
      <c r="C15" s="21">
        <v>196</v>
      </c>
    </row>
    <row r="16" spans="2:3" s="16" customFormat="1" ht="12.75">
      <c r="B16" s="16" t="s">
        <v>85</v>
      </c>
      <c r="C16" s="21" t="s">
        <v>149</v>
      </c>
    </row>
    <row r="17" spans="2:3" s="16" customFormat="1" ht="12.75">
      <c r="B17" s="2" t="s">
        <v>134</v>
      </c>
      <c r="C17" s="16" t="s">
        <v>56</v>
      </c>
    </row>
    <row r="18" spans="2:3" s="16" customFormat="1" ht="12.75">
      <c r="B18" s="2" t="s">
        <v>135</v>
      </c>
      <c r="C18" s="16" t="s">
        <v>56</v>
      </c>
    </row>
    <row r="19" spans="2:3" s="16" customFormat="1" ht="25.5">
      <c r="B19" s="16" t="s">
        <v>24</v>
      </c>
      <c r="C19" s="16" t="s">
        <v>50</v>
      </c>
    </row>
    <row r="20" spans="2:3" s="16" customFormat="1" ht="12.75">
      <c r="B20" s="16" t="s">
        <v>57</v>
      </c>
      <c r="C20" s="16" t="s">
        <v>128</v>
      </c>
    </row>
    <row r="21" spans="2:3" s="16" customFormat="1" ht="12.75">
      <c r="B21" s="16" t="s">
        <v>61</v>
      </c>
      <c r="C21" s="16" t="s">
        <v>55</v>
      </c>
    </row>
    <row r="22" spans="2:3" s="16" customFormat="1" ht="12.75">
      <c r="B22" s="16" t="s">
        <v>62</v>
      </c>
      <c r="C22" s="16" t="s">
        <v>67</v>
      </c>
    </row>
    <row r="23" s="16" customFormat="1" ht="12.75" customHeight="1"/>
    <row r="24" spans="2:3" s="16" customFormat="1" ht="25.5">
      <c r="B24" s="16" t="s">
        <v>25</v>
      </c>
      <c r="C24" s="16" t="s">
        <v>49</v>
      </c>
    </row>
    <row r="25" spans="2:3" ht="12.75">
      <c r="B25" s="2" t="s">
        <v>88</v>
      </c>
      <c r="C25" s="17"/>
    </row>
    <row r="26" spans="2:3" ht="12.75">
      <c r="B26" s="2" t="s">
        <v>89</v>
      </c>
      <c r="C26" s="15">
        <v>225</v>
      </c>
    </row>
    <row r="27" ht="12.75">
      <c r="B27" s="2" t="s">
        <v>90</v>
      </c>
    </row>
    <row r="28" ht="12.75">
      <c r="B28" s="2" t="s">
        <v>91</v>
      </c>
    </row>
    <row r="29" ht="12.75" customHeight="1"/>
    <row r="30" spans="2:3" ht="12.75">
      <c r="B30" s="2" t="s">
        <v>26</v>
      </c>
      <c r="C30" s="2" t="s">
        <v>64</v>
      </c>
    </row>
    <row r="31" s="37" customFormat="1" ht="25.5">
      <c r="B31" s="37" t="s">
        <v>116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8">
      <selection activeCell="A1" sqref="A1:A16384"/>
    </sheetView>
  </sheetViews>
  <sheetFormatPr defaultColWidth="9.140625" defaultRowHeight="12.75"/>
  <cols>
    <col min="1" max="1" width="9.140625" style="0" hidden="1" customWidth="1"/>
    <col min="2" max="2" width="20.8515625" style="0" customWidth="1"/>
    <col min="3" max="3" width="53.7109375" style="0" customWidth="1"/>
  </cols>
  <sheetData>
    <row r="1" ht="12.75">
      <c r="B1" s="29" t="s">
        <v>121</v>
      </c>
    </row>
    <row r="3" ht="12.75">
      <c r="B3" s="29" t="s">
        <v>109</v>
      </c>
    </row>
    <row r="4" ht="12.75">
      <c r="B4" s="29"/>
    </row>
    <row r="5" spans="2:3" s="16" customFormat="1" ht="25.5">
      <c r="B5" s="16" t="s">
        <v>27</v>
      </c>
      <c r="C5" s="16" t="s">
        <v>51</v>
      </c>
    </row>
    <row r="6" spans="2:3" s="2" customFormat="1" ht="12.75">
      <c r="B6" s="2" t="s">
        <v>30</v>
      </c>
      <c r="C6" s="2" t="s">
        <v>43</v>
      </c>
    </row>
    <row r="7" spans="2:3" s="2" customFormat="1" ht="12.75">
      <c r="B7" s="2" t="s">
        <v>31</v>
      </c>
      <c r="C7" s="2" t="s">
        <v>43</v>
      </c>
    </row>
    <row r="8" spans="2:3" s="2" customFormat="1" ht="12.75">
      <c r="B8" s="2" t="s">
        <v>28</v>
      </c>
      <c r="C8" s="18">
        <v>34368</v>
      </c>
    </row>
    <row r="9" spans="2:3" s="2" customFormat="1" ht="12.75">
      <c r="B9" s="2" t="s">
        <v>120</v>
      </c>
      <c r="C9" s="28">
        <v>34365</v>
      </c>
    </row>
    <row r="10" spans="2:3" s="2" customFormat="1" ht="12.75">
      <c r="B10" s="2" t="s">
        <v>84</v>
      </c>
      <c r="C10" s="2" t="s">
        <v>59</v>
      </c>
    </row>
    <row r="11" spans="2:3" s="2" customFormat="1" ht="12.75">
      <c r="B11" s="2" t="s">
        <v>29</v>
      </c>
      <c r="C11" s="2" t="s">
        <v>60</v>
      </c>
    </row>
    <row r="12" s="2" customFormat="1" ht="12.75"/>
    <row r="13" s="2" customFormat="1" ht="12.75">
      <c r="B13" s="1" t="s">
        <v>63</v>
      </c>
    </row>
    <row r="14" s="2" customFormat="1" ht="12.75">
      <c r="B14" s="1"/>
    </row>
    <row r="15" spans="2:3" s="16" customFormat="1" ht="25.5">
      <c r="B15" s="16" t="s">
        <v>27</v>
      </c>
      <c r="C15" s="16" t="s">
        <v>51</v>
      </c>
    </row>
    <row r="16" spans="2:3" s="2" customFormat="1" ht="12.75">
      <c r="B16" s="2" t="s">
        <v>30</v>
      </c>
      <c r="C16" s="2" t="s">
        <v>43</v>
      </c>
    </row>
    <row r="17" spans="2:3" s="2" customFormat="1" ht="12.75">
      <c r="B17" s="2" t="s">
        <v>31</v>
      </c>
      <c r="C17" s="2" t="s">
        <v>43</v>
      </c>
    </row>
    <row r="18" spans="2:3" s="2" customFormat="1" ht="12.75">
      <c r="B18" s="2" t="s">
        <v>28</v>
      </c>
      <c r="C18" s="18">
        <v>34370</v>
      </c>
    </row>
    <row r="19" spans="2:3" s="2" customFormat="1" ht="12.75">
      <c r="B19" s="2" t="s">
        <v>120</v>
      </c>
      <c r="C19" s="28">
        <v>34365</v>
      </c>
    </row>
    <row r="20" spans="2:3" s="2" customFormat="1" ht="12.75">
      <c r="B20" s="2" t="s">
        <v>84</v>
      </c>
      <c r="C20" s="2" t="s">
        <v>58</v>
      </c>
    </row>
    <row r="21" spans="2:3" s="2" customFormat="1" ht="12.75">
      <c r="B21" s="2" t="s">
        <v>29</v>
      </c>
      <c r="C21" s="2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B1">
      <selection activeCell="M9" sqref="M9"/>
    </sheetView>
  </sheetViews>
  <sheetFormatPr defaultColWidth="9.140625" defaultRowHeight="12.75"/>
  <cols>
    <col min="1" max="1" width="1.57421875" style="2" hidden="1" customWidth="1"/>
    <col min="2" max="2" width="24.57421875" style="2" customWidth="1"/>
    <col min="3" max="3" width="13.140625" style="2" bestFit="1" customWidth="1"/>
    <col min="4" max="4" width="9.140625" style="2" customWidth="1"/>
    <col min="5" max="5" width="5.421875" style="2" customWidth="1"/>
    <col min="6" max="6" width="3.00390625" style="2" customWidth="1"/>
    <col min="7" max="7" width="8.421875" style="2" customWidth="1"/>
    <col min="8" max="8" width="3.140625" style="2" customWidth="1"/>
    <col min="9" max="9" width="8.8515625" style="2" customWidth="1"/>
    <col min="10" max="10" width="3.140625" style="2" customWidth="1"/>
    <col min="11" max="11" width="10.421875" style="2" customWidth="1"/>
    <col min="12" max="12" width="4.7109375" style="2" customWidth="1"/>
    <col min="13" max="13" width="10.28125" style="2" customWidth="1"/>
    <col min="14" max="14" width="2.7109375" style="2" customWidth="1"/>
    <col min="15" max="15" width="8.00390625" style="2" customWidth="1"/>
    <col min="16" max="16" width="2.8515625" style="2" customWidth="1"/>
    <col min="17" max="17" width="9.140625" style="2" customWidth="1"/>
    <col min="18" max="18" width="2.7109375" style="2" customWidth="1"/>
    <col min="19" max="19" width="7.8515625" style="2" customWidth="1"/>
    <col min="20" max="20" width="8.00390625" style="2" customWidth="1"/>
    <col min="21" max="16384" width="11.421875" style="2" customWidth="1"/>
  </cols>
  <sheetData>
    <row r="1" spans="2:3" ht="12.75">
      <c r="B1" s="1" t="s">
        <v>0</v>
      </c>
      <c r="C1" s="1"/>
    </row>
    <row r="2" ht="12" customHeight="1"/>
    <row r="3" spans="3:19" ht="12.75">
      <c r="C3" s="2" t="s">
        <v>98</v>
      </c>
      <c r="D3" s="2" t="s">
        <v>32</v>
      </c>
      <c r="E3" s="2" t="s">
        <v>80</v>
      </c>
      <c r="N3" s="3"/>
      <c r="O3" s="3"/>
      <c r="P3" s="3"/>
      <c r="Q3" s="3"/>
      <c r="R3" s="3"/>
      <c r="S3" s="3"/>
    </row>
    <row r="4" spans="7:19" ht="12.75">
      <c r="G4" s="3"/>
      <c r="H4" s="3"/>
      <c r="I4" s="3"/>
      <c r="J4" s="3"/>
      <c r="L4" s="3"/>
      <c r="O4" s="3"/>
      <c r="P4" s="3"/>
      <c r="Q4" s="3"/>
      <c r="R4" s="3"/>
      <c r="S4" s="3"/>
    </row>
    <row r="5" spans="7:19" ht="12.75">
      <c r="G5" s="3"/>
      <c r="H5" s="3"/>
      <c r="I5" s="3"/>
      <c r="J5" s="3"/>
      <c r="K5" s="3" t="s">
        <v>52</v>
      </c>
      <c r="L5" s="3"/>
      <c r="O5" s="3"/>
      <c r="P5" s="3"/>
      <c r="Q5" s="3"/>
      <c r="R5" s="3"/>
      <c r="S5" s="3"/>
    </row>
    <row r="6" spans="1:19" ht="12.75">
      <c r="A6" s="2">
        <v>1</v>
      </c>
      <c r="B6" s="1" t="s">
        <v>109</v>
      </c>
      <c r="C6" s="1"/>
      <c r="G6" s="3" t="s">
        <v>123</v>
      </c>
      <c r="H6" s="3"/>
      <c r="I6" s="3" t="s">
        <v>124</v>
      </c>
      <c r="J6" s="3"/>
      <c r="K6" s="3" t="s">
        <v>125</v>
      </c>
      <c r="L6" s="3"/>
      <c r="M6" s="3" t="s">
        <v>33</v>
      </c>
      <c r="O6" s="3"/>
      <c r="P6" s="3"/>
      <c r="Q6" s="3"/>
      <c r="R6" s="3"/>
      <c r="S6" s="3"/>
    </row>
    <row r="7" spans="2:12" ht="12.75">
      <c r="B7" s="1"/>
      <c r="C7" s="1"/>
      <c r="G7" s="3"/>
      <c r="H7" s="3"/>
      <c r="I7" s="3"/>
      <c r="J7" s="3"/>
      <c r="K7" s="3"/>
      <c r="L7" s="3"/>
    </row>
    <row r="8" spans="2:4" ht="12" customHeight="1">
      <c r="B8" s="2" t="s">
        <v>107</v>
      </c>
      <c r="C8" s="2" t="s">
        <v>99</v>
      </c>
      <c r="D8" s="2" t="s">
        <v>129</v>
      </c>
    </row>
    <row r="9" spans="2:13" ht="12.75">
      <c r="B9" s="2" t="s">
        <v>34</v>
      </c>
      <c r="D9" s="2" t="s">
        <v>15</v>
      </c>
      <c r="G9" s="2">
        <v>64847</v>
      </c>
      <c r="I9" s="2">
        <v>64729</v>
      </c>
      <c r="K9" s="2">
        <v>62786</v>
      </c>
      <c r="M9" s="9">
        <f>AVERAGE(K9,I9,G9)</f>
        <v>64120.666666666664</v>
      </c>
    </row>
    <row r="10" spans="2:13" ht="12.75">
      <c r="B10" s="2" t="s">
        <v>101</v>
      </c>
      <c r="D10" s="2" t="s">
        <v>16</v>
      </c>
      <c r="G10" s="2">
        <v>12.1</v>
      </c>
      <c r="I10" s="2">
        <v>11.3</v>
      </c>
      <c r="K10" s="2">
        <v>12.1</v>
      </c>
      <c r="M10" s="4">
        <f>AVERAGE(K10,I10,G10)</f>
        <v>11.833333333333334</v>
      </c>
    </row>
    <row r="11" spans="2:13" ht="12.75">
      <c r="B11" s="2" t="s">
        <v>102</v>
      </c>
      <c r="D11" s="2" t="s">
        <v>16</v>
      </c>
      <c r="G11" s="2">
        <v>10.61</v>
      </c>
      <c r="I11" s="2">
        <v>10.04</v>
      </c>
      <c r="K11" s="2">
        <v>9.85</v>
      </c>
      <c r="M11" s="4">
        <f>AVERAGE(K11,I11,G11)</f>
        <v>10.166666666666666</v>
      </c>
    </row>
    <row r="12" spans="2:13" ht="12.75">
      <c r="B12" s="2" t="s">
        <v>35</v>
      </c>
      <c r="D12" s="2" t="s">
        <v>17</v>
      </c>
      <c r="G12" s="2">
        <v>349</v>
      </c>
      <c r="I12" s="2">
        <v>351</v>
      </c>
      <c r="K12" s="2">
        <v>352</v>
      </c>
      <c r="M12" s="4">
        <f>AVERAGE(K12,I12,G12)</f>
        <v>350.6666666666667</v>
      </c>
    </row>
    <row r="13" ht="12" customHeight="1"/>
    <row r="14" spans="2:13" ht="12.75">
      <c r="B14" s="2" t="s">
        <v>3</v>
      </c>
      <c r="D14" s="2" t="s">
        <v>11</v>
      </c>
      <c r="E14" s="2" t="s">
        <v>42</v>
      </c>
      <c r="G14" s="2">
        <v>112</v>
      </c>
      <c r="I14" s="2">
        <v>110</v>
      </c>
      <c r="K14" s="2">
        <v>95.9</v>
      </c>
      <c r="M14" s="4">
        <f>AVERAGE(K14,I14,G14)</f>
        <v>105.96666666666665</v>
      </c>
    </row>
    <row r="15" spans="2:13" ht="12.75">
      <c r="B15" s="2" t="s">
        <v>4</v>
      </c>
      <c r="D15" s="2" t="s">
        <v>11</v>
      </c>
      <c r="E15" s="2" t="s">
        <v>42</v>
      </c>
      <c r="G15" s="2">
        <v>1.62</v>
      </c>
      <c r="I15" s="2">
        <v>1.94</v>
      </c>
      <c r="K15" s="2">
        <v>1.8</v>
      </c>
      <c r="M15" s="8">
        <f>AVERAGE(K15,I15,G15)</f>
        <v>1.7866666666666668</v>
      </c>
    </row>
    <row r="17" spans="2:15" ht="12.75">
      <c r="B17" s="2" t="s">
        <v>2</v>
      </c>
      <c r="C17" s="2" t="s">
        <v>129</v>
      </c>
      <c r="D17" s="2" t="s">
        <v>10</v>
      </c>
      <c r="E17" s="2" t="s">
        <v>36</v>
      </c>
      <c r="G17" s="11">
        <v>0.0375</v>
      </c>
      <c r="I17" s="2">
        <v>0.0149</v>
      </c>
      <c r="K17" s="11">
        <v>0.0291</v>
      </c>
      <c r="M17" s="2">
        <v>0.0263</v>
      </c>
      <c r="O17" s="11">
        <f>AVERAGE(K17,I17,G17)</f>
        <v>0.027166666666666662</v>
      </c>
    </row>
    <row r="18" spans="2:13" ht="12.75">
      <c r="B18" s="2" t="s">
        <v>104</v>
      </c>
      <c r="C18" s="2" t="s">
        <v>129</v>
      </c>
      <c r="D18" s="2" t="s">
        <v>11</v>
      </c>
      <c r="E18" s="2" t="s">
        <v>36</v>
      </c>
      <c r="G18" s="2">
        <v>45.3</v>
      </c>
      <c r="I18" s="2">
        <v>51.1</v>
      </c>
      <c r="K18" s="2">
        <v>46.1</v>
      </c>
      <c r="M18" s="4">
        <v>47.53</v>
      </c>
    </row>
    <row r="19" spans="2:13" ht="12.75">
      <c r="B19" s="2" t="s">
        <v>105</v>
      </c>
      <c r="C19" s="2" t="s">
        <v>129</v>
      </c>
      <c r="D19" s="2" t="s">
        <v>11</v>
      </c>
      <c r="E19" s="2" t="s">
        <v>36</v>
      </c>
      <c r="G19" s="2">
        <v>46.1</v>
      </c>
      <c r="I19" s="2">
        <v>51.4</v>
      </c>
      <c r="K19" s="2">
        <v>46.8</v>
      </c>
      <c r="M19" s="4">
        <v>48.1</v>
      </c>
    </row>
    <row r="20" spans="2:13" ht="12.75">
      <c r="B20" s="2" t="s">
        <v>3</v>
      </c>
      <c r="C20" s="2" t="s">
        <v>129</v>
      </c>
      <c r="D20" s="2" t="s">
        <v>11</v>
      </c>
      <c r="E20" s="2" t="s">
        <v>36</v>
      </c>
      <c r="G20" s="4">
        <f>G14*14/(21-G10)</f>
        <v>176.17977528089887</v>
      </c>
      <c r="H20" s="4"/>
      <c r="I20" s="4">
        <f>I14*14/(21-I10)</f>
        <v>158.76288659793815</v>
      </c>
      <c r="J20" s="4"/>
      <c r="K20" s="4">
        <f>K14*14/(21-K10)</f>
        <v>150.85393258426967</v>
      </c>
      <c r="L20" s="4"/>
      <c r="M20" s="4">
        <f>AVERAGE(K20,I20,G20)</f>
        <v>161.93219815436888</v>
      </c>
    </row>
    <row r="21" spans="2:13" ht="12.75">
      <c r="B21" s="2" t="s">
        <v>4</v>
      </c>
      <c r="C21" s="2" t="s">
        <v>129</v>
      </c>
      <c r="D21" s="2" t="s">
        <v>11</v>
      </c>
      <c r="E21" s="2" t="s">
        <v>36</v>
      </c>
      <c r="G21" s="4">
        <f>G15*14/(21-G10)</f>
        <v>2.548314606741573</v>
      </c>
      <c r="H21" s="4"/>
      <c r="I21" s="4">
        <f>I15*14/(21-I10)</f>
        <v>2.8000000000000003</v>
      </c>
      <c r="J21" s="4"/>
      <c r="K21" s="4">
        <f>K15*14/(21-K10)</f>
        <v>2.831460674157303</v>
      </c>
      <c r="L21" s="4"/>
      <c r="M21" s="4">
        <f>AVERAGE(K21,I21,G21)</f>
        <v>2.7265917602996255</v>
      </c>
    </row>
    <row r="22" spans="2:13" ht="12.75">
      <c r="B22" s="2" t="s">
        <v>103</v>
      </c>
      <c r="C22" s="2" t="s">
        <v>129</v>
      </c>
      <c r="D22" s="2" t="s">
        <v>11</v>
      </c>
      <c r="E22" s="2" t="s">
        <v>36</v>
      </c>
      <c r="G22" s="4">
        <f>G20+2*G21</f>
        <v>181.276404494382</v>
      </c>
      <c r="H22" s="4"/>
      <c r="I22" s="4">
        <f>I20+2*I21</f>
        <v>164.36288659793814</v>
      </c>
      <c r="J22" s="4"/>
      <c r="K22" s="4">
        <f>K20+2*K21</f>
        <v>156.51685393258427</v>
      </c>
      <c r="L22" s="4"/>
      <c r="M22" s="4">
        <f>M20+2*M21</f>
        <v>167.38538167496813</v>
      </c>
    </row>
    <row r="23" spans="7:13" ht="12.75">
      <c r="G23" s="8"/>
      <c r="H23" s="8"/>
      <c r="I23" s="8"/>
      <c r="J23" s="8"/>
      <c r="K23" s="8"/>
      <c r="L23" s="8"/>
      <c r="M23" s="8"/>
    </row>
    <row r="24" spans="2:13" ht="12.75">
      <c r="B24" s="2" t="s">
        <v>107</v>
      </c>
      <c r="C24" s="2" t="s">
        <v>100</v>
      </c>
      <c r="D24" s="2" t="s">
        <v>130</v>
      </c>
      <c r="M24" s="12"/>
    </row>
    <row r="25" spans="2:13" ht="12.75">
      <c r="B25" s="2" t="s">
        <v>34</v>
      </c>
      <c r="D25" s="2" t="s">
        <v>15</v>
      </c>
      <c r="G25" s="5">
        <v>65749</v>
      </c>
      <c r="I25" s="5">
        <v>67231</v>
      </c>
      <c r="K25" s="5">
        <v>68573</v>
      </c>
      <c r="M25" s="9">
        <f>AVERAGE(K25,I25,G25)</f>
        <v>67184.33333333333</v>
      </c>
    </row>
    <row r="26" spans="2:13" ht="12.75">
      <c r="B26" s="2" t="s">
        <v>101</v>
      </c>
      <c r="D26" s="2" t="s">
        <v>16</v>
      </c>
      <c r="G26" s="2">
        <v>12.1</v>
      </c>
      <c r="I26" s="2">
        <v>11.3</v>
      </c>
      <c r="K26" s="2">
        <v>12.1</v>
      </c>
      <c r="M26" s="4">
        <f>AVERAGE(K26,I26,G26)</f>
        <v>11.833333333333334</v>
      </c>
    </row>
    <row r="27" spans="2:13" ht="12.75">
      <c r="B27" s="2" t="s">
        <v>102</v>
      </c>
      <c r="D27" s="2" t="s">
        <v>16</v>
      </c>
      <c r="G27" s="2">
        <v>9.53</v>
      </c>
      <c r="I27" s="2">
        <v>9.85</v>
      </c>
      <c r="K27" s="2">
        <v>10.18</v>
      </c>
      <c r="M27" s="8">
        <f>AVERAGE(K27,I27,G27)</f>
        <v>9.853333333333333</v>
      </c>
    </row>
    <row r="28" spans="2:13" ht="12.75">
      <c r="B28" s="2" t="s">
        <v>35</v>
      </c>
      <c r="D28" s="2" t="s">
        <v>17</v>
      </c>
      <c r="G28" s="2">
        <v>354</v>
      </c>
      <c r="I28" s="2">
        <v>353</v>
      </c>
      <c r="K28" s="2">
        <v>355</v>
      </c>
      <c r="M28" s="9">
        <f>AVERAGE(K28,I28,G28)</f>
        <v>354</v>
      </c>
    </row>
    <row r="29" spans="2:13" ht="12.75">
      <c r="B29" s="2" t="s">
        <v>114</v>
      </c>
      <c r="D29" s="2" t="s">
        <v>115</v>
      </c>
      <c r="G29" s="2">
        <v>39.76</v>
      </c>
      <c r="I29" s="2">
        <v>40.48</v>
      </c>
      <c r="K29" s="2">
        <v>41.17</v>
      </c>
      <c r="M29" s="9"/>
    </row>
    <row r="30" ht="12.75">
      <c r="M30" s="9"/>
    </row>
    <row r="31" spans="2:13" ht="12.75">
      <c r="B31" s="2" t="s">
        <v>92</v>
      </c>
      <c r="D31" s="2" t="s">
        <v>12</v>
      </c>
      <c r="E31" s="2" t="s">
        <v>42</v>
      </c>
      <c r="G31" s="4">
        <f>0.00211*1000</f>
        <v>2.11</v>
      </c>
      <c r="H31" s="4"/>
      <c r="I31" s="24">
        <f>SUM(0.13,1.21,0.316,0.566,0.05/2)/I$29*35.3145</f>
        <v>1.9602688117588933</v>
      </c>
      <c r="J31" s="4"/>
      <c r="K31" s="4">
        <v>1.83</v>
      </c>
      <c r="M31" s="4"/>
    </row>
    <row r="32" spans="2:13" ht="12.75">
      <c r="B32" s="2" t="s">
        <v>93</v>
      </c>
      <c r="D32" s="2" t="s">
        <v>12</v>
      </c>
      <c r="E32" s="2" t="s">
        <v>42</v>
      </c>
      <c r="F32" s="23"/>
      <c r="G32" s="24">
        <f>102.6/G$29*35.3145</f>
        <v>91.12846327967807</v>
      </c>
      <c r="H32" s="23"/>
      <c r="I32" s="24">
        <f>123.67/I$29*35.3145</f>
        <v>107.88893811758895</v>
      </c>
      <c r="J32" s="23"/>
      <c r="K32" s="24">
        <f>123.2/K$29*35.3145</f>
        <v>105.67759047850377</v>
      </c>
      <c r="M32" s="4"/>
    </row>
    <row r="33" spans="2:13" ht="12.75">
      <c r="B33" s="2" t="s">
        <v>94</v>
      </c>
      <c r="D33" s="2" t="s">
        <v>12</v>
      </c>
      <c r="E33" s="2" t="s">
        <v>42</v>
      </c>
      <c r="F33" s="23"/>
      <c r="G33" s="25">
        <v>5.11</v>
      </c>
      <c r="H33" s="23"/>
      <c r="I33" s="24">
        <f>6.5/I$29*35.3145</f>
        <v>5.6705595355731235</v>
      </c>
      <c r="J33" s="23"/>
      <c r="K33" s="24">
        <f>5.79/K$29*35.3145</f>
        <v>4.966503643429681</v>
      </c>
      <c r="M33" s="4"/>
    </row>
    <row r="34" spans="2:13" ht="12.75">
      <c r="B34" s="2" t="s">
        <v>95</v>
      </c>
      <c r="D34" s="2" t="s">
        <v>12</v>
      </c>
      <c r="E34" s="2" t="s">
        <v>42</v>
      </c>
      <c r="F34" s="23" t="s">
        <v>71</v>
      </c>
      <c r="G34" s="25">
        <f>27.1</f>
        <v>27.1</v>
      </c>
      <c r="H34" s="23"/>
      <c r="I34" s="24">
        <f>27.76/I$29*35.3145</f>
        <v>24.217651185770755</v>
      </c>
      <c r="J34" s="23"/>
      <c r="K34" s="24">
        <f>30.61/K$29*35.3145</f>
        <v>26.256420816128248</v>
      </c>
      <c r="M34" s="4"/>
    </row>
    <row r="35" spans="2:13" ht="12.75">
      <c r="B35" s="2" t="s">
        <v>96</v>
      </c>
      <c r="D35" s="2" t="s">
        <v>12</v>
      </c>
      <c r="E35" s="2" t="s">
        <v>42</v>
      </c>
      <c r="F35" s="23"/>
      <c r="G35" s="24">
        <f>2.895/G$29*35.3145</f>
        <v>2.5713148264587526</v>
      </c>
      <c r="H35" s="23"/>
      <c r="I35" s="24">
        <f>3.545/I$29*35.3145</f>
        <v>3.092635931324111</v>
      </c>
      <c r="J35" s="23"/>
      <c r="K35" s="24">
        <f>4.28/K$29*35.3145</f>
        <v>3.671266941948021</v>
      </c>
      <c r="M35" s="4"/>
    </row>
    <row r="36" spans="2:13" ht="12.75">
      <c r="B36" s="2" t="s">
        <v>106</v>
      </c>
      <c r="D36" s="2" t="s">
        <v>12</v>
      </c>
      <c r="E36" s="2" t="s">
        <v>42</v>
      </c>
      <c r="F36" s="23"/>
      <c r="G36" s="25">
        <v>42.5</v>
      </c>
      <c r="H36" s="25"/>
      <c r="I36" s="25">
        <v>62.2</v>
      </c>
      <c r="J36" s="25"/>
      <c r="K36" s="25">
        <v>80.4</v>
      </c>
      <c r="L36" s="8"/>
      <c r="M36" s="4"/>
    </row>
    <row r="37" spans="2:13" ht="12.75">
      <c r="B37" s="2" t="s">
        <v>97</v>
      </c>
      <c r="D37" s="2" t="s">
        <v>12</v>
      </c>
      <c r="E37" s="2" t="s">
        <v>42</v>
      </c>
      <c r="F37" s="23"/>
      <c r="G37" s="24">
        <f>49.3/G$29*35.3145</f>
        <v>43.78784834004025</v>
      </c>
      <c r="H37" s="23"/>
      <c r="I37" s="24">
        <f>75.3/I$29*35.3145</f>
        <v>65.69125123517787</v>
      </c>
      <c r="J37" s="23"/>
      <c r="K37" s="24">
        <f>70.125/K$29*35.3145</f>
        <v>60.15130708039835</v>
      </c>
      <c r="L37" s="12"/>
      <c r="M37" s="4"/>
    </row>
    <row r="38" spans="6:13" ht="12.75">
      <c r="F38" s="23"/>
      <c r="G38" s="25"/>
      <c r="H38" s="25"/>
      <c r="I38" s="25"/>
      <c r="J38" s="25"/>
      <c r="K38" s="25"/>
      <c r="L38" s="9"/>
      <c r="M38" s="4"/>
    </row>
    <row r="39" spans="2:13" ht="12.75">
      <c r="B39" s="2" t="s">
        <v>92</v>
      </c>
      <c r="C39" s="2" t="s">
        <v>130</v>
      </c>
      <c r="D39" s="2" t="s">
        <v>12</v>
      </c>
      <c r="E39" s="2" t="s">
        <v>36</v>
      </c>
      <c r="F39" s="23"/>
      <c r="G39" s="25">
        <f aca="true" t="shared" si="0" ref="G39:G44">G31*14/(21-$G$26)</f>
        <v>3.3191011235955052</v>
      </c>
      <c r="H39" s="25"/>
      <c r="I39" s="24">
        <f>SUM(0.13,1.21,0.316,0.566,0.05/2)/I$29*35.3145*(21-7)/(21-I$26)</f>
        <v>2.8292539551159286</v>
      </c>
      <c r="J39" s="25"/>
      <c r="K39" s="25">
        <f>K31*14/(21-$K$26)</f>
        <v>2.878651685393258</v>
      </c>
      <c r="M39" s="4">
        <f>AVERAGE(G39,I39,K39)</f>
        <v>3.009002254701564</v>
      </c>
    </row>
    <row r="40" spans="2:13" ht="12.75">
      <c r="B40" s="2" t="s">
        <v>93</v>
      </c>
      <c r="C40" s="2" t="s">
        <v>130</v>
      </c>
      <c r="D40" s="2" t="s">
        <v>12</v>
      </c>
      <c r="E40" s="2" t="s">
        <v>36</v>
      </c>
      <c r="F40" s="23"/>
      <c r="G40" s="24">
        <f>102.6/G$29*35.3145*(21-7)/(21-G$26)</f>
        <v>143.34814448488686</v>
      </c>
      <c r="H40" s="23"/>
      <c r="I40" s="24">
        <f>123.67/I$29*35.3145*(21-7)/(21-I$26)</f>
        <v>155.71599315940674</v>
      </c>
      <c r="J40" s="23"/>
      <c r="K40" s="24">
        <f>123.2/K$29*35.3145*(21-7)/(21-K$26)</f>
        <v>166.2344119886576</v>
      </c>
      <c r="M40" s="4">
        <f aca="true" t="shared" si="1" ref="M40:M45">AVERAGE(G40,I40,K40)</f>
        <v>155.09951654431708</v>
      </c>
    </row>
    <row r="41" spans="2:13" ht="12.75">
      <c r="B41" s="2" t="s">
        <v>94</v>
      </c>
      <c r="C41" s="2" t="s">
        <v>130</v>
      </c>
      <c r="D41" s="2" t="s">
        <v>12</v>
      </c>
      <c r="E41" s="2" t="s">
        <v>36</v>
      </c>
      <c r="F41" s="23"/>
      <c r="G41" s="25">
        <f t="shared" si="0"/>
        <v>8.03820224719101</v>
      </c>
      <c r="H41" s="23"/>
      <c r="I41" s="24">
        <f>6.5/I$29*35.3145*(21-7)/(21-I$26)</f>
        <v>8.184312731755023</v>
      </c>
      <c r="J41" s="23"/>
      <c r="K41" s="24">
        <f>5.79/K$29*35.3145*(21-7)/(21-K$26)</f>
        <v>7.8124776413500605</v>
      </c>
      <c r="M41" s="4">
        <f t="shared" si="1"/>
        <v>8.011664206765365</v>
      </c>
    </row>
    <row r="42" spans="2:13" ht="12.75">
      <c r="B42" s="2" t="s">
        <v>95</v>
      </c>
      <c r="C42" s="2" t="s">
        <v>130</v>
      </c>
      <c r="D42" s="2" t="s">
        <v>12</v>
      </c>
      <c r="E42" s="2" t="s">
        <v>36</v>
      </c>
      <c r="F42" s="23" t="s">
        <v>71</v>
      </c>
      <c r="G42" s="25">
        <f t="shared" si="0"/>
        <v>42.62921348314607</v>
      </c>
      <c r="H42" s="23"/>
      <c r="I42" s="24">
        <f>27.76/I$29*35.3145*(21-7)/(21-I$26)</f>
        <v>34.95331098977223</v>
      </c>
      <c r="J42" s="23"/>
      <c r="K42" s="24">
        <f>30.61/K$29*35.3145*(21-7)/(21-K$26)</f>
        <v>41.30223499166241</v>
      </c>
      <c r="L42" s="9">
        <f>G42/3/M42*100</f>
        <v>35.85759324839832</v>
      </c>
      <c r="M42" s="4">
        <f t="shared" si="1"/>
        <v>39.62825315486023</v>
      </c>
    </row>
    <row r="43" spans="2:13" ht="12.75">
      <c r="B43" s="2" t="s">
        <v>96</v>
      </c>
      <c r="C43" s="2" t="s">
        <v>130</v>
      </c>
      <c r="D43" s="2" t="s">
        <v>12</v>
      </c>
      <c r="E43" s="2" t="s">
        <v>36</v>
      </c>
      <c r="F43" s="23"/>
      <c r="G43" s="24">
        <f>2.895/G$29*35.3145*(21-7)/(21-G$26)</f>
        <v>4.044764895553094</v>
      </c>
      <c r="H43" s="23"/>
      <c r="I43" s="24">
        <f>3.545/I$29*35.3145*(21-7)/(21-I$26)</f>
        <v>4.4635982513956245</v>
      </c>
      <c r="J43" s="23"/>
      <c r="K43" s="24">
        <f>4.28/K$29*35.3145*(21-7)/(21-K$26)</f>
        <v>5.775026650255314</v>
      </c>
      <c r="M43" s="4">
        <f t="shared" si="1"/>
        <v>4.761129932401343</v>
      </c>
    </row>
    <row r="44" spans="2:13" ht="12.75">
      <c r="B44" s="2" t="s">
        <v>106</v>
      </c>
      <c r="C44" s="2" t="s">
        <v>130</v>
      </c>
      <c r="D44" s="2" t="s">
        <v>12</v>
      </c>
      <c r="E44" s="2" t="s">
        <v>36</v>
      </c>
      <c r="F44" s="23"/>
      <c r="G44" s="25">
        <f t="shared" si="0"/>
        <v>66.85393258426966</v>
      </c>
      <c r="H44" s="25"/>
      <c r="I44" s="25">
        <f>I36*14/(21-$I$26)</f>
        <v>89.77319587628867</v>
      </c>
      <c r="J44" s="25"/>
      <c r="K44" s="25">
        <f>K36*14/(21-$K$26)</f>
        <v>126.47191011235957</v>
      </c>
      <c r="M44" s="4">
        <f t="shared" si="1"/>
        <v>94.36634619097264</v>
      </c>
    </row>
    <row r="45" spans="2:13" ht="12.75">
      <c r="B45" s="2" t="s">
        <v>97</v>
      </c>
      <c r="C45" s="2" t="s">
        <v>130</v>
      </c>
      <c r="D45" s="2" t="s">
        <v>12</v>
      </c>
      <c r="E45" s="2" t="s">
        <v>36</v>
      </c>
      <c r="F45" s="23"/>
      <c r="G45" s="24">
        <f>49.3/G$29*35.3145*(21-7)/(21-G$26)</f>
        <v>68.87976143377118</v>
      </c>
      <c r="H45" s="23"/>
      <c r="I45" s="24">
        <f>75.3/I$29*35.3145*(21-7)/(21-I$26)</f>
        <v>94.8121151847928</v>
      </c>
      <c r="J45" s="23"/>
      <c r="K45" s="24">
        <f>70.125/K$29*35.3145*(21-7)/(21-K$26)</f>
        <v>94.62003360961538</v>
      </c>
      <c r="M45" s="4">
        <f t="shared" si="1"/>
        <v>86.1039700760598</v>
      </c>
    </row>
    <row r="47" spans="2:13" ht="12.75">
      <c r="B47" s="2" t="s">
        <v>5</v>
      </c>
      <c r="C47" s="2" t="s">
        <v>130</v>
      </c>
      <c r="D47" s="2" t="s">
        <v>12</v>
      </c>
      <c r="E47" s="2" t="s">
        <v>36</v>
      </c>
      <c r="G47" s="8">
        <f>SUM(G40,G41)</f>
        <v>151.38634673207787</v>
      </c>
      <c r="H47" s="8"/>
      <c r="I47" s="8">
        <f>SUM(I40,I41)</f>
        <v>163.90030589116176</v>
      </c>
      <c r="J47" s="8"/>
      <c r="K47" s="8">
        <f>SUM(K40,K41)</f>
        <v>174.04688963000766</v>
      </c>
      <c r="M47" s="4">
        <f>AVERAGE(G47,I47,K47)</f>
        <v>163.11118075108243</v>
      </c>
    </row>
    <row r="48" spans="2:13" ht="12.75">
      <c r="B48" s="2" t="s">
        <v>6</v>
      </c>
      <c r="C48" s="2" t="s">
        <v>130</v>
      </c>
      <c r="D48" s="2" t="s">
        <v>12</v>
      </c>
      <c r="E48" s="2" t="s">
        <v>36</v>
      </c>
      <c r="F48" s="2">
        <f>G42/G48*100</f>
        <v>37.54954453187385</v>
      </c>
      <c r="G48" s="8">
        <f>SUM(G42,G43,G44)</f>
        <v>113.52791096296882</v>
      </c>
      <c r="H48" s="8"/>
      <c r="I48" s="8">
        <f>SUM(I42,I43,I44)</f>
        <v>129.1901051174565</v>
      </c>
      <c r="J48" s="8"/>
      <c r="K48" s="8">
        <f>SUM(K42,K43,K44)</f>
        <v>173.5491717542773</v>
      </c>
      <c r="L48" s="9">
        <f>(F48*G48)/(3*M48)</f>
        <v>10.240829623129914</v>
      </c>
      <c r="M48" s="4">
        <f>AVERAGE(G48,I48,K48)</f>
        <v>138.7557292782342</v>
      </c>
    </row>
    <row r="50" spans="1:13" ht="12.75">
      <c r="A50" s="2">
        <v>2</v>
      </c>
      <c r="B50" s="1" t="s">
        <v>63</v>
      </c>
      <c r="C50" s="1"/>
      <c r="G50" s="3" t="s">
        <v>123</v>
      </c>
      <c r="H50" s="3"/>
      <c r="I50" s="3" t="s">
        <v>124</v>
      </c>
      <c r="J50" s="3"/>
      <c r="K50" s="3" t="s">
        <v>125</v>
      </c>
      <c r="L50" s="3"/>
      <c r="M50" s="3" t="s">
        <v>33</v>
      </c>
    </row>
    <row r="51" ht="12.75">
      <c r="M51" s="9"/>
    </row>
    <row r="52" spans="2:13" ht="12.75">
      <c r="B52" s="2" t="s">
        <v>105</v>
      </c>
      <c r="C52" s="2" t="s">
        <v>129</v>
      </c>
      <c r="D52" s="2" t="s">
        <v>11</v>
      </c>
      <c r="E52" s="2" t="s">
        <v>36</v>
      </c>
      <c r="G52" s="2">
        <v>87.3</v>
      </c>
      <c r="I52" s="2">
        <v>86.9</v>
      </c>
      <c r="K52" s="2">
        <v>88.2</v>
      </c>
      <c r="M52" s="4">
        <f>AVERAGE(K52,I52,G52)</f>
        <v>87.46666666666668</v>
      </c>
    </row>
    <row r="53" spans="2:13" ht="12.75">
      <c r="B53" s="2" t="s">
        <v>104</v>
      </c>
      <c r="C53" s="2" t="s">
        <v>129</v>
      </c>
      <c r="D53" s="2" t="s">
        <v>11</v>
      </c>
      <c r="E53" s="2" t="s">
        <v>36</v>
      </c>
      <c r="G53" s="2">
        <v>86.9</v>
      </c>
      <c r="I53" s="4">
        <v>86.05</v>
      </c>
      <c r="J53" s="4"/>
      <c r="K53" s="4">
        <v>85.79</v>
      </c>
      <c r="M53" s="4">
        <f>AVERAGE(K53,I53,G53)</f>
        <v>86.24666666666667</v>
      </c>
    </row>
    <row r="54" spans="7:13" ht="12.75">
      <c r="G54" s="8"/>
      <c r="H54" s="8"/>
      <c r="I54" s="8"/>
      <c r="J54" s="8"/>
      <c r="K54" s="8"/>
      <c r="L54" s="8"/>
      <c r="M54" s="8"/>
    </row>
    <row r="55" spans="7:13" ht="12.75">
      <c r="G55" s="8"/>
      <c r="H55" s="8"/>
      <c r="I55" s="8"/>
      <c r="J55" s="8"/>
      <c r="K55" s="8"/>
      <c r="L55" s="12"/>
      <c r="M55" s="12"/>
    </row>
    <row r="56" spans="7:13" ht="12.75">
      <c r="G56" s="8"/>
      <c r="H56" s="8"/>
      <c r="I56" s="8"/>
      <c r="J56" s="8"/>
      <c r="K56" s="8"/>
      <c r="L56" s="8"/>
      <c r="M56" s="8"/>
    </row>
    <row r="60" ht="12.75">
      <c r="M60" s="9"/>
    </row>
    <row r="63" spans="7:13" ht="12.75">
      <c r="G63" s="8"/>
      <c r="H63" s="8"/>
      <c r="I63" s="8"/>
      <c r="J63" s="8"/>
      <c r="K63" s="8"/>
      <c r="L63" s="8"/>
      <c r="M63" s="8"/>
    </row>
    <row r="70" spans="7:13" ht="12.75">
      <c r="G70" s="8"/>
      <c r="H70" s="8"/>
      <c r="I70" s="8"/>
      <c r="J70" s="8"/>
      <c r="K70" s="8"/>
      <c r="L70" s="12"/>
      <c r="M70" s="4"/>
    </row>
    <row r="73" ht="12.75">
      <c r="M73" s="13"/>
    </row>
    <row r="74" ht="12.75">
      <c r="M74" s="14"/>
    </row>
    <row r="75" ht="12.75">
      <c r="M75" s="13"/>
    </row>
    <row r="76" ht="12.75">
      <c r="M76" s="4"/>
    </row>
    <row r="77" ht="12.75">
      <c r="M77" s="12"/>
    </row>
    <row r="78" ht="12.75">
      <c r="M78" s="4"/>
    </row>
    <row r="79" ht="12.75">
      <c r="M79" s="4"/>
    </row>
    <row r="81" ht="12.75">
      <c r="M81" s="4"/>
    </row>
    <row r="82" ht="12.75">
      <c r="M82" s="4"/>
    </row>
    <row r="85" ht="12.75"/>
    <row r="86" ht="12.75"/>
    <row r="87" ht="12.75"/>
    <row r="88" ht="12.75"/>
    <row r="89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3"/>
  <sheetViews>
    <sheetView zoomScale="75" zoomScaleNormal="75" workbookViewId="0" topLeftCell="B1">
      <selection activeCell="M16" sqref="M16"/>
    </sheetView>
  </sheetViews>
  <sheetFormatPr defaultColWidth="9.140625" defaultRowHeight="12.75"/>
  <cols>
    <col min="1" max="1" width="9.7109375" style="2" hidden="1" customWidth="1"/>
    <col min="2" max="2" width="17.421875" style="2" customWidth="1"/>
    <col min="3" max="4" width="8.8515625" style="2" customWidth="1"/>
    <col min="5" max="5" width="2.28125" style="2" customWidth="1"/>
    <col min="6" max="6" width="9.00390625" style="2" customWidth="1"/>
    <col min="7" max="7" width="2.28125" style="2" customWidth="1"/>
    <col min="8" max="8" width="8.57421875" style="2" customWidth="1"/>
    <col min="9" max="9" width="2.28125" style="2" customWidth="1"/>
    <col min="10" max="10" width="9.8515625" style="2" customWidth="1"/>
    <col min="11" max="11" width="2.28125" style="2" customWidth="1"/>
    <col min="12" max="12" width="9.8515625" style="26" customWidth="1"/>
    <col min="13" max="13" width="4.57421875" style="2" customWidth="1"/>
    <col min="14" max="14" width="11.00390625" style="2" customWidth="1"/>
    <col min="15" max="15" width="4.7109375" style="2" customWidth="1"/>
    <col min="16" max="16" width="9.00390625" style="2" customWidth="1"/>
    <col min="17" max="17" width="4.28125" style="2" customWidth="1"/>
    <col min="18" max="18" width="11.140625" style="2" customWidth="1"/>
    <col min="19" max="19" width="4.140625" style="2" customWidth="1"/>
    <col min="20" max="20" width="10.28125" style="2" customWidth="1"/>
    <col min="21" max="21" width="4.421875" style="2" customWidth="1"/>
    <col min="22" max="22" width="10.7109375" style="2" customWidth="1"/>
    <col min="23" max="23" width="4.57421875" style="2" customWidth="1"/>
    <col min="24" max="24" width="9.57421875" style="2" customWidth="1"/>
    <col min="25" max="25" width="4.28125" style="2" customWidth="1"/>
    <col min="26" max="26" width="12.00390625" style="2" customWidth="1"/>
    <col min="27" max="27" width="4.57421875" style="2" customWidth="1"/>
    <col min="28" max="28" width="11.00390625" style="2" customWidth="1"/>
    <col min="29" max="29" width="4.140625" style="2" customWidth="1"/>
    <col min="30" max="30" width="9.7109375" style="2" customWidth="1"/>
    <col min="31" max="31" width="4.421875" style="2" customWidth="1"/>
    <col min="32" max="32" width="11.421875" style="2" customWidth="1"/>
    <col min="33" max="33" width="4.8515625" style="2" customWidth="1"/>
    <col min="34" max="34" width="11.421875" style="2" customWidth="1"/>
    <col min="35" max="35" width="5.00390625" style="2" customWidth="1"/>
    <col min="36" max="16384" width="11.421875" style="2" customWidth="1"/>
  </cols>
  <sheetData>
    <row r="1" spans="2:3" ht="12.75">
      <c r="B1" s="1" t="s">
        <v>66</v>
      </c>
      <c r="C1" s="1"/>
    </row>
    <row r="2" ht="12.75" customHeight="1"/>
    <row r="4" spans="28:29" ht="12.75">
      <c r="AB4" s="3"/>
      <c r="AC4" s="3"/>
    </row>
    <row r="5" spans="1:36" ht="12.75">
      <c r="A5" s="2" t="s">
        <v>110</v>
      </c>
      <c r="B5" s="1" t="s">
        <v>109</v>
      </c>
      <c r="C5" s="1"/>
      <c r="F5" s="3" t="s">
        <v>123</v>
      </c>
      <c r="G5" s="3"/>
      <c r="H5" s="3" t="s">
        <v>124</v>
      </c>
      <c r="I5" s="3"/>
      <c r="J5" s="3" t="s">
        <v>125</v>
      </c>
      <c r="K5" s="3"/>
      <c r="L5" s="39" t="s">
        <v>33</v>
      </c>
      <c r="M5" s="3"/>
      <c r="N5" s="3" t="s">
        <v>123</v>
      </c>
      <c r="O5" s="3"/>
      <c r="P5" s="3" t="s">
        <v>124</v>
      </c>
      <c r="Q5" s="3"/>
      <c r="R5" s="3" t="s">
        <v>125</v>
      </c>
      <c r="S5" s="3"/>
      <c r="T5" s="39" t="s">
        <v>33</v>
      </c>
      <c r="U5" s="3"/>
      <c r="V5" s="3" t="s">
        <v>123</v>
      </c>
      <c r="W5" s="3"/>
      <c r="X5" s="3" t="s">
        <v>124</v>
      </c>
      <c r="Y5" s="3"/>
      <c r="Z5" s="3" t="s">
        <v>125</v>
      </c>
      <c r="AA5" s="3"/>
      <c r="AB5" s="39" t="s">
        <v>33</v>
      </c>
      <c r="AC5" s="3"/>
      <c r="AD5" s="3" t="s">
        <v>123</v>
      </c>
      <c r="AE5" s="3"/>
      <c r="AF5" s="3" t="s">
        <v>124</v>
      </c>
      <c r="AG5" s="3"/>
      <c r="AH5" s="3" t="s">
        <v>125</v>
      </c>
      <c r="AI5" s="3"/>
      <c r="AJ5" s="39" t="s">
        <v>33</v>
      </c>
    </row>
    <row r="6" spans="2:36" ht="12.75">
      <c r="B6" s="1"/>
      <c r="C6" s="1"/>
      <c r="F6" s="3"/>
      <c r="G6" s="3"/>
      <c r="H6" s="3"/>
      <c r="I6" s="3"/>
      <c r="J6" s="3"/>
      <c r="K6" s="3"/>
      <c r="L6" s="39"/>
      <c r="M6" s="3"/>
      <c r="N6" s="3"/>
      <c r="O6" s="3"/>
      <c r="P6" s="3"/>
      <c r="Q6" s="3"/>
      <c r="R6" s="3"/>
      <c r="S6" s="3"/>
      <c r="T6" s="39"/>
      <c r="U6" s="3"/>
      <c r="V6" s="3"/>
      <c r="W6" s="3"/>
      <c r="X6" s="3"/>
      <c r="Y6" s="3"/>
      <c r="Z6" s="3"/>
      <c r="AA6" s="3"/>
      <c r="AB6" s="39"/>
      <c r="AC6" s="3"/>
      <c r="AD6" s="3"/>
      <c r="AE6" s="3"/>
      <c r="AF6" s="3"/>
      <c r="AG6" s="3"/>
      <c r="AH6" s="3"/>
      <c r="AI6" s="3"/>
      <c r="AJ6" s="39"/>
    </row>
    <row r="7" spans="2:36" ht="12.75">
      <c r="B7" s="38" t="s">
        <v>126</v>
      </c>
      <c r="C7" s="1"/>
      <c r="F7" s="3" t="s">
        <v>142</v>
      </c>
      <c r="G7" s="3"/>
      <c r="H7" s="3" t="s">
        <v>142</v>
      </c>
      <c r="I7" s="3"/>
      <c r="J7" s="3" t="s">
        <v>142</v>
      </c>
      <c r="K7" s="3"/>
      <c r="L7" s="39" t="s">
        <v>142</v>
      </c>
      <c r="M7" s="3"/>
      <c r="N7" s="3" t="s">
        <v>143</v>
      </c>
      <c r="O7" s="3"/>
      <c r="P7" s="3" t="s">
        <v>143</v>
      </c>
      <c r="Q7" s="3"/>
      <c r="R7" s="3" t="s">
        <v>143</v>
      </c>
      <c r="S7" s="3"/>
      <c r="T7" s="39" t="s">
        <v>143</v>
      </c>
      <c r="U7" s="3"/>
      <c r="V7" s="3" t="s">
        <v>144</v>
      </c>
      <c r="W7" s="3"/>
      <c r="X7" s="3" t="s">
        <v>144</v>
      </c>
      <c r="Y7" s="3"/>
      <c r="Z7" s="3" t="s">
        <v>144</v>
      </c>
      <c r="AA7" s="3"/>
      <c r="AB7" s="39" t="s">
        <v>144</v>
      </c>
      <c r="AC7" s="3"/>
      <c r="AD7" s="3" t="s">
        <v>145</v>
      </c>
      <c r="AE7" s="3"/>
      <c r="AF7" s="3" t="s">
        <v>145</v>
      </c>
      <c r="AG7" s="3"/>
      <c r="AH7" s="3" t="s">
        <v>145</v>
      </c>
      <c r="AI7" s="3"/>
      <c r="AJ7" s="39" t="s">
        <v>145</v>
      </c>
    </row>
    <row r="8" spans="2:36" ht="12.75">
      <c r="B8" s="38" t="s">
        <v>127</v>
      </c>
      <c r="F8" s="10" t="s">
        <v>13</v>
      </c>
      <c r="H8" s="10" t="s">
        <v>13</v>
      </c>
      <c r="J8" s="10" t="s">
        <v>13</v>
      </c>
      <c r="L8" s="27" t="s">
        <v>13</v>
      </c>
      <c r="M8" s="10"/>
      <c r="N8" s="10" t="s">
        <v>67</v>
      </c>
      <c r="O8" s="10"/>
      <c r="P8" s="10" t="s">
        <v>67</v>
      </c>
      <c r="Q8" s="10"/>
      <c r="R8" s="10" t="s">
        <v>67</v>
      </c>
      <c r="S8" s="10"/>
      <c r="T8" s="10" t="s">
        <v>67</v>
      </c>
      <c r="U8" s="10"/>
      <c r="V8" s="10" t="s">
        <v>128</v>
      </c>
      <c r="W8" s="10"/>
      <c r="X8" s="10" t="s">
        <v>128</v>
      </c>
      <c r="Y8" s="10"/>
      <c r="Z8" s="10" t="s">
        <v>128</v>
      </c>
      <c r="AA8" s="10"/>
      <c r="AB8" s="10" t="s">
        <v>128</v>
      </c>
      <c r="AC8" s="10"/>
      <c r="AD8" s="10" t="s">
        <v>72</v>
      </c>
      <c r="AE8" s="10"/>
      <c r="AF8" s="10" t="s">
        <v>72</v>
      </c>
      <c r="AH8" s="10" t="s">
        <v>72</v>
      </c>
      <c r="AJ8" s="10" t="s">
        <v>72</v>
      </c>
    </row>
    <row r="9" spans="2:36" ht="12.75">
      <c r="B9" s="38" t="s">
        <v>147</v>
      </c>
      <c r="F9" s="10" t="s">
        <v>13</v>
      </c>
      <c r="H9" s="10" t="s">
        <v>13</v>
      </c>
      <c r="J9" s="10" t="s">
        <v>13</v>
      </c>
      <c r="L9" s="27" t="s">
        <v>13</v>
      </c>
      <c r="M9" s="10"/>
      <c r="N9" s="10" t="s">
        <v>67</v>
      </c>
      <c r="O9" s="10"/>
      <c r="P9" s="10" t="s">
        <v>67</v>
      </c>
      <c r="Q9" s="10"/>
      <c r="R9" s="10" t="s">
        <v>67</v>
      </c>
      <c r="S9" s="10"/>
      <c r="T9" s="10" t="s">
        <v>67</v>
      </c>
      <c r="U9" s="10"/>
      <c r="V9" s="10" t="s">
        <v>1</v>
      </c>
      <c r="W9" s="10"/>
      <c r="X9" s="10" t="s">
        <v>1</v>
      </c>
      <c r="Y9" s="10"/>
      <c r="Z9" s="10" t="s">
        <v>1</v>
      </c>
      <c r="AA9" s="10"/>
      <c r="AB9" s="10" t="s">
        <v>1</v>
      </c>
      <c r="AC9" s="10"/>
      <c r="AD9" s="10" t="s">
        <v>72</v>
      </c>
      <c r="AE9" s="10"/>
      <c r="AF9" s="10" t="s">
        <v>72</v>
      </c>
      <c r="AH9" s="10" t="s">
        <v>72</v>
      </c>
      <c r="AJ9" s="10" t="s">
        <v>72</v>
      </c>
    </row>
    <row r="10" spans="2:36" ht="12.75">
      <c r="B10" s="2" t="s">
        <v>113</v>
      </c>
      <c r="F10" s="10" t="s">
        <v>13</v>
      </c>
      <c r="H10" s="10" t="s">
        <v>13</v>
      </c>
      <c r="J10" s="10" t="s">
        <v>13</v>
      </c>
      <c r="L10" s="27" t="s">
        <v>13</v>
      </c>
      <c r="M10" s="10"/>
      <c r="N10" s="10" t="s">
        <v>67</v>
      </c>
      <c r="O10" s="10"/>
      <c r="P10" s="10" t="s">
        <v>67</v>
      </c>
      <c r="Q10" s="10"/>
      <c r="R10" s="10" t="s">
        <v>67</v>
      </c>
      <c r="S10" s="10"/>
      <c r="T10" s="10" t="s">
        <v>67</v>
      </c>
      <c r="U10" s="10"/>
      <c r="V10" s="10" t="s">
        <v>55</v>
      </c>
      <c r="W10" s="10"/>
      <c r="X10" s="10" t="s">
        <v>55</v>
      </c>
      <c r="Y10" s="10"/>
      <c r="Z10" s="10" t="s">
        <v>55</v>
      </c>
      <c r="AA10" s="10"/>
      <c r="AB10" s="10" t="s">
        <v>55</v>
      </c>
      <c r="AC10" s="10"/>
      <c r="AD10" s="10" t="s">
        <v>72</v>
      </c>
      <c r="AE10" s="10"/>
      <c r="AF10" s="10" t="s">
        <v>72</v>
      </c>
      <c r="AH10" s="10" t="s">
        <v>72</v>
      </c>
      <c r="AJ10" s="10" t="s">
        <v>72</v>
      </c>
    </row>
    <row r="11" spans="2:28" ht="12.75">
      <c r="B11" s="2" t="s">
        <v>112</v>
      </c>
      <c r="D11" s="2" t="s">
        <v>70</v>
      </c>
      <c r="F11" s="2">
        <v>62.8</v>
      </c>
      <c r="H11" s="2">
        <v>61.6</v>
      </c>
      <c r="J11" s="2">
        <v>60</v>
      </c>
      <c r="L11" s="30">
        <f>AVERAGE(J11,H11,F11)</f>
        <v>61.46666666666666</v>
      </c>
      <c r="M11" s="20"/>
      <c r="N11" s="20">
        <v>12956</v>
      </c>
      <c r="O11" s="20"/>
      <c r="P11" s="20">
        <v>12850</v>
      </c>
      <c r="Q11" s="20"/>
      <c r="R11" s="20">
        <v>12970</v>
      </c>
      <c r="S11" s="20"/>
      <c r="T11" s="2">
        <v>12870</v>
      </c>
      <c r="V11" s="2">
        <v>9131</v>
      </c>
      <c r="X11" s="2">
        <v>9129</v>
      </c>
      <c r="Z11" s="2">
        <v>9163</v>
      </c>
      <c r="AB11" s="2">
        <v>9084</v>
      </c>
    </row>
    <row r="12" spans="2:28" ht="12.75">
      <c r="B12" s="2" t="s">
        <v>148</v>
      </c>
      <c r="D12" s="2" t="s">
        <v>37</v>
      </c>
      <c r="F12" s="20">
        <v>13202</v>
      </c>
      <c r="H12" s="20">
        <v>13202</v>
      </c>
      <c r="J12" s="20">
        <v>13202</v>
      </c>
      <c r="L12" s="20">
        <v>13202</v>
      </c>
      <c r="M12" s="20"/>
      <c r="N12" s="20">
        <v>13202</v>
      </c>
      <c r="O12" s="20"/>
      <c r="P12" s="20">
        <v>13437</v>
      </c>
      <c r="Q12" s="20"/>
      <c r="R12" s="20">
        <v>13388</v>
      </c>
      <c r="S12" s="20"/>
      <c r="T12" s="2">
        <v>13342</v>
      </c>
      <c r="V12" s="2">
        <v>1150</v>
      </c>
      <c r="X12" s="2">
        <v>1007</v>
      </c>
      <c r="Z12" s="2">
        <v>1118</v>
      </c>
      <c r="AB12" s="2">
        <v>1092</v>
      </c>
    </row>
    <row r="13" spans="2:28" ht="12.75">
      <c r="B13" s="2" t="s">
        <v>8</v>
      </c>
      <c r="D13" s="2" t="s">
        <v>70</v>
      </c>
      <c r="L13" s="31"/>
      <c r="M13" s="20"/>
      <c r="N13" s="20">
        <v>1103</v>
      </c>
      <c r="O13" s="20"/>
      <c r="P13" s="20">
        <v>1023</v>
      </c>
      <c r="Q13" s="20"/>
      <c r="R13" s="20">
        <v>1055</v>
      </c>
      <c r="S13" s="20"/>
      <c r="T13" s="2">
        <v>1060</v>
      </c>
      <c r="V13" s="2">
        <v>85</v>
      </c>
      <c r="X13" s="2">
        <v>153.7</v>
      </c>
      <c r="Z13" s="2">
        <v>100.2</v>
      </c>
      <c r="AB13" s="2">
        <v>113.9</v>
      </c>
    </row>
    <row r="14" spans="2:28" ht="12.75">
      <c r="B14" s="2" t="s">
        <v>38</v>
      </c>
      <c r="D14" s="2" t="s">
        <v>70</v>
      </c>
      <c r="F14" s="2">
        <v>26.7</v>
      </c>
      <c r="H14" s="2">
        <v>26.6</v>
      </c>
      <c r="J14" s="2">
        <v>27.6</v>
      </c>
      <c r="L14" s="31">
        <v>26.9</v>
      </c>
      <c r="M14" s="20"/>
      <c r="N14" s="20">
        <v>3.86</v>
      </c>
      <c r="O14" s="20"/>
      <c r="P14" s="20">
        <v>3.85</v>
      </c>
      <c r="Q14" s="20"/>
      <c r="R14" s="20">
        <v>3.87</v>
      </c>
      <c r="S14" s="20"/>
      <c r="T14" s="2">
        <v>3.86</v>
      </c>
      <c r="V14" s="2">
        <v>2.71</v>
      </c>
      <c r="X14" s="2">
        <v>1.82</v>
      </c>
      <c r="Z14" s="2">
        <v>0.91</v>
      </c>
      <c r="AB14" s="2">
        <v>1.82</v>
      </c>
    </row>
    <row r="15" spans="2:28" ht="12.75">
      <c r="B15" s="2" t="s">
        <v>97</v>
      </c>
      <c r="D15" s="2" t="s">
        <v>70</v>
      </c>
      <c r="F15" s="2">
        <v>0.345</v>
      </c>
      <c r="H15" s="2">
        <v>0.338</v>
      </c>
      <c r="J15" s="2">
        <v>0.33</v>
      </c>
      <c r="L15" s="31">
        <v>0.338</v>
      </c>
      <c r="M15" s="20" t="s">
        <v>71</v>
      </c>
      <c r="N15" s="20">
        <v>0.00876</v>
      </c>
      <c r="O15" s="20" t="s">
        <v>71</v>
      </c>
      <c r="P15" s="20">
        <v>0.00821</v>
      </c>
      <c r="Q15" s="20" t="s">
        <v>71</v>
      </c>
      <c r="R15" s="20">
        <v>0.00839</v>
      </c>
      <c r="S15" s="20"/>
      <c r="T15" s="2">
        <v>0.00845</v>
      </c>
      <c r="V15" s="2">
        <v>0.0346</v>
      </c>
      <c r="X15" s="2">
        <v>0.0374</v>
      </c>
      <c r="Z15" s="2">
        <v>0.0373</v>
      </c>
      <c r="AB15" s="2">
        <v>0.0364</v>
      </c>
    </row>
    <row r="16" spans="2:28" ht="12.75">
      <c r="B16" s="2" t="s">
        <v>95</v>
      </c>
      <c r="D16" s="2" t="s">
        <v>70</v>
      </c>
      <c r="F16" s="2">
        <v>0.15</v>
      </c>
      <c r="H16" s="2">
        <v>0.147</v>
      </c>
      <c r="J16" s="2">
        <v>0.143</v>
      </c>
      <c r="L16" s="31">
        <v>0.147</v>
      </c>
      <c r="M16" s="20"/>
      <c r="N16" s="20">
        <v>0.0539</v>
      </c>
      <c r="O16" s="20"/>
      <c r="P16" s="20">
        <v>0.0625</v>
      </c>
      <c r="Q16" s="20"/>
      <c r="R16" s="20">
        <v>0.0633</v>
      </c>
      <c r="S16" s="20"/>
      <c r="T16" s="2">
        <v>0.0599</v>
      </c>
      <c r="V16" s="2">
        <v>0.0185</v>
      </c>
      <c r="X16" s="2">
        <v>0.0175</v>
      </c>
      <c r="Z16" s="2">
        <v>0.0174</v>
      </c>
      <c r="AB16" s="2">
        <v>0.0178</v>
      </c>
    </row>
    <row r="17" spans="2:28" ht="12.75">
      <c r="B17" s="2" t="s">
        <v>117</v>
      </c>
      <c r="D17" s="2" t="s">
        <v>70</v>
      </c>
      <c r="F17" s="2">
        <v>2.2</v>
      </c>
      <c r="H17" s="2">
        <v>2.16</v>
      </c>
      <c r="J17" s="2">
        <v>2.11</v>
      </c>
      <c r="L17" s="30">
        <f>AVERAGE(J17,H17,F17)</f>
        <v>2.1566666666666667</v>
      </c>
      <c r="M17" s="20"/>
      <c r="N17" s="20">
        <v>1.28</v>
      </c>
      <c r="O17" s="20"/>
      <c r="P17" s="20">
        <v>1.26</v>
      </c>
      <c r="Q17" s="20"/>
      <c r="R17" s="20">
        <v>1.38</v>
      </c>
      <c r="S17" s="20"/>
      <c r="T17" s="14">
        <f>AVERAGE(R17,P17,N17)</f>
        <v>1.3066666666666666</v>
      </c>
      <c r="V17" s="2">
        <v>0.147</v>
      </c>
      <c r="X17" s="2">
        <v>0.16</v>
      </c>
      <c r="Z17" s="2">
        <v>0.154</v>
      </c>
      <c r="AB17" s="14">
        <f>AVERAGE(Z17,X17,V17)</f>
        <v>0.15366666666666665</v>
      </c>
    </row>
    <row r="18" spans="2:28" ht="12.75">
      <c r="B18" s="2" t="s">
        <v>96</v>
      </c>
      <c r="D18" s="2" t="s">
        <v>70</v>
      </c>
      <c r="F18" s="2">
        <v>0.0502</v>
      </c>
      <c r="H18" s="2">
        <v>0.0492</v>
      </c>
      <c r="J18" s="2">
        <v>0.048</v>
      </c>
      <c r="L18" s="31">
        <v>0.05</v>
      </c>
      <c r="M18" s="20"/>
      <c r="N18" s="20">
        <v>0.0251</v>
      </c>
      <c r="O18" s="20"/>
      <c r="P18" s="20">
        <v>0.0236</v>
      </c>
      <c r="Q18" s="20"/>
      <c r="R18" s="20">
        <v>0.0308</v>
      </c>
      <c r="S18" s="20"/>
      <c r="T18" s="2">
        <v>0.0264</v>
      </c>
      <c r="V18" s="2">
        <v>0.000905</v>
      </c>
      <c r="X18" s="2">
        <v>0.001</v>
      </c>
      <c r="Z18" s="2">
        <v>0.001</v>
      </c>
      <c r="AB18" s="2">
        <v>0.001</v>
      </c>
    </row>
    <row r="19" spans="2:28" ht="12.75">
      <c r="B19" s="2" t="s">
        <v>94</v>
      </c>
      <c r="D19" s="2" t="s">
        <v>70</v>
      </c>
      <c r="F19" s="2">
        <v>0.0464</v>
      </c>
      <c r="H19" s="2">
        <v>0.0455</v>
      </c>
      <c r="J19" s="2">
        <v>0.0444</v>
      </c>
      <c r="L19" s="31">
        <v>0.05</v>
      </c>
      <c r="M19" s="20" t="s">
        <v>71</v>
      </c>
      <c r="N19" s="20">
        <v>0.000386</v>
      </c>
      <c r="O19" s="20" t="s">
        <v>71</v>
      </c>
      <c r="P19" s="20">
        <v>0.000385</v>
      </c>
      <c r="Q19" s="20" t="s">
        <v>71</v>
      </c>
      <c r="R19" s="20">
        <v>0.000387</v>
      </c>
      <c r="S19" s="20"/>
      <c r="T19" s="2">
        <v>0.000386</v>
      </c>
      <c r="V19" s="2">
        <v>0.00226</v>
      </c>
      <c r="X19" s="2">
        <v>0.00246</v>
      </c>
      <c r="Z19" s="2">
        <v>0.00246</v>
      </c>
      <c r="AB19" s="2">
        <v>0.0024</v>
      </c>
    </row>
    <row r="20" spans="2:28" ht="12.75">
      <c r="B20" s="2" t="s">
        <v>106</v>
      </c>
      <c r="D20" s="2" t="s">
        <v>70</v>
      </c>
      <c r="F20" s="2">
        <v>1.82</v>
      </c>
      <c r="H20" s="2">
        <v>1.79</v>
      </c>
      <c r="J20" s="2">
        <v>1.74</v>
      </c>
      <c r="L20" s="31">
        <v>1.79</v>
      </c>
      <c r="M20" s="20"/>
      <c r="N20" s="20">
        <v>0.243</v>
      </c>
      <c r="O20" s="20"/>
      <c r="P20" s="20">
        <v>0.217</v>
      </c>
      <c r="Q20" s="20"/>
      <c r="R20" s="20">
        <v>0.237</v>
      </c>
      <c r="S20" s="20"/>
      <c r="T20" s="2">
        <v>0.232</v>
      </c>
      <c r="V20" s="2">
        <v>0.516</v>
      </c>
      <c r="X20" s="2">
        <v>0.518</v>
      </c>
      <c r="Z20" s="2">
        <v>0.514</v>
      </c>
      <c r="AB20" s="2">
        <v>0.516</v>
      </c>
    </row>
    <row r="21" spans="2:28" ht="12.75">
      <c r="B21" s="2" t="s">
        <v>93</v>
      </c>
      <c r="D21" s="2" t="s">
        <v>70</v>
      </c>
      <c r="F21" s="2">
        <v>0.439</v>
      </c>
      <c r="H21" s="2">
        <v>0.43</v>
      </c>
      <c r="J21" s="2">
        <v>0.419</v>
      </c>
      <c r="L21" s="31">
        <v>0.43</v>
      </c>
      <c r="M21" s="20" t="s">
        <v>71</v>
      </c>
      <c r="N21" s="20">
        <v>0.0264</v>
      </c>
      <c r="O21" s="20" t="s">
        <v>71</v>
      </c>
      <c r="P21" s="20">
        <v>0.0245</v>
      </c>
      <c r="Q21" s="20" t="s">
        <v>71</v>
      </c>
      <c r="R21" s="20">
        <v>0.0253</v>
      </c>
      <c r="S21" s="20"/>
      <c r="T21" s="2">
        <v>0.0254</v>
      </c>
      <c r="V21" s="2">
        <v>0.118</v>
      </c>
      <c r="X21" s="2">
        <v>0.115</v>
      </c>
      <c r="Z21" s="2">
        <v>0.114</v>
      </c>
      <c r="AB21" s="2">
        <v>0.115</v>
      </c>
    </row>
    <row r="22" spans="2:28" ht="12.75">
      <c r="B22" s="2" t="s">
        <v>92</v>
      </c>
      <c r="D22" s="2" t="s">
        <v>70</v>
      </c>
      <c r="F22" s="2">
        <v>0.0147</v>
      </c>
      <c r="H22" s="2">
        <v>0.0144</v>
      </c>
      <c r="J22" s="2">
        <v>0.014</v>
      </c>
      <c r="L22" s="31">
        <v>0.014</v>
      </c>
      <c r="M22" s="20" t="s">
        <v>71</v>
      </c>
      <c r="N22" s="20">
        <v>0.000129</v>
      </c>
      <c r="O22" s="20" t="s">
        <v>71</v>
      </c>
      <c r="P22" s="20">
        <v>0.000128</v>
      </c>
      <c r="Q22" s="20" t="s">
        <v>71</v>
      </c>
      <c r="R22" s="20">
        <v>0.000129</v>
      </c>
      <c r="S22" s="20"/>
      <c r="T22" s="2">
        <v>0.000129</v>
      </c>
      <c r="U22" s="2" t="s">
        <v>71</v>
      </c>
      <c r="V22" s="2">
        <v>9E-05</v>
      </c>
      <c r="W22" s="2" t="s">
        <v>71</v>
      </c>
      <c r="X22" s="2">
        <v>9.1E-05</v>
      </c>
      <c r="Y22" s="2" t="s">
        <v>71</v>
      </c>
      <c r="Z22" s="2">
        <v>0.00091</v>
      </c>
      <c r="AB22" s="2">
        <v>9.1E-05</v>
      </c>
    </row>
    <row r="23" spans="2:28" ht="12.75">
      <c r="B23" s="2" t="s">
        <v>118</v>
      </c>
      <c r="D23" s="2" t="s">
        <v>70</v>
      </c>
      <c r="F23" s="2">
        <v>0.124</v>
      </c>
      <c r="H23" s="2">
        <v>0.122</v>
      </c>
      <c r="J23" s="2">
        <v>0.119</v>
      </c>
      <c r="L23" s="30">
        <f>AVERAGE(J23,H23,F23)</f>
        <v>0.12166666666666666</v>
      </c>
      <c r="M23" s="20" t="s">
        <v>71</v>
      </c>
      <c r="N23" s="20">
        <v>0.022</v>
      </c>
      <c r="O23" s="20" t="s">
        <v>71</v>
      </c>
      <c r="P23" s="20">
        <v>0.0203</v>
      </c>
      <c r="Q23" s="20" t="s">
        <v>71</v>
      </c>
      <c r="R23" s="20">
        <v>0.0212</v>
      </c>
      <c r="S23" s="20"/>
      <c r="T23" s="2">
        <v>0.022</v>
      </c>
      <c r="U23" s="2" t="s">
        <v>71</v>
      </c>
      <c r="V23" s="2">
        <v>0.0231</v>
      </c>
      <c r="W23" s="2" t="s">
        <v>71</v>
      </c>
      <c r="X23" s="2">
        <v>0.0249</v>
      </c>
      <c r="Y23" s="2" t="s">
        <v>71</v>
      </c>
      <c r="Z23" s="2">
        <v>0.0249</v>
      </c>
      <c r="AB23" s="2">
        <v>0.0243</v>
      </c>
    </row>
    <row r="24" spans="2:28" ht="12.75">
      <c r="B24" s="2" t="s">
        <v>119</v>
      </c>
      <c r="D24" s="2" t="s">
        <v>70</v>
      </c>
      <c r="F24" s="2">
        <v>0.169</v>
      </c>
      <c r="H24" s="2">
        <v>0.166</v>
      </c>
      <c r="J24" s="2">
        <v>0.162</v>
      </c>
      <c r="L24" s="30">
        <f>AVERAGE(J24,H24,F24)</f>
        <v>0.16566666666666666</v>
      </c>
      <c r="M24" s="20" t="s">
        <v>71</v>
      </c>
      <c r="N24" s="20">
        <v>0.0176</v>
      </c>
      <c r="O24" s="20" t="s">
        <v>71</v>
      </c>
      <c r="P24" s="20">
        <v>0.0176</v>
      </c>
      <c r="Q24" s="20" t="s">
        <v>71</v>
      </c>
      <c r="R24" s="20">
        <v>0.0169</v>
      </c>
      <c r="S24" s="20"/>
      <c r="T24" s="2">
        <v>0.0176</v>
      </c>
      <c r="U24" s="2" t="s">
        <v>71</v>
      </c>
      <c r="V24" s="2">
        <v>0.0115</v>
      </c>
      <c r="W24" s="2" t="s">
        <v>71</v>
      </c>
      <c r="X24" s="2">
        <v>0.0125</v>
      </c>
      <c r="Y24" s="2" t="s">
        <v>71</v>
      </c>
      <c r="Z24" s="2">
        <v>0.0124</v>
      </c>
      <c r="AB24" s="2">
        <v>0.0121</v>
      </c>
    </row>
    <row r="25" ht="12.75" customHeight="1"/>
    <row r="26" spans="2:29" ht="12.75">
      <c r="B26" s="2" t="s">
        <v>39</v>
      </c>
      <c r="D26" s="2" t="s">
        <v>15</v>
      </c>
      <c r="F26" s="5">
        <f>emiss!$G$25</f>
        <v>65749</v>
      </c>
      <c r="H26" s="5">
        <f>emiss!$I$25</f>
        <v>67231</v>
      </c>
      <c r="J26" s="5">
        <f>emiss!$K$25</f>
        <v>68573</v>
      </c>
      <c r="L26" s="32">
        <f>emiss!$M$25</f>
        <v>67184.33333333333</v>
      </c>
      <c r="M26" s="9"/>
      <c r="N26" s="5">
        <f>emiss!$G$25</f>
        <v>65749</v>
      </c>
      <c r="P26" s="5">
        <f>emiss!$I$25</f>
        <v>67231</v>
      </c>
      <c r="R26" s="5">
        <f>emiss!$K$25</f>
        <v>68573</v>
      </c>
      <c r="T26" s="9">
        <f>emiss!$M$25</f>
        <v>67184.33333333333</v>
      </c>
      <c r="U26" s="9"/>
      <c r="V26" s="5">
        <f>emiss!$G$25</f>
        <v>65749</v>
      </c>
      <c r="X26" s="5">
        <f>emiss!$I$25</f>
        <v>67231</v>
      </c>
      <c r="Z26" s="5">
        <f>emiss!$K$25</f>
        <v>68573</v>
      </c>
      <c r="AB26" s="9">
        <f>emiss!$M$25</f>
        <v>67184.33333333333</v>
      </c>
      <c r="AC26" s="9"/>
    </row>
    <row r="27" spans="2:29" ht="12.75">
      <c r="B27" s="2" t="s">
        <v>9</v>
      </c>
      <c r="D27" s="2" t="s">
        <v>16</v>
      </c>
      <c r="F27" s="2">
        <f>emiss!$G$26</f>
        <v>12.1</v>
      </c>
      <c r="H27" s="2">
        <f>emiss!$I$26</f>
        <v>11.3</v>
      </c>
      <c r="J27" s="2">
        <f>emiss!$K$26</f>
        <v>12.1</v>
      </c>
      <c r="L27" s="33">
        <f>emiss!$M$26</f>
        <v>11.833333333333334</v>
      </c>
      <c r="M27" s="4"/>
      <c r="N27" s="2">
        <f>emiss!$G$26</f>
        <v>12.1</v>
      </c>
      <c r="P27" s="2">
        <f>emiss!$I$26</f>
        <v>11.3</v>
      </c>
      <c r="R27" s="2">
        <f>emiss!$K$26</f>
        <v>12.1</v>
      </c>
      <c r="T27" s="4">
        <f>emiss!$M$26</f>
        <v>11.833333333333334</v>
      </c>
      <c r="U27" s="4"/>
      <c r="V27" s="2">
        <f>emiss!$G$26</f>
        <v>12.1</v>
      </c>
      <c r="X27" s="2">
        <f>emiss!$I$26</f>
        <v>11.3</v>
      </c>
      <c r="Z27" s="2">
        <f>emiss!$K$26</f>
        <v>12.1</v>
      </c>
      <c r="AB27" s="4">
        <f>emiss!$M$26</f>
        <v>11.833333333333334</v>
      </c>
      <c r="AC27" s="4"/>
    </row>
    <row r="28" ht="12.75" customHeight="1"/>
    <row r="29" spans="2:36" ht="12.75">
      <c r="B29" s="2" t="s">
        <v>111</v>
      </c>
      <c r="D29" s="2" t="s">
        <v>146</v>
      </c>
      <c r="F29" s="4">
        <f>F11*F12/1000000</f>
        <v>0.8290856</v>
      </c>
      <c r="H29" s="4">
        <f>H11*H12/1000000</f>
        <v>0.8132432</v>
      </c>
      <c r="J29" s="4">
        <f>J11*J12/1000000</f>
        <v>0.79212</v>
      </c>
      <c r="L29" s="4">
        <f>L11*L12/1000000</f>
        <v>0.8114829333333332</v>
      </c>
      <c r="M29" s="6"/>
      <c r="N29" s="4">
        <f>N11*N12/1000000</f>
        <v>171.045112</v>
      </c>
      <c r="O29" s="6"/>
      <c r="P29" s="4">
        <f>P11*P12/1000000</f>
        <v>172.66545</v>
      </c>
      <c r="Q29" s="6"/>
      <c r="R29" s="4">
        <f>R11*R12/1000000</f>
        <v>173.64236</v>
      </c>
      <c r="S29" s="6"/>
      <c r="T29" s="4">
        <f>T11*T12/1000000</f>
        <v>171.71154</v>
      </c>
      <c r="U29" s="6"/>
      <c r="V29" s="4">
        <f>V11*V12/1000000</f>
        <v>10.50065</v>
      </c>
      <c r="W29" s="6"/>
      <c r="X29" s="4">
        <f>X11*X12/1000000</f>
        <v>9.192903</v>
      </c>
      <c r="Y29" s="6"/>
      <c r="Z29" s="4">
        <f>Z11*Z12/1000000</f>
        <v>10.244234</v>
      </c>
      <c r="AA29" s="6"/>
      <c r="AB29" s="4">
        <f>AB11*AB12/1000000</f>
        <v>9.919728</v>
      </c>
      <c r="AC29" s="4"/>
      <c r="AD29" s="4">
        <f>SUM(V29,N29,F29)</f>
        <v>182.3748476</v>
      </c>
      <c r="AE29" s="4"/>
      <c r="AF29" s="4">
        <f>SUM(X29,P29,H29)</f>
        <v>182.67159619999998</v>
      </c>
      <c r="AG29" s="4"/>
      <c r="AH29" s="4">
        <f>SUM(Z29,R29,J29)</f>
        <v>184.678714</v>
      </c>
      <c r="AI29" s="4"/>
      <c r="AJ29" s="4">
        <f>SUM(AB29,T29,L29)</f>
        <v>182.44275093333334</v>
      </c>
    </row>
    <row r="30" spans="2:36" ht="12.75">
      <c r="B30" s="2" t="s">
        <v>108</v>
      </c>
      <c r="D30" s="2" t="s">
        <v>146</v>
      </c>
      <c r="L30" s="3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E30" s="4"/>
      <c r="AJ30" s="4">
        <f>AB26/9000*(21-AB27)/21*60</f>
        <v>195.50996472663135</v>
      </c>
    </row>
    <row r="31" spans="12:31" ht="12.75">
      <c r="L31" s="3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D31" s="4"/>
      <c r="AE31" s="4"/>
    </row>
    <row r="32" spans="2:31" ht="12.75">
      <c r="B32" s="22" t="s">
        <v>81</v>
      </c>
      <c r="C32" s="22"/>
      <c r="L32" s="3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D32" s="4"/>
      <c r="AE32" s="4"/>
    </row>
    <row r="33" spans="2:36" ht="12.75">
      <c r="B33" s="2" t="s">
        <v>8</v>
      </c>
      <c r="D33" s="2" t="s">
        <v>14</v>
      </c>
      <c r="F33" s="4">
        <f>(F13*454*1000/60)/F$26/0.0283*(21-7)/(21-F$27)</f>
        <v>0</v>
      </c>
      <c r="H33" s="4">
        <f>(H13*454*1000/60)/H$26/0.0283*(21-7)/(21-H$27)</f>
        <v>0</v>
      </c>
      <c r="J33" s="4">
        <f>(J13*454*1000/60)/J$26/0.0283*(21-7)/(21-J$27)</f>
        <v>0</v>
      </c>
      <c r="L33" s="34"/>
      <c r="M33" s="6"/>
      <c r="N33" s="4">
        <f>(N13*454*1000/60)/N$26/0.0283*(21-7)/(21-N$27)</f>
        <v>7055.739799129877</v>
      </c>
      <c r="O33" s="6"/>
      <c r="P33" s="4">
        <f>(P13*454*1000/60)/P$26/0.0283*(21-7)/(21-P$27)</f>
        <v>5871.925421569791</v>
      </c>
      <c r="Q33" s="6"/>
      <c r="R33" s="4">
        <f>(R13*454*1000/60)/R$26/0.0283*(21-7)/(21-R$27)</f>
        <v>6470.763182762234</v>
      </c>
      <c r="S33" s="6"/>
      <c r="T33" s="4">
        <f>AVERAGE(R33,P33,N33)</f>
        <v>6466.142801153967</v>
      </c>
      <c r="U33" s="6"/>
      <c r="V33" s="4">
        <f>(V13*454*1000/60)/V$26/0.0283*(21-7)/(21-V$27)</f>
        <v>543.7333480743786</v>
      </c>
      <c r="W33" s="6"/>
      <c r="X33" s="4">
        <f>(X13*454*1000/60)/X$26/0.0283*(21-7)/(21-X$27)</f>
        <v>882.2237901224602</v>
      </c>
      <c r="Y33" s="6"/>
      <c r="Z33" s="4">
        <f>(Z13*454*1000/60)/Z$26/0.0283*(21-7)/(21-Z$27)</f>
        <v>614.5691667419676</v>
      </c>
      <c r="AA33" s="6"/>
      <c r="AB33" s="4">
        <f aca="true" t="shared" si="0" ref="AB33:AB41">AVERAGE(Z33,X33,V33)</f>
        <v>680.1754349796021</v>
      </c>
      <c r="AC33" s="4"/>
      <c r="AD33" s="4">
        <f>SUM(V33,N33,F33)</f>
        <v>7599.473147204255</v>
      </c>
      <c r="AE33" s="4"/>
      <c r="AF33" s="4">
        <f>SUM(X33,P33,H33)</f>
        <v>6754.149211692251</v>
      </c>
      <c r="AG33" s="4"/>
      <c r="AH33" s="4">
        <f>SUM(Z33,R33,J33)</f>
        <v>7085.332349504201</v>
      </c>
      <c r="AI33" s="4"/>
      <c r="AJ33" s="4">
        <f>SUM(AB33,T33,L33)</f>
        <v>7146.318236133569</v>
      </c>
    </row>
    <row r="34" spans="2:36" ht="12.75">
      <c r="B34" s="2" t="s">
        <v>38</v>
      </c>
      <c r="D34" s="2" t="s">
        <v>12</v>
      </c>
      <c r="F34" s="9">
        <f>(F14*454*1000000/60)/F$26/0.0283*(21-7)/(21-F$27)</f>
        <v>170796.23992454007</v>
      </c>
      <c r="G34" s="9"/>
      <c r="H34" s="9">
        <f>(H14*454*1000000/60)/H$26/0.0283*(21-7)/(21-H$27)</f>
        <v>152681.54077591054</v>
      </c>
      <c r="I34" s="9"/>
      <c r="J34" s="9">
        <f aca="true" t="shared" si="1" ref="J34:J44">(J14*454*1000000/60)/J$26/0.0283*(21-7)/(21-J$27)</f>
        <v>169282.5249708414</v>
      </c>
      <c r="K34" s="9"/>
      <c r="L34" s="32">
        <f>AVERAGE(J34,H34,F34)</f>
        <v>164253.435223764</v>
      </c>
      <c r="M34" s="9"/>
      <c r="N34" s="9">
        <f>(N14*454*1000000/60)/N$26/0.0283*(21-7)/(21-N$27)</f>
        <v>24691.890865495312</v>
      </c>
      <c r="O34" s="9"/>
      <c r="P34" s="9">
        <f>(P14*454*1000000/60)/P$26/0.0283*(21-7)/(21-P$27)</f>
        <v>22098.644059671256</v>
      </c>
      <c r="Q34" s="9"/>
      <c r="R34" s="9">
        <f>(R14*454*1000000/60)/R$26/0.0283*(21-7)/(21-R$27)</f>
        <v>23736.354044824497</v>
      </c>
      <c r="S34" s="9"/>
      <c r="T34" s="9">
        <f aca="true" t="shared" si="2" ref="T34:T44">AVERAGE(R34,P34,N34)</f>
        <v>23508.96298999702</v>
      </c>
      <c r="U34" s="9"/>
      <c r="V34" s="9">
        <f>(V14*454*1000000/60)/V$26/0.0283*(21-7)/(21-V$27)</f>
        <v>17335.498509194895</v>
      </c>
      <c r="W34" s="9"/>
      <c r="X34" s="9">
        <f>(X14*454*1000000/60)/X$26/0.0283*(21-7)/(21-X$27)</f>
        <v>10446.63173729914</v>
      </c>
      <c r="Y34" s="6"/>
      <c r="Z34" s="4">
        <f>(Z14*454*1000000/60)/Z$26/0.0283*(21-7)/(21-Z$27)</f>
        <v>5581.416584183538</v>
      </c>
      <c r="AA34" s="6"/>
      <c r="AB34" s="4">
        <f t="shared" si="0"/>
        <v>11121.182276892525</v>
      </c>
      <c r="AC34" s="4"/>
      <c r="AD34" s="4">
        <f aca="true" t="shared" si="3" ref="AD34:AH44">SUM(V34,N34,F34)</f>
        <v>212823.6292992303</v>
      </c>
      <c r="AE34" s="4"/>
      <c r="AF34" s="4">
        <f t="shared" si="3"/>
        <v>185226.81657288095</v>
      </c>
      <c r="AG34" s="4"/>
      <c r="AH34" s="4">
        <f t="shared" si="3"/>
        <v>198600.29559984943</v>
      </c>
      <c r="AI34" s="4"/>
      <c r="AJ34" s="4">
        <f>SUM(AB34,T34,L34)</f>
        <v>198883.58049065355</v>
      </c>
    </row>
    <row r="35" spans="2:36" ht="12.75">
      <c r="B35" s="2" t="s">
        <v>97</v>
      </c>
      <c r="D35" s="2" t="s">
        <v>12</v>
      </c>
      <c r="F35" s="9">
        <f aca="true" t="shared" si="4" ref="F35:H44">(F15*454*1000000/60)/F$26/0.0283*(21-7)/(21-F$27)</f>
        <v>2206.9177068901245</v>
      </c>
      <c r="G35" s="9"/>
      <c r="H35" s="9">
        <f t="shared" si="4"/>
        <v>1940.0887512126974</v>
      </c>
      <c r="I35" s="9"/>
      <c r="J35" s="9">
        <f t="shared" si="1"/>
        <v>2024.030189868756</v>
      </c>
      <c r="K35" s="9"/>
      <c r="L35" s="32">
        <f aca="true" t="shared" si="5" ref="L35:L47">AVERAGE(J35,H35,F35)</f>
        <v>2057.012215990526</v>
      </c>
      <c r="M35" s="20">
        <v>100</v>
      </c>
      <c r="N35" s="4">
        <f aca="true" t="shared" si="6" ref="N35:N44">(N15*454*1000000/60)/N$26/0.0283*(21-7)/(21-N$27)</f>
        <v>56.036519166253605</v>
      </c>
      <c r="O35" s="20">
        <v>100</v>
      </c>
      <c r="P35" s="4">
        <f aca="true" t="shared" si="7" ref="P35:P44">(P15*454*1000000/60)/P$26/0.0283*(21-7)/(21-P$27)</f>
        <v>47.12464096880546</v>
      </c>
      <c r="Q35" s="20">
        <v>100</v>
      </c>
      <c r="R35" s="4">
        <f aca="true" t="shared" si="8" ref="R35:R44">(R15*454*1000000/60)/R$26/0.0283*(21-7)/(21-R$27)</f>
        <v>51.45943422120867</v>
      </c>
      <c r="S35" s="20">
        <v>100</v>
      </c>
      <c r="T35" s="4">
        <f t="shared" si="2"/>
        <v>51.54019811875591</v>
      </c>
      <c r="V35" s="4">
        <f aca="true" t="shared" si="9" ref="V35:V44">(V15*454*1000000/60)/V$26/0.0283*(21-7)/(21-V$27)</f>
        <v>221.33145698086466</v>
      </c>
      <c r="X35" s="4">
        <f aca="true" t="shared" si="10" ref="X35:X44">(X15*454*1000000/60)/X$26/0.0283*(21-7)/(21-X$27)</f>
        <v>214.6725422939494</v>
      </c>
      <c r="Z35" s="4">
        <f aca="true" t="shared" si="11" ref="Z35:Z44">(Z15*454*1000000/60)/Z$26/0.0283*(21-7)/(21-Z$27)</f>
        <v>228.77674570334725</v>
      </c>
      <c r="AB35" s="4">
        <f t="shared" si="0"/>
        <v>221.59358165938713</v>
      </c>
      <c r="AC35" s="4">
        <f>N35/AD35*100</f>
        <v>2.255639097744361</v>
      </c>
      <c r="AD35" s="4">
        <f t="shared" si="3"/>
        <v>2484.285683037243</v>
      </c>
      <c r="AE35" s="4">
        <f>P35/AF35*100</f>
        <v>2.140194468340241</v>
      </c>
      <c r="AF35" s="4">
        <f t="shared" si="3"/>
        <v>2201.8859344754524</v>
      </c>
      <c r="AG35" s="4">
        <f>R35/AH35*100</f>
        <v>2.233224200803854</v>
      </c>
      <c r="AH35" s="4">
        <f t="shared" si="3"/>
        <v>2304.266369793312</v>
      </c>
      <c r="AI35" s="4">
        <f>T35/AJ35*100</f>
        <v>2.2118870754170845</v>
      </c>
      <c r="AJ35" s="4">
        <f>SUM(AB35,T35,L35)</f>
        <v>2330.145995768669</v>
      </c>
    </row>
    <row r="36" spans="2:36" ht="12.75">
      <c r="B36" s="2" t="s">
        <v>95</v>
      </c>
      <c r="D36" s="2" t="s">
        <v>12</v>
      </c>
      <c r="F36" s="4">
        <f t="shared" si="4"/>
        <v>959.5294377783154</v>
      </c>
      <c r="H36" s="4">
        <f t="shared" si="4"/>
        <v>843.7664095510843</v>
      </c>
      <c r="J36" s="4">
        <f t="shared" si="1"/>
        <v>877.0797489431274</v>
      </c>
      <c r="L36" s="33">
        <f t="shared" si="5"/>
        <v>893.4585320908423</v>
      </c>
      <c r="M36" s="20"/>
      <c r="N36" s="4">
        <f t="shared" si="6"/>
        <v>344.7909113083412</v>
      </c>
      <c r="O36" s="20"/>
      <c r="P36" s="4">
        <f t="shared" si="7"/>
        <v>358.74422174791</v>
      </c>
      <c r="Q36" s="20"/>
      <c r="R36" s="4">
        <f t="shared" si="8"/>
        <v>388.245790965734</v>
      </c>
      <c r="S36" s="20"/>
      <c r="T36" s="4">
        <f t="shared" si="2"/>
        <v>363.92697467399506</v>
      </c>
      <c r="U36" s="6"/>
      <c r="V36" s="4">
        <f t="shared" si="9"/>
        <v>118.34196399265886</v>
      </c>
      <c r="W36" s="6"/>
      <c r="X36" s="4">
        <f t="shared" si="10"/>
        <v>100.4483820894148</v>
      </c>
      <c r="Y36" s="6"/>
      <c r="Z36" s="4">
        <f t="shared" si="11"/>
        <v>106.72159182944345</v>
      </c>
      <c r="AA36" s="6"/>
      <c r="AB36" s="4">
        <f t="shared" si="0"/>
        <v>108.50397930383905</v>
      </c>
      <c r="AC36" s="4"/>
      <c r="AD36" s="4">
        <f t="shared" si="3"/>
        <v>1422.6623130793155</v>
      </c>
      <c r="AE36" s="4"/>
      <c r="AF36" s="4">
        <f t="shared" si="3"/>
        <v>1302.959013388409</v>
      </c>
      <c r="AG36" s="4"/>
      <c r="AH36" s="4">
        <f t="shared" si="3"/>
        <v>1372.0471317383049</v>
      </c>
      <c r="AI36" s="4"/>
      <c r="AJ36" s="4">
        <f>SUM(AB36,T36,L36)</f>
        <v>1365.8894860686764</v>
      </c>
    </row>
    <row r="37" spans="2:36" ht="12.75">
      <c r="B37" s="2" t="s">
        <v>117</v>
      </c>
      <c r="D37" s="2" t="s">
        <v>12</v>
      </c>
      <c r="F37" s="9">
        <f t="shared" si="4"/>
        <v>14073.098420748622</v>
      </c>
      <c r="G37" s="9"/>
      <c r="H37" s="9">
        <f t="shared" si="4"/>
        <v>12398.20030360777</v>
      </c>
      <c r="I37" s="9"/>
      <c r="J37" s="9">
        <f t="shared" si="1"/>
        <v>12941.526365524467</v>
      </c>
      <c r="K37" s="9"/>
      <c r="L37" s="32">
        <f t="shared" si="5"/>
        <v>13137.60836329362</v>
      </c>
      <c r="M37" s="20"/>
      <c r="N37" s="4">
        <f t="shared" si="6"/>
        <v>8187.9845357082895</v>
      </c>
      <c r="O37" s="20"/>
      <c r="P37" s="4">
        <f t="shared" si="7"/>
        <v>7232.283510437866</v>
      </c>
      <c r="Q37" s="20"/>
      <c r="R37" s="4">
        <f t="shared" si="8"/>
        <v>8464.126248542068</v>
      </c>
      <c r="S37" s="20"/>
      <c r="T37" s="4">
        <f t="shared" si="2"/>
        <v>7961.4647648960745</v>
      </c>
      <c r="U37" s="6"/>
      <c r="V37" s="4">
        <f t="shared" si="9"/>
        <v>940.338849022749</v>
      </c>
      <c r="W37" s="6"/>
      <c r="X37" s="4">
        <f t="shared" si="10"/>
        <v>918.3852076746497</v>
      </c>
      <c r="Y37" s="6"/>
      <c r="Z37" s="4">
        <f t="shared" si="11"/>
        <v>944.5474219387527</v>
      </c>
      <c r="AA37" s="6"/>
      <c r="AB37" s="4">
        <f t="shared" si="0"/>
        <v>934.4238262120504</v>
      </c>
      <c r="AC37" s="4"/>
      <c r="AD37" s="4">
        <f t="shared" si="3"/>
        <v>23201.42180547966</v>
      </c>
      <c r="AE37" s="4"/>
      <c r="AF37" s="4">
        <f t="shared" si="3"/>
        <v>20548.869021720286</v>
      </c>
      <c r="AG37" s="4"/>
      <c r="AH37" s="4">
        <f t="shared" si="3"/>
        <v>22350.200036005288</v>
      </c>
      <c r="AI37" s="4"/>
      <c r="AJ37" s="4">
        <f>SUM(AB37,T37,L37)</f>
        <v>22033.496954401744</v>
      </c>
    </row>
    <row r="38" spans="2:36" ht="12.75">
      <c r="B38" s="2" t="s">
        <v>96</v>
      </c>
      <c r="D38" s="2" t="s">
        <v>12</v>
      </c>
      <c r="F38" s="4">
        <f t="shared" si="4"/>
        <v>321.1225185098095</v>
      </c>
      <c r="H38" s="4">
        <f t="shared" si="4"/>
        <v>282.4034513599548</v>
      </c>
      <c r="J38" s="4">
        <f t="shared" si="1"/>
        <v>294.4043912536372</v>
      </c>
      <c r="L38" s="33">
        <f t="shared" si="5"/>
        <v>299.3101203744671</v>
      </c>
      <c r="M38" s="20"/>
      <c r="N38" s="4">
        <f t="shared" si="6"/>
        <v>160.56125925490474</v>
      </c>
      <c r="O38" s="20"/>
      <c r="P38" s="4">
        <f t="shared" si="7"/>
        <v>135.4618181320108</v>
      </c>
      <c r="Q38" s="20"/>
      <c r="R38" s="4">
        <f t="shared" si="8"/>
        <v>188.90948438775052</v>
      </c>
      <c r="S38" s="20"/>
      <c r="T38" s="4">
        <f t="shared" si="2"/>
        <v>161.64418725822202</v>
      </c>
      <c r="U38" s="6"/>
      <c r="V38" s="4">
        <f t="shared" si="9"/>
        <v>5.789160941262502</v>
      </c>
      <c r="W38" s="6"/>
      <c r="X38" s="4">
        <f t="shared" si="10"/>
        <v>5.73990754796656</v>
      </c>
      <c r="Y38" s="6"/>
      <c r="Z38" s="4">
        <f t="shared" si="11"/>
        <v>6.133424817784108</v>
      </c>
      <c r="AA38" s="6"/>
      <c r="AB38" s="4">
        <f t="shared" si="0"/>
        <v>5.88749776900439</v>
      </c>
      <c r="AC38" s="4"/>
      <c r="AD38" s="4">
        <f t="shared" si="3"/>
        <v>487.47293870597673</v>
      </c>
      <c r="AE38" s="4"/>
      <c r="AF38" s="4">
        <f t="shared" si="3"/>
        <v>423.60517703993213</v>
      </c>
      <c r="AG38" s="4"/>
      <c r="AH38" s="4">
        <f t="shared" si="3"/>
        <v>489.44730045917186</v>
      </c>
      <c r="AI38" s="4"/>
      <c r="AJ38" s="4">
        <f aca="true" t="shared" si="12" ref="AJ38:AJ44">SUM(AB38,T38,L38)</f>
        <v>466.8418054016935</v>
      </c>
    </row>
    <row r="39" spans="2:36" ht="12.75">
      <c r="B39" s="2" t="s">
        <v>94</v>
      </c>
      <c r="D39" s="2" t="s">
        <v>12</v>
      </c>
      <c r="F39" s="4">
        <f t="shared" si="4"/>
        <v>296.8144394194255</v>
      </c>
      <c r="H39" s="4">
        <f t="shared" si="4"/>
        <v>261.1657934324785</v>
      </c>
      <c r="J39" s="4">
        <f t="shared" si="1"/>
        <v>272.32406190961444</v>
      </c>
      <c r="L39" s="33">
        <f t="shared" si="5"/>
        <v>276.76809825383947</v>
      </c>
      <c r="M39" s="20">
        <v>100</v>
      </c>
      <c r="N39" s="4">
        <f t="shared" si="6"/>
        <v>2.4691890865495307</v>
      </c>
      <c r="O39" s="20">
        <v>100</v>
      </c>
      <c r="P39" s="4">
        <f t="shared" si="7"/>
        <v>2.2098644059671257</v>
      </c>
      <c r="Q39" s="20">
        <v>100</v>
      </c>
      <c r="R39" s="4">
        <f t="shared" si="8"/>
        <v>2.37363540448245</v>
      </c>
      <c r="S39" s="20">
        <v>100</v>
      </c>
      <c r="T39" s="4">
        <f t="shared" si="2"/>
        <v>2.350896298999702</v>
      </c>
      <c r="U39" s="6"/>
      <c r="V39" s="4">
        <f t="shared" si="9"/>
        <v>14.456910195859948</v>
      </c>
      <c r="W39" s="6"/>
      <c r="X39" s="4">
        <f t="shared" si="10"/>
        <v>14.12017256799774</v>
      </c>
      <c r="Y39" s="6"/>
      <c r="Z39" s="4">
        <f t="shared" si="11"/>
        <v>15.088225051748903</v>
      </c>
      <c r="AA39" s="6"/>
      <c r="AB39" s="4">
        <f t="shared" si="0"/>
        <v>14.555102605202196</v>
      </c>
      <c r="AC39" s="4">
        <f>N39/AD39*100</f>
        <v>0.7870162704399948</v>
      </c>
      <c r="AD39" s="4">
        <f t="shared" si="3"/>
        <v>313.740538701835</v>
      </c>
      <c r="AE39" s="4">
        <f>P39/AF39*100</f>
        <v>0.7963594994311717</v>
      </c>
      <c r="AF39" s="4">
        <f t="shared" si="3"/>
        <v>277.49583040644336</v>
      </c>
      <c r="AG39" s="4">
        <f>R39/AH39*100</f>
        <v>0.8190996253730395</v>
      </c>
      <c r="AH39" s="4">
        <f t="shared" si="3"/>
        <v>289.7859223658458</v>
      </c>
      <c r="AI39" s="4">
        <f>T39/AJ39*100</f>
        <v>0.8005119694756606</v>
      </c>
      <c r="AJ39" s="4">
        <f t="shared" si="12"/>
        <v>293.6740971580414</v>
      </c>
    </row>
    <row r="40" spans="2:36" ht="12.75">
      <c r="B40" s="2" t="s">
        <v>106</v>
      </c>
      <c r="D40" s="2" t="s">
        <v>12</v>
      </c>
      <c r="F40" s="9">
        <f t="shared" si="4"/>
        <v>11642.290511710225</v>
      </c>
      <c r="G40" s="9"/>
      <c r="H40" s="9">
        <f t="shared" si="4"/>
        <v>10274.434510860145</v>
      </c>
      <c r="I40" s="9"/>
      <c r="J40" s="9">
        <f t="shared" si="1"/>
        <v>10672.159182944348</v>
      </c>
      <c r="K40" s="9"/>
      <c r="L40" s="32">
        <f t="shared" si="5"/>
        <v>10862.96140183824</v>
      </c>
      <c r="M40" s="20"/>
      <c r="N40" s="9">
        <f t="shared" si="6"/>
        <v>1554.4376892008706</v>
      </c>
      <c r="O40" s="19"/>
      <c r="P40" s="9">
        <f t="shared" si="7"/>
        <v>1245.5599379087437</v>
      </c>
      <c r="Q40" s="19"/>
      <c r="R40" s="9">
        <f t="shared" si="8"/>
        <v>1453.6216818148334</v>
      </c>
      <c r="S40" s="19"/>
      <c r="T40" s="9">
        <f t="shared" si="2"/>
        <v>1417.873102974816</v>
      </c>
      <c r="U40" s="9"/>
      <c r="V40" s="9">
        <f t="shared" si="9"/>
        <v>3300.7812659574047</v>
      </c>
      <c r="W40" s="9"/>
      <c r="X40" s="9">
        <f t="shared" si="10"/>
        <v>2973.272109846678</v>
      </c>
      <c r="Y40" s="6"/>
      <c r="Z40" s="4">
        <f t="shared" si="11"/>
        <v>3152.580356341031</v>
      </c>
      <c r="AA40" s="6"/>
      <c r="AB40" s="4">
        <f t="shared" si="0"/>
        <v>3142.211244048371</v>
      </c>
      <c r="AC40" s="4"/>
      <c r="AD40" s="4">
        <f t="shared" si="3"/>
        <v>16497.5094668685</v>
      </c>
      <c r="AE40" s="4"/>
      <c r="AF40" s="4">
        <f t="shared" si="3"/>
        <v>14493.266558615567</v>
      </c>
      <c r="AG40" s="4"/>
      <c r="AH40" s="4">
        <f t="shared" si="3"/>
        <v>15278.361221100211</v>
      </c>
      <c r="AI40" s="4"/>
      <c r="AJ40" s="4">
        <f t="shared" si="12"/>
        <v>15423.045748861427</v>
      </c>
    </row>
    <row r="41" spans="2:36" ht="12.75">
      <c r="B41" s="2" t="s">
        <v>93</v>
      </c>
      <c r="D41" s="2" t="s">
        <v>12</v>
      </c>
      <c r="F41" s="9">
        <f t="shared" si="4"/>
        <v>2808.2228212312025</v>
      </c>
      <c r="G41" s="9"/>
      <c r="H41" s="9">
        <f t="shared" si="4"/>
        <v>2468.1602456256205</v>
      </c>
      <c r="I41" s="9"/>
      <c r="J41" s="9">
        <f t="shared" si="1"/>
        <v>2569.9049986515415</v>
      </c>
      <c r="K41" s="9"/>
      <c r="L41" s="32">
        <f t="shared" si="5"/>
        <v>2615.429355169455</v>
      </c>
      <c r="M41" s="20">
        <v>100</v>
      </c>
      <c r="N41" s="4">
        <f t="shared" si="6"/>
        <v>168.87718104898346</v>
      </c>
      <c r="O41" s="20">
        <v>100</v>
      </c>
      <c r="P41" s="4">
        <f t="shared" si="7"/>
        <v>140.62773492518076</v>
      </c>
      <c r="Q41" s="20">
        <v>100</v>
      </c>
      <c r="R41" s="4">
        <f t="shared" si="8"/>
        <v>155.17564788993792</v>
      </c>
      <c r="S41" s="20">
        <v>100</v>
      </c>
      <c r="T41" s="4">
        <f t="shared" si="2"/>
        <v>154.89352128803404</v>
      </c>
      <c r="U41" s="6"/>
      <c r="V41" s="4">
        <f t="shared" si="9"/>
        <v>754.8298243856078</v>
      </c>
      <c r="W41" s="6"/>
      <c r="X41" s="4">
        <f t="shared" si="10"/>
        <v>660.0893680161544</v>
      </c>
      <c r="Y41" s="6"/>
      <c r="Z41" s="4">
        <f t="shared" si="11"/>
        <v>699.2104292273883</v>
      </c>
      <c r="AA41" s="6"/>
      <c r="AB41" s="4">
        <f t="shared" si="0"/>
        <v>704.7098738763835</v>
      </c>
      <c r="AC41" s="4"/>
      <c r="AD41" s="4">
        <f t="shared" si="3"/>
        <v>3731.929826665794</v>
      </c>
      <c r="AE41" s="4"/>
      <c r="AF41" s="4">
        <f t="shared" si="3"/>
        <v>3268.877348566956</v>
      </c>
      <c r="AG41" s="4"/>
      <c r="AH41" s="4">
        <f t="shared" si="3"/>
        <v>3424.291075768868</v>
      </c>
      <c r="AI41" s="4"/>
      <c r="AJ41" s="4">
        <f t="shared" si="12"/>
        <v>3475.0327503338726</v>
      </c>
    </row>
    <row r="42" spans="2:36" ht="12.75">
      <c r="B42" s="2" t="s">
        <v>92</v>
      </c>
      <c r="D42" s="2" t="s">
        <v>12</v>
      </c>
      <c r="F42" s="4">
        <f t="shared" si="4"/>
        <v>94.03388490227488</v>
      </c>
      <c r="H42" s="4">
        <f t="shared" si="4"/>
        <v>82.65466869071845</v>
      </c>
      <c r="J42" s="4">
        <f t="shared" si="1"/>
        <v>85.8679474489775</v>
      </c>
      <c r="L42" s="33">
        <f t="shared" si="5"/>
        <v>87.51883368065694</v>
      </c>
      <c r="M42" s="20">
        <v>100</v>
      </c>
      <c r="N42" s="4">
        <f t="shared" si="6"/>
        <v>0.8251953164893508</v>
      </c>
      <c r="O42" s="20">
        <v>100</v>
      </c>
      <c r="P42" s="4">
        <f t="shared" si="7"/>
        <v>0.7347081661397196</v>
      </c>
      <c r="Q42" s="20">
        <v>100</v>
      </c>
      <c r="R42" s="4">
        <f t="shared" si="8"/>
        <v>0.7912118014941498</v>
      </c>
      <c r="S42" s="20">
        <v>100</v>
      </c>
      <c r="T42" s="4">
        <f t="shared" si="2"/>
        <v>0.7837050947077401</v>
      </c>
      <c r="U42" s="2">
        <v>100</v>
      </c>
      <c r="V42" s="4">
        <f t="shared" si="9"/>
        <v>0.5757176626669891</v>
      </c>
      <c r="W42" s="2">
        <v>100</v>
      </c>
      <c r="X42" s="4">
        <f t="shared" si="10"/>
        <v>0.5223315868649571</v>
      </c>
      <c r="Y42" s="2">
        <v>100</v>
      </c>
      <c r="Z42" s="4">
        <f t="shared" si="11"/>
        <v>5.581416584183539</v>
      </c>
      <c r="AA42" s="2">
        <v>100</v>
      </c>
      <c r="AB42" s="4">
        <f>AVERAGE(Z42,X42,V42)/2</f>
        <v>1.1132443056192474</v>
      </c>
      <c r="AC42" s="4">
        <f>SUM(V42,N42)/AD42*100</f>
        <v>1.4679268047456262</v>
      </c>
      <c r="AD42" s="4">
        <f t="shared" si="3"/>
        <v>95.43479788143122</v>
      </c>
      <c r="AE42" s="4">
        <f>SUM(X42,P42)/AF42*100</f>
        <v>1.498050482249128</v>
      </c>
      <c r="AF42" s="4">
        <f t="shared" si="3"/>
        <v>83.91170844372313</v>
      </c>
      <c r="AG42" s="4">
        <f>SUM(Z42,R42)/AH42*100</f>
        <v>6.908704036172619</v>
      </c>
      <c r="AH42" s="4">
        <f t="shared" si="3"/>
        <v>92.24057583465519</v>
      </c>
      <c r="AI42" s="4">
        <f>SUM(AB42,T42)/AJ42*100</f>
        <v>2.1214928002240043</v>
      </c>
      <c r="AJ42" s="4">
        <f t="shared" si="12"/>
        <v>89.41578308098393</v>
      </c>
    </row>
    <row r="43" spans="2:36" ht="12.75">
      <c r="B43" s="2" t="s">
        <v>118</v>
      </c>
      <c r="D43" s="2" t="s">
        <v>12</v>
      </c>
      <c r="F43" s="4">
        <f t="shared" si="4"/>
        <v>793.2110018967404</v>
      </c>
      <c r="H43" s="4">
        <f t="shared" si="4"/>
        <v>700.2687208519204</v>
      </c>
      <c r="J43" s="4">
        <f t="shared" si="1"/>
        <v>729.8775533163088</v>
      </c>
      <c r="L43" s="33">
        <f t="shared" si="5"/>
        <v>741.1190920216565</v>
      </c>
      <c r="M43" s="20">
        <v>100</v>
      </c>
      <c r="N43" s="4">
        <f t="shared" si="6"/>
        <v>140.73098420748622</v>
      </c>
      <c r="O43" s="20">
        <v>100</v>
      </c>
      <c r="P43" s="4">
        <f t="shared" si="7"/>
        <v>116.52012322372116</v>
      </c>
      <c r="Q43" s="20">
        <v>100</v>
      </c>
      <c r="R43" s="4">
        <f t="shared" si="8"/>
        <v>130.02860613702308</v>
      </c>
      <c r="S43" s="20">
        <v>100</v>
      </c>
      <c r="T43" s="4">
        <f t="shared" si="2"/>
        <v>129.09323785607683</v>
      </c>
      <c r="U43" s="2">
        <v>100</v>
      </c>
      <c r="V43" s="4">
        <f t="shared" si="9"/>
        <v>147.76753341786053</v>
      </c>
      <c r="W43" s="2">
        <v>100</v>
      </c>
      <c r="X43" s="4">
        <f t="shared" si="10"/>
        <v>142.92369794436732</v>
      </c>
      <c r="Y43" s="2">
        <v>100</v>
      </c>
      <c r="Z43" s="4">
        <f t="shared" si="11"/>
        <v>152.72227796282425</v>
      </c>
      <c r="AA43" s="2">
        <v>100</v>
      </c>
      <c r="AB43" s="4">
        <f>AVERAGE(Z43,X43,V43)/2</f>
        <v>73.90225155417535</v>
      </c>
      <c r="AC43" s="4">
        <f aca="true" t="shared" si="13" ref="AC43:AI44">SUM(V43,N43)/AD43*100</f>
        <v>26.67060910703725</v>
      </c>
      <c r="AD43" s="4">
        <f t="shared" si="3"/>
        <v>1081.7095195220872</v>
      </c>
      <c r="AE43" s="4">
        <f t="shared" si="13"/>
        <v>27.033492822966497</v>
      </c>
      <c r="AF43" s="4">
        <f t="shared" si="3"/>
        <v>959.7125420200089</v>
      </c>
      <c r="AG43" s="4">
        <f t="shared" si="13"/>
        <v>27.922471229557843</v>
      </c>
      <c r="AH43" s="4">
        <f t="shared" si="3"/>
        <v>1012.6284374161561</v>
      </c>
      <c r="AI43" s="4">
        <f t="shared" si="13"/>
        <v>21.501149691213893</v>
      </c>
      <c r="AJ43" s="4">
        <f t="shared" si="12"/>
        <v>944.1145814319086</v>
      </c>
    </row>
    <row r="44" spans="2:36" ht="12.75">
      <c r="B44" s="2" t="s">
        <v>119</v>
      </c>
      <c r="D44" s="2" t="s">
        <v>12</v>
      </c>
      <c r="F44" s="9">
        <f t="shared" si="4"/>
        <v>1081.0698332302352</v>
      </c>
      <c r="G44" s="9"/>
      <c r="H44" s="9">
        <f t="shared" si="4"/>
        <v>952.824652962449</v>
      </c>
      <c r="I44" s="9"/>
      <c r="J44" s="9">
        <f t="shared" si="1"/>
        <v>993.6148204810254</v>
      </c>
      <c r="K44" s="9"/>
      <c r="L44" s="32">
        <f t="shared" si="5"/>
        <v>1009.1697688912367</v>
      </c>
      <c r="M44" s="20">
        <v>100</v>
      </c>
      <c r="N44" s="4">
        <f t="shared" si="6"/>
        <v>112.58478736598897</v>
      </c>
      <c r="O44" s="20">
        <v>100</v>
      </c>
      <c r="P44" s="4">
        <f t="shared" si="7"/>
        <v>101.02237284421146</v>
      </c>
      <c r="Q44" s="20">
        <v>100</v>
      </c>
      <c r="R44" s="4">
        <f t="shared" si="8"/>
        <v>103.6548794205514</v>
      </c>
      <c r="S44" s="20">
        <v>100</v>
      </c>
      <c r="T44" s="4">
        <f t="shared" si="2"/>
        <v>105.7540132102506</v>
      </c>
      <c r="U44" s="2">
        <v>100</v>
      </c>
      <c r="V44" s="4">
        <f t="shared" si="9"/>
        <v>73.56392356300417</v>
      </c>
      <c r="W44" s="2">
        <v>100</v>
      </c>
      <c r="X44" s="4">
        <f t="shared" si="10"/>
        <v>71.748844349582</v>
      </c>
      <c r="Y44" s="2">
        <v>100</v>
      </c>
      <c r="Z44" s="4">
        <f t="shared" si="11"/>
        <v>76.05446774052294</v>
      </c>
      <c r="AA44" s="2">
        <v>100</v>
      </c>
      <c r="AB44" s="4">
        <f>AVERAGE(Z44,X44,V44)/2</f>
        <v>36.894539275518184</v>
      </c>
      <c r="AC44" s="4">
        <f t="shared" si="13"/>
        <v>14.689550731953558</v>
      </c>
      <c r="AD44" s="4">
        <f t="shared" si="3"/>
        <v>1267.2185441592283</v>
      </c>
      <c r="AE44" s="4">
        <f t="shared" si="13"/>
        <v>15.34931157572667</v>
      </c>
      <c r="AF44" s="4">
        <f t="shared" si="3"/>
        <v>1125.5958701562424</v>
      </c>
      <c r="AG44" s="4">
        <f t="shared" si="13"/>
        <v>15.316257187663354</v>
      </c>
      <c r="AH44" s="4">
        <f t="shared" si="3"/>
        <v>1173.3241676420998</v>
      </c>
      <c r="AI44" s="4">
        <f t="shared" si="13"/>
        <v>12.384639993851774</v>
      </c>
      <c r="AJ44" s="4">
        <f t="shared" si="12"/>
        <v>1151.8183213770055</v>
      </c>
    </row>
    <row r="45" spans="12:35" ht="12.75">
      <c r="L45" s="33"/>
      <c r="N45" s="20"/>
      <c r="O45" s="20"/>
      <c r="P45" s="20"/>
      <c r="Q45" s="20"/>
      <c r="R45" s="20"/>
      <c r="S45" s="20"/>
      <c r="T45" s="4"/>
      <c r="U45" s="6"/>
      <c r="V45" s="6"/>
      <c r="W45" s="6"/>
      <c r="X45" s="6"/>
      <c r="Y45" s="6"/>
      <c r="Z45" s="6"/>
      <c r="AA45" s="6"/>
      <c r="AB45" s="4"/>
      <c r="AC45" s="4"/>
      <c r="AE45" s="4"/>
      <c r="AG45" s="4"/>
      <c r="AI45" s="4"/>
    </row>
    <row r="46" spans="2:36" ht="12.75">
      <c r="B46" s="2" t="s">
        <v>5</v>
      </c>
      <c r="D46" s="2" t="s">
        <v>12</v>
      </c>
      <c r="F46" s="9">
        <f>SUM(F39,F41)</f>
        <v>3105.037260650628</v>
      </c>
      <c r="G46" s="9"/>
      <c r="H46" s="9">
        <f>SUM(H39,H41)</f>
        <v>2729.326039058099</v>
      </c>
      <c r="I46" s="9"/>
      <c r="J46" s="9">
        <f>SUM(J39,J41)</f>
        <v>2842.229060561156</v>
      </c>
      <c r="K46" s="9"/>
      <c r="L46" s="32">
        <f t="shared" si="5"/>
        <v>2892.197453423294</v>
      </c>
      <c r="M46" s="9">
        <v>100</v>
      </c>
      <c r="N46" s="9">
        <f>SUM(N39,N41)</f>
        <v>171.346370135533</v>
      </c>
      <c r="O46" s="9">
        <v>100</v>
      </c>
      <c r="P46" s="9">
        <f>SUM(P39,P41)</f>
        <v>142.83759933114789</v>
      </c>
      <c r="Q46" s="9">
        <v>100</v>
      </c>
      <c r="R46" s="9">
        <f>SUM(R39,R41)</f>
        <v>157.54928329442038</v>
      </c>
      <c r="S46" s="9">
        <v>100</v>
      </c>
      <c r="T46" s="9">
        <f>AVERAGE(R46,P46,N46)</f>
        <v>157.24441758703375</v>
      </c>
      <c r="U46" s="9"/>
      <c r="V46" s="9">
        <f>SUM(V39,V41)</f>
        <v>769.2867345814677</v>
      </c>
      <c r="W46" s="9"/>
      <c r="X46" s="9">
        <f>SUM(X39,X41)</f>
        <v>674.2095405841521</v>
      </c>
      <c r="Y46" s="9"/>
      <c r="Z46" s="9">
        <f>SUM(Z39,Z41)</f>
        <v>714.2986542791372</v>
      </c>
      <c r="AA46" s="9"/>
      <c r="AB46" s="9">
        <f>AVERAGE(Z46,X46,V46)</f>
        <v>719.2649764815857</v>
      </c>
      <c r="AC46" s="9">
        <f>N46/AD46*100</f>
        <v>4.235302302489067</v>
      </c>
      <c r="AD46" s="9">
        <f aca="true" t="shared" si="14" ref="AD46:AF47">SUM(V46,N46,F46)</f>
        <v>4045.6703653676286</v>
      </c>
      <c r="AE46" s="9">
        <f>P46/AF46*100</f>
        <v>4.027709215094402</v>
      </c>
      <c r="AF46" s="9">
        <f t="shared" si="14"/>
        <v>3546.3731789733993</v>
      </c>
      <c r="AG46" s="9">
        <f>R46/AH46*100</f>
        <v>4.241949840392239</v>
      </c>
      <c r="AH46" s="9">
        <f>SUM(Z46,R46,J46)</f>
        <v>3714.076998134714</v>
      </c>
      <c r="AI46" s="9">
        <f>T46/AJ46*100</f>
        <v>4.172370628712616</v>
      </c>
      <c r="AJ46" s="9">
        <f>SUM(AB46,T46,L46)</f>
        <v>3768.7068474919133</v>
      </c>
    </row>
    <row r="47" spans="2:36" ht="12.75">
      <c r="B47" s="2" t="s">
        <v>6</v>
      </c>
      <c r="D47" s="2" t="s">
        <v>12</v>
      </c>
      <c r="F47" s="9">
        <f>SUM(F36,F38,F40)</f>
        <v>12922.94246799835</v>
      </c>
      <c r="G47" s="9"/>
      <c r="H47" s="9">
        <f>SUM(H36,H38,H40)</f>
        <v>11400.604371771184</v>
      </c>
      <c r="I47" s="9"/>
      <c r="J47" s="9">
        <f>SUM(J36,J38,J40)</f>
        <v>11843.643323141112</v>
      </c>
      <c r="K47" s="9"/>
      <c r="L47" s="32">
        <f t="shared" si="5"/>
        <v>12055.730054303547</v>
      </c>
      <c r="M47" s="9"/>
      <c r="N47" s="9">
        <f>SUM(N36,N38,N40)</f>
        <v>2059.7898597641165</v>
      </c>
      <c r="O47" s="9"/>
      <c r="P47" s="9">
        <f>SUM(P36,P38,P40)</f>
        <v>1739.7659777886645</v>
      </c>
      <c r="Q47" s="9"/>
      <c r="R47" s="9">
        <f>SUM(R36,R38,R40)</f>
        <v>2030.776957168318</v>
      </c>
      <c r="S47" s="9"/>
      <c r="T47" s="9">
        <f>AVERAGE(R47,P47,N47)</f>
        <v>1943.4442649070327</v>
      </c>
      <c r="U47" s="9"/>
      <c r="V47" s="9">
        <f>SUM(V36,V38,V40)</f>
        <v>3424.912390891326</v>
      </c>
      <c r="W47" s="9"/>
      <c r="X47" s="9">
        <f>SUM(X36,X38,X40)</f>
        <v>3079.4603994840595</v>
      </c>
      <c r="Y47" s="9"/>
      <c r="Z47" s="9">
        <f>SUM(Z36,Z38,Z40)</f>
        <v>3265.4353729882587</v>
      </c>
      <c r="AA47" s="9"/>
      <c r="AB47" s="9">
        <f>AVERAGE(Z47,X47,V47)</f>
        <v>3256.602721121215</v>
      </c>
      <c r="AC47" s="9"/>
      <c r="AD47" s="9">
        <f t="shared" si="14"/>
        <v>18407.64471865379</v>
      </c>
      <c r="AE47" s="9"/>
      <c r="AF47" s="9">
        <f t="shared" si="14"/>
        <v>16219.830749043907</v>
      </c>
      <c r="AG47" s="9"/>
      <c r="AH47" s="9">
        <f>SUM(Z47,R47,J47)</f>
        <v>17139.855653297687</v>
      </c>
      <c r="AI47" s="9"/>
      <c r="AJ47" s="9">
        <f>SUM(AB47,T47,L47)</f>
        <v>17255.777040331795</v>
      </c>
    </row>
    <row r="49" spans="1:3" ht="12.75">
      <c r="A49" s="2" t="s">
        <v>110</v>
      </c>
      <c r="B49" s="1" t="s">
        <v>63</v>
      </c>
      <c r="C49" s="1"/>
    </row>
    <row r="50" spans="2:4" ht="12.75">
      <c r="B50" s="1"/>
      <c r="C50" s="1"/>
      <c r="D50" s="1"/>
    </row>
    <row r="51" spans="12:36" ht="12.75">
      <c r="L51" s="35"/>
      <c r="T51" s="36"/>
      <c r="AB51" s="36"/>
      <c r="AJ51" s="36"/>
    </row>
    <row r="52" spans="12:36" ht="12.75">
      <c r="L52" s="35"/>
      <c r="T52" s="36"/>
      <c r="AB52" s="36"/>
      <c r="AJ52" s="36"/>
    </row>
    <row r="53" spans="12:36" ht="12.75">
      <c r="L53" s="35"/>
      <c r="T53" s="36"/>
      <c r="AB53" s="36"/>
      <c r="AJ53" s="36"/>
    </row>
    <row r="54" spans="12:36" ht="12.75">
      <c r="L54" s="35"/>
      <c r="T54" s="36"/>
      <c r="AB54" s="36"/>
      <c r="AJ54" s="36"/>
    </row>
    <row r="55" spans="12:36" ht="12.75">
      <c r="L55" s="35"/>
      <c r="T55" s="36"/>
      <c r="AB55" s="36"/>
      <c r="AJ55" s="36"/>
    </row>
    <row r="56" spans="12:36" ht="12.75">
      <c r="L56" s="35"/>
      <c r="T56" s="36"/>
      <c r="AB56" s="36"/>
      <c r="AJ56" s="36"/>
    </row>
    <row r="57" spans="12:36" ht="12.75">
      <c r="L57" s="35"/>
      <c r="T57" s="36"/>
      <c r="AB57" s="36"/>
      <c r="AJ57" s="36"/>
    </row>
    <row r="58" spans="12:36" ht="12.75">
      <c r="L58" s="35"/>
      <c r="T58" s="36"/>
      <c r="AB58" s="36"/>
      <c r="AJ58" s="36"/>
    </row>
    <row r="59" spans="12:36" ht="12.75">
      <c r="L59" s="35"/>
      <c r="T59" s="36"/>
      <c r="AB59" s="36"/>
      <c r="AJ59" s="36"/>
    </row>
    <row r="60" spans="12:36" ht="12.75">
      <c r="L60" s="35"/>
      <c r="T60" s="36"/>
      <c r="AB60" s="36"/>
      <c r="AJ60" s="36"/>
    </row>
    <row r="61" spans="12:36" ht="12.75">
      <c r="L61" s="35"/>
      <c r="T61" s="36"/>
      <c r="AB61" s="36"/>
      <c r="AJ61" s="36"/>
    </row>
    <row r="62" spans="12:36" ht="12.75">
      <c r="L62" s="35"/>
      <c r="T62" s="36"/>
      <c r="AB62" s="36"/>
      <c r="AJ62" s="36"/>
    </row>
    <row r="63" spans="12:36" ht="12.75" customHeight="1">
      <c r="L63" s="35"/>
      <c r="T63" s="36"/>
      <c r="AB63" s="36"/>
      <c r="AJ63" s="36"/>
    </row>
    <row r="64" spans="12:36" ht="12.75">
      <c r="L64" s="35"/>
      <c r="T64" s="36"/>
      <c r="AB64" s="36"/>
      <c r="AJ64" s="36"/>
    </row>
    <row r="65" spans="12:36" ht="12.75">
      <c r="L65" s="35"/>
      <c r="T65" s="36"/>
      <c r="AB65" s="36"/>
      <c r="AJ65" s="36"/>
    </row>
    <row r="66" spans="12:36" ht="12.75" customHeight="1">
      <c r="L66" s="35"/>
      <c r="T66" s="36"/>
      <c r="AB66" s="36"/>
      <c r="AJ66" s="36"/>
    </row>
    <row r="67" spans="12:36" ht="12.75">
      <c r="L67" s="35"/>
      <c r="T67" s="36"/>
      <c r="AB67" s="36"/>
      <c r="AJ67" s="36"/>
    </row>
    <row r="68" spans="12:36" ht="12.75">
      <c r="L68" s="35"/>
      <c r="T68" s="36"/>
      <c r="AB68" s="36"/>
      <c r="AJ68" s="36"/>
    </row>
    <row r="69" spans="12:36" ht="12.75">
      <c r="L69" s="35"/>
      <c r="T69" s="36"/>
      <c r="AB69" s="36"/>
      <c r="AJ69" s="36"/>
    </row>
    <row r="70" spans="12:36" ht="12.75">
      <c r="L70" s="35"/>
      <c r="T70" s="36"/>
      <c r="AB70" s="36"/>
      <c r="AJ70" s="36"/>
    </row>
    <row r="71" spans="12:36" ht="12.75">
      <c r="L71" s="35"/>
      <c r="T71" s="36"/>
      <c r="AB71" s="36"/>
      <c r="AJ71" s="36"/>
    </row>
    <row r="72" spans="12:36" ht="12.75">
      <c r="L72" s="35"/>
      <c r="T72" s="36"/>
      <c r="AB72" s="36"/>
      <c r="AJ72" s="36"/>
    </row>
    <row r="73" spans="12:36" ht="12.75">
      <c r="L73" s="35"/>
      <c r="T73" s="36"/>
      <c r="AB73" s="36"/>
      <c r="AJ73" s="36"/>
    </row>
    <row r="74" spans="12:36" ht="12.75">
      <c r="L74" s="35"/>
      <c r="T74" s="36"/>
      <c r="AB74" s="36"/>
      <c r="AJ74" s="36"/>
    </row>
    <row r="75" spans="12:36" ht="12.75">
      <c r="L75" s="35"/>
      <c r="T75" s="36"/>
      <c r="AB75" s="36"/>
      <c r="AJ75" s="36"/>
    </row>
    <row r="76" spans="12:36" ht="12.75">
      <c r="L76" s="35"/>
      <c r="T76" s="36"/>
      <c r="AB76" s="36"/>
      <c r="AJ76" s="36"/>
    </row>
    <row r="77" spans="12:36" ht="12.75">
      <c r="L77" s="35"/>
      <c r="T77" s="36"/>
      <c r="AB77" s="36"/>
      <c r="AJ77" s="36"/>
    </row>
    <row r="78" spans="12:36" ht="12.75">
      <c r="L78" s="35"/>
      <c r="T78" s="36"/>
      <c r="AB78" s="36"/>
      <c r="AJ78" s="36"/>
    </row>
    <row r="79" spans="12:36" ht="12.75">
      <c r="L79" s="35"/>
      <c r="T79" s="36"/>
      <c r="AB79" s="36"/>
      <c r="AJ79" s="36"/>
    </row>
    <row r="80" spans="12:36" ht="12.75">
      <c r="L80" s="35"/>
      <c r="T80" s="36"/>
      <c r="AB80" s="36"/>
      <c r="AJ80" s="36"/>
    </row>
    <row r="82" spans="2:3" ht="12.75">
      <c r="B82" s="1"/>
      <c r="C82" s="1"/>
    </row>
    <row r="83" spans="2:3" ht="12.75">
      <c r="B83" s="1"/>
      <c r="C83" s="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16" sqref="B16"/>
    </sheetView>
  </sheetViews>
  <sheetFormatPr defaultColWidth="9.140625" defaultRowHeight="12.75"/>
  <cols>
    <col min="1" max="1" width="32.7109375" style="2" customWidth="1"/>
    <col min="2" max="2" width="11.7109375" style="2" customWidth="1"/>
    <col min="3" max="3" width="12.28125" style="2" customWidth="1"/>
    <col min="4" max="4" width="11.140625" style="2" customWidth="1"/>
    <col min="5" max="5" width="8.28125" style="2" customWidth="1"/>
    <col min="6" max="16384" width="11.421875" style="2" customWidth="1"/>
  </cols>
  <sheetData>
    <row r="1" ht="12.75">
      <c r="A1" s="1" t="s">
        <v>40</v>
      </c>
    </row>
    <row r="3" spans="2:5" ht="12.75">
      <c r="B3" s="2" t="s">
        <v>32</v>
      </c>
      <c r="C3" s="3" t="s">
        <v>33</v>
      </c>
      <c r="D3" s="3"/>
      <c r="E3" s="3"/>
    </row>
    <row r="4" spans="1:5" ht="12.75">
      <c r="A4" s="1"/>
      <c r="C4" s="3"/>
      <c r="D4" s="3"/>
      <c r="E4" s="3"/>
    </row>
    <row r="5" spans="1:5" ht="12.75">
      <c r="A5" s="1" t="str">
        <f>feed!B5</f>
        <v>1011C1</v>
      </c>
      <c r="E5" s="3"/>
    </row>
    <row r="6" spans="1:5" ht="12.75">
      <c r="A6" s="1"/>
      <c r="E6" s="3"/>
    </row>
    <row r="7" spans="1:3" ht="12.75">
      <c r="A7" s="2" t="s">
        <v>77</v>
      </c>
      <c r="B7" s="2" t="s">
        <v>54</v>
      </c>
      <c r="C7" s="4">
        <v>143.6</v>
      </c>
    </row>
    <row r="8" spans="1:3" ht="12.75">
      <c r="A8" s="2" t="s">
        <v>74</v>
      </c>
      <c r="B8" s="2" t="s">
        <v>41</v>
      </c>
      <c r="C8" s="2">
        <v>1164</v>
      </c>
    </row>
    <row r="9" spans="1:3" ht="12.75">
      <c r="A9" s="2" t="s">
        <v>75</v>
      </c>
      <c r="B9" s="2" t="s">
        <v>41</v>
      </c>
      <c r="C9" s="2">
        <v>426</v>
      </c>
    </row>
    <row r="10" spans="1:3" ht="12.75">
      <c r="A10" s="2" t="s">
        <v>76</v>
      </c>
      <c r="B10" s="2" t="s">
        <v>44</v>
      </c>
      <c r="C10" s="2">
        <v>14.3</v>
      </c>
    </row>
    <row r="11" spans="1:3" ht="12.75">
      <c r="A11" s="2" t="s">
        <v>78</v>
      </c>
      <c r="B11" s="2" t="s">
        <v>53</v>
      </c>
      <c r="C11" s="2">
        <v>2566</v>
      </c>
    </row>
    <row r="13" ht="12.75">
      <c r="A13" s="1" t="str">
        <f>feed!B49</f>
        <v>1011C2</v>
      </c>
    </row>
    <row r="14" ht="12.75">
      <c r="A14" s="1"/>
    </row>
    <row r="15" spans="1:3" ht="12.75">
      <c r="A15" s="2" t="s">
        <v>77</v>
      </c>
      <c r="B15" s="2" t="s">
        <v>54</v>
      </c>
      <c r="C15" s="5">
        <v>100.3</v>
      </c>
    </row>
    <row r="16" spans="1:3" ht="12.75">
      <c r="A16" s="2" t="s">
        <v>78</v>
      </c>
      <c r="B16" s="2" t="s">
        <v>53</v>
      </c>
      <c r="C16" s="9">
        <v>2318</v>
      </c>
    </row>
    <row r="17" spans="1:3" ht="12.75">
      <c r="A17" s="2" t="s">
        <v>79</v>
      </c>
      <c r="B17" s="2" t="s">
        <v>41</v>
      </c>
      <c r="C17" s="7">
        <v>974</v>
      </c>
    </row>
    <row r="29" ht="12.75">
      <c r="C29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2004-02-23T18:44:51Z</cp:lastPrinted>
  <dcterms:created xsi:type="dcterms:W3CDTF">2000-02-25T16:38:56Z</dcterms:created>
  <dcterms:modified xsi:type="dcterms:W3CDTF">2004-02-23T18:45:17Z</dcterms:modified>
  <cp:category/>
  <cp:version/>
  <cp:contentType/>
  <cp:contentStatus/>
</cp:coreProperties>
</file>