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15" firstSheet="6" activeTab="9"/>
  </bookViews>
  <sheets>
    <sheet name="aug summary" sheetId="1" r:id="rId1"/>
    <sheet name="auganalysis" sheetId="2" r:id="rId2"/>
    <sheet name="Explanation 50% Reg Takes BPA" sheetId="3" r:id="rId3"/>
    <sheet name="Explanation 50% Reg Self Funded" sheetId="4" r:id="rId4"/>
    <sheet name="Explanation 50% Reg HalfSelf" sheetId="5" r:id="rId5"/>
    <sheet name="Explanation 50% Orig Assump" sheetId="6" r:id="rId6"/>
    <sheet name="Explanation 75%" sheetId="7" r:id="rId7"/>
    <sheet name="sclsplitout072806" sheetId="8" r:id="rId8"/>
    <sheet name="sclsplitout072806hwm=fbs" sheetId="9" r:id="rId9"/>
    <sheet name="kkeatingoriginal" sheetId="10" r:id="rId10"/>
  </sheets>
  <definedNames>
    <definedName name="_xlnm.Print_Area" localSheetId="1">'auganalysis'!$A$1:$AA$109</definedName>
  </definedNames>
  <calcPr fullCalcOnLoad="1"/>
</workbook>
</file>

<file path=xl/sharedStrings.xml><?xml version="1.0" encoding="utf-8"?>
<sst xmlns="http://schemas.openxmlformats.org/spreadsheetml/2006/main" count="426" uniqueCount="128">
  <si>
    <t>BPA Decrement Analysis</t>
  </si>
  <si>
    <t>BPA conservation payment</t>
  </si>
  <si>
    <t>$/kWh</t>
  </si>
  <si>
    <t>Year</t>
  </si>
  <si>
    <t>Benefit</t>
  </si>
  <si>
    <t>Cost</t>
  </si>
  <si>
    <t>Through 2011</t>
  </si>
  <si>
    <t>Assumed gap between SCL BPA rate and market rate</t>
  </si>
  <si>
    <t>aMW</t>
  </si>
  <si>
    <t>Cost to Date</t>
  </si>
  <si>
    <t>Total Cost</t>
  </si>
  <si>
    <t>Total Benefit</t>
  </si>
  <si>
    <t>Average Case @ 15 cents/kWh</t>
  </si>
  <si>
    <t>Annual savings acquisition</t>
  </si>
  <si>
    <t>KEYS TO ANALYSIS:</t>
  </si>
  <si>
    <t>We assume that the utilities as a whole will have higher net req'ts in 2010 than there is Tier 1 available</t>
  </si>
  <si>
    <t>We do not analyze the situation in which the individual utility's HWM provides headroom, or how its conservation would impact</t>
  </si>
  <si>
    <t>It is intended to show the patterns that will occur if all other things are held constant</t>
  </si>
  <si>
    <t>Scenario 4:  Big utilities get aggressive with BPA funding; others just do 2% between 2007-2010</t>
  </si>
  <si>
    <t>aMW Net Req't 2010 w/o Conservation</t>
  </si>
  <si>
    <t>"Do Nothing" share of FBS</t>
  </si>
  <si>
    <t>Big Utility gets very aggressive/ others do CRC only</t>
  </si>
  <si>
    <t>Post-conservation loads to serve</t>
  </si>
  <si>
    <t>New Share of FBS (0% added back)</t>
  </si>
  <si>
    <t>50% share added back</t>
  </si>
  <si>
    <t>Revised Share of FBS</t>
  </si>
  <si>
    <t>75% share added back</t>
  </si>
  <si>
    <t>Revised share of FBS</t>
  </si>
  <si>
    <t>100% share added back</t>
  </si>
  <si>
    <t>SCL Allocation</t>
  </si>
  <si>
    <t>w/BPA funding</t>
  </si>
  <si>
    <t>w/o BPA funding</t>
  </si>
  <si>
    <t>Difference</t>
  </si>
  <si>
    <t>Actual % reduction</t>
  </si>
  <si>
    <t xml:space="preserve">SCL </t>
  </si>
  <si>
    <t>Tier 1 service</t>
  </si>
  <si>
    <t>Tier 2 needs</t>
  </si>
  <si>
    <t>A   (BIG) Loads</t>
  </si>
  <si>
    <t>B (MED) Loads</t>
  </si>
  <si>
    <t>C (SMALL) Loads</t>
  </si>
  <si>
    <t>Total*</t>
  </si>
  <si>
    <t>Total Tier 2 needs</t>
  </si>
  <si>
    <t>Max avail FBS</t>
  </si>
  <si>
    <t>* Totals shown to indicate total loads after conservation  is considered in each scenario.</t>
  </si>
  <si>
    <t>Utility</t>
  </si>
  <si>
    <t>Through 2031</t>
  </si>
  <si>
    <t>Discount Rate</t>
  </si>
  <si>
    <t>50%Case, Full Add Back</t>
  </si>
  <si>
    <t>Bilateral Contract, 50%Case, Full Add Back</t>
  </si>
  <si>
    <t>Bilateral Contract, 75%Case, Full Add Back</t>
  </si>
  <si>
    <t>Rate Discount, 50%Case, Full Add Back</t>
  </si>
  <si>
    <t>Rate Discount, 75%Case, Full Add Back</t>
  </si>
  <si>
    <t>SUMMARY</t>
  </si>
  <si>
    <t>Bilateral Contract</t>
  </si>
  <si>
    <t>Rate Discount</t>
  </si>
  <si>
    <t>75%Case, Full Add Back</t>
  </si>
  <si>
    <t>BPA Conservation Funding, Post-2006</t>
  </si>
  <si>
    <t>Funding @ $0.15/kWh</t>
  </si>
  <si>
    <t>Figures are $/MWh (equivalent to mills/kWh)</t>
  </si>
  <si>
    <t>Differential + BPA PF</t>
  </si>
  <si>
    <t>Break-Even Differential</t>
  </si>
  <si>
    <t>Summary of Conservation Resources' Latest Analysis</t>
  </si>
  <si>
    <t>&gt;  $55/MWh</t>
  </si>
  <si>
    <t>50% share others, 100% SCL</t>
  </si>
  <si>
    <t xml:space="preserve"> 50%Case, Proportional Add Back (45%)</t>
  </si>
  <si>
    <t>Rate Discount, 50%Case, Proportional Add Back (45%)</t>
  </si>
  <si>
    <t>Bilateral Contract, 50%Case, Proportional Add Back (45%)</t>
  </si>
  <si>
    <t>75% share others, 100% SCL</t>
  </si>
  <si>
    <t>Bilateral Contract, 75%Case, Proportional Add Back (22.5%)</t>
  </si>
  <si>
    <t>Rate Discount, 75%Case, Proportional Add Back (22.5%)</t>
  </si>
  <si>
    <t>75%Case, Proportional Add Back (22.5%)</t>
  </si>
  <si>
    <t>&lt; $50/MWh</t>
  </si>
  <si>
    <t>$50-55/MWh</t>
  </si>
  <si>
    <t>Example of Previous and Revised Analysis</t>
  </si>
  <si>
    <t>Everybody Else</t>
  </si>
  <si>
    <t>SCL</t>
  </si>
  <si>
    <t>Total</t>
  </si>
  <si>
    <t>Initial HWM Allocation</t>
  </si>
  <si>
    <t>Conservation '07 - '11</t>
  </si>
  <si>
    <t>Reallocated HWM</t>
  </si>
  <si>
    <t>Adjusted Claim</t>
  </si>
  <si>
    <t>% as Share of HWM</t>
  </si>
  <si>
    <t>Everyone Takes BPA Funding @ 50% Credit</t>
  </si>
  <si>
    <t>SCL Self-Funded, Rest of Region BPA Funding</t>
  </si>
  <si>
    <t>Everyone 100% Self-Funded</t>
  </si>
  <si>
    <t>Previous Analysis</t>
  </si>
  <si>
    <t>SCL HWM, Everyone 100% Self-Funded</t>
  </si>
  <si>
    <t>SCL HWM, Everyone Takes BPA Funding @ 50% Credit</t>
  </si>
  <si>
    <t>"Cost" in Tier 1 Power of Taking BPA Funding</t>
  </si>
  <si>
    <t>"Cost" as % of Conservation</t>
  </si>
  <si>
    <t>"Correct" Analysis</t>
  </si>
  <si>
    <t>SCL HWM, SCL Self-Funded, Rest of Region BPA Funding</t>
  </si>
  <si>
    <t>7/31/06</t>
  </si>
  <si>
    <t>SCL HWM, Everyone Self-Funded</t>
  </si>
  <si>
    <t xml:space="preserve">   Adjusted Claim</t>
  </si>
  <si>
    <t xml:space="preserve">   Reallocated Claim</t>
  </si>
  <si>
    <t>Alternative "Correct" Analysis</t>
  </si>
  <si>
    <t>Everyone Takes BPA Funding @ 75% Credit</t>
  </si>
  <si>
    <t>SCL HWM, SCL BPA Funding @ 50% Credit, Rest Self-Funded</t>
  </si>
  <si>
    <t>SCL Takes BPA, Rest of Region Self-Funded</t>
  </si>
  <si>
    <t>SCL Self-Funded, 1/2 of Rest Self-Funded</t>
  </si>
  <si>
    <t>New Analysis</t>
  </si>
  <si>
    <t>SCL HWM, SCL Self-Funded, 1/2 of Rest Self-Funded</t>
  </si>
  <si>
    <t xml:space="preserve">SCL HWM, SCL Takes BPA Funding, 1/2 of Rest Self </t>
  </si>
  <si>
    <t>Effect of Conservation Funding on Long-Term Power Allocation</t>
  </si>
  <si>
    <t>8/07/06</t>
  </si>
  <si>
    <t>Comparison of Previous and Revised Analysis</t>
  </si>
  <si>
    <t>TABLE 1</t>
  </si>
  <si>
    <t>TABLE 2</t>
  </si>
  <si>
    <t>Funding @ $0.15/kWh for 2007 Savings</t>
  </si>
  <si>
    <t xml:space="preserve">In Table 2 below, it is assumed that BPA Tier 1 = 2007 proposed PF of $27.33, and that amount is added to the "Break-Even Differential" from Table 1.  The result is the "break-even" alternative cost of power.  Then $55/MWh is assumed as the future alternative cost of power and color coding is overlaid based on whether the breakeven cost of power is greater or less than that forecast.  If the break-even cost is more than $55, SCL is better off having taken BPA funding.  If it is less, SCL is worse off having taken BPA funding.  </t>
  </si>
  <si>
    <t>Note:</t>
  </si>
  <si>
    <t>August 8, 2006</t>
  </si>
  <si>
    <t>Break-Even Analysis: The analysis summarized in Table 1 below estimates how much more expensive than Tier 1 alternative energy can be for SCL to be indifferent to taking BPA conservation funding.  (This analysis assumes SCL would acquire the conservation whether or not  BPA funds it.)  If the actual difference between the alternative cost of power and Tier 1 is smaller than the "Break-Even Differential" amount, then SCL would be better off having taken BPA funding.  If it is greater, SCL would be worse off.</t>
  </si>
  <si>
    <t>In all cases, a 100% decrement is assumed through 2011.</t>
  </si>
  <si>
    <t>"Full Add Back" = SCL's HWM is increased by the full amount of BPA's conservation credit for post-2011allocation.</t>
  </si>
  <si>
    <t>"Proportional Add Back" = SCL's HWM is increased by the amount expected to result from reallocation of the previously fixed total HWM for all utilities, consistent with BPA's current Regional Dialogue Proposal.  The resulting "cost" of taking BPA funding is less than the full credit in each case, and is estimated to be 45% for the 50% credit case and 22.5% for the 75% credit case.  See the tabs labeled "Explanation..." for the basis for the 45% and 22.5% estimates.</t>
  </si>
  <si>
    <t>8/08/06 DRAFT</t>
  </si>
  <si>
    <t>8/8/06</t>
  </si>
  <si>
    <t>Assumes Everyone Else Funds Conservation Themselves</t>
  </si>
  <si>
    <t>Assumes Everyone Else Takes BPA Funding</t>
  </si>
  <si>
    <t>Assumes Half of Region Takes BPA Funding and Half Self-Funds</t>
  </si>
  <si>
    <t>Original Assumptions Used for BPA Spreadsheet</t>
  </si>
  <si>
    <t>% Change vs. Conservation</t>
  </si>
  <si>
    <t>SCL Takes BPA Funding, Rest of Region Self-Funded</t>
  </si>
  <si>
    <t xml:space="preserve">   % Change vs. Conservation</t>
  </si>
  <si>
    <t>SCL HWM, SCL Takes BPA Funding, Rest of Region Self-Funded</t>
  </si>
  <si>
    <t>SCL Takes BPA Funding @ 50% Credit, 1/2 of Rest Self</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</si>
</sst>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
    <numFmt numFmtId="166" formatCode="0.00000"/>
    <numFmt numFmtId="167" formatCode="0.0000"/>
    <numFmt numFmtId="168" formatCode="0.000"/>
    <numFmt numFmtId="169" formatCode="&quot;$&quot;#,##0.0000"/>
    <numFmt numFmtId="170" formatCode="&quot;$&quot;#,##0.000_);[Red]\(&quot;$&quot;#,##0.000\)"/>
    <numFmt numFmtId="171" formatCode="&quot;$&quot;#,##0.0"/>
    <numFmt numFmtId="172" formatCode="&quot;$&quot;#,##0"/>
    <numFmt numFmtId="173" formatCode="&quot;$&quot;#,##0.00000"/>
    <numFmt numFmtId="174" formatCode="&quot;$&quot;#,##0.0000_);[Red]\(&quot;$&quot;#,##0.0000\)"/>
    <numFmt numFmtId="175" formatCode="0.0"/>
    <numFmt numFmtId="176" formatCode="0.0%"/>
    <numFmt numFmtId="177" formatCode="&quot;$&quot;#,##0.0_);[Red]\(&quot;$&quot;#,##0.0\)"/>
    <numFmt numFmtId="178" formatCode="0.000000"/>
  </numFmts>
  <fonts count="17">
    <font>
      <sz val="10"/>
      <name val="Arial"/>
      <family val="0"/>
    </font>
    <font>
      <b/>
      <sz val="10"/>
      <name val="Arial"/>
      <family val="2"/>
    </font>
    <font>
      <i/>
      <sz val="10"/>
      <name val="Arial"/>
      <family val="2"/>
    </font>
    <font>
      <b/>
      <i/>
      <sz val="10"/>
      <name val="Arial"/>
      <family val="2"/>
    </font>
    <font>
      <b/>
      <sz val="10"/>
      <color indexed="52"/>
      <name val="Arial"/>
      <family val="2"/>
    </font>
    <font>
      <b/>
      <i/>
      <sz val="10"/>
      <color indexed="52"/>
      <name val="Arial"/>
      <family val="2"/>
    </font>
    <font>
      <sz val="10"/>
      <color indexed="52"/>
      <name val="Arial"/>
      <family val="0"/>
    </font>
    <font>
      <i/>
      <sz val="10"/>
      <color indexed="52"/>
      <name val="Arial"/>
      <family val="0"/>
    </font>
    <font>
      <sz val="10"/>
      <color indexed="53"/>
      <name val="Arial"/>
      <family val="0"/>
    </font>
    <font>
      <i/>
      <sz val="10"/>
      <color indexed="53"/>
      <name val="Arial"/>
      <family val="0"/>
    </font>
    <font>
      <i/>
      <sz val="10"/>
      <color indexed="10"/>
      <name val="Arial"/>
      <family val="0"/>
    </font>
    <font>
      <sz val="10"/>
      <color indexed="10"/>
      <name val="Arial"/>
      <family val="0"/>
    </font>
    <font>
      <sz val="10"/>
      <color indexed="15"/>
      <name val="Arial"/>
      <family val="0"/>
    </font>
    <font>
      <i/>
      <sz val="10"/>
      <color indexed="15"/>
      <name val="Arial"/>
      <family val="0"/>
    </font>
    <font>
      <sz val="12"/>
      <name val="Arial"/>
      <family val="2"/>
    </font>
    <font>
      <b/>
      <sz val="12"/>
      <name val="Arial"/>
      <family val="2"/>
    </font>
    <font>
      <sz val="11"/>
      <name val="Arial"/>
      <family val="2"/>
    </font>
  </fonts>
  <fills count="7">
    <fill>
      <patternFill/>
    </fill>
    <fill>
      <patternFill patternType="gray125"/>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s>
  <borders count="36">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medium"/>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color indexed="63"/>
      </left>
      <right style="medium"/>
      <top style="medium"/>
      <bottom style="thin"/>
    </border>
    <border>
      <left style="medium"/>
      <right style="thin"/>
      <top style="medium"/>
      <bottom style="thin"/>
    </border>
    <border>
      <left style="medium"/>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style="thin"/>
      <top style="thin"/>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7">
    <xf numFmtId="0" fontId="0" fillId="0" borderId="0" xfId="0" applyAlignment="1">
      <alignment/>
    </xf>
    <xf numFmtId="0" fontId="0" fillId="0" borderId="0" xfId="0" applyAlignment="1" quotePrefix="1">
      <alignment/>
    </xf>
    <xf numFmtId="0" fontId="1" fillId="0" borderId="0" xfId="0" applyFont="1" applyAlignment="1">
      <alignment/>
    </xf>
    <xf numFmtId="0" fontId="1" fillId="0" borderId="1" xfId="0" applyFont="1" applyBorder="1" applyAlignment="1">
      <alignment/>
    </xf>
    <xf numFmtId="0" fontId="0" fillId="0" borderId="2" xfId="0" applyBorder="1" applyAlignment="1">
      <alignment/>
    </xf>
    <xf numFmtId="0" fontId="0" fillId="0" borderId="3" xfId="0" applyBorder="1" applyAlignment="1">
      <alignment/>
    </xf>
    <xf numFmtId="0" fontId="0" fillId="0" borderId="0" xfId="0" applyBorder="1" applyAlignment="1">
      <alignment/>
    </xf>
    <xf numFmtId="0" fontId="0" fillId="0" borderId="4" xfId="0" applyBorder="1" applyAlignment="1">
      <alignment/>
    </xf>
    <xf numFmtId="0" fontId="0" fillId="0" borderId="5" xfId="0" applyBorder="1" applyAlignment="1">
      <alignment/>
    </xf>
    <xf numFmtId="165" fontId="0" fillId="0" borderId="0" xfId="0" applyNumberForma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169" fontId="0" fillId="2" borderId="5" xfId="0" applyNumberFormat="1" applyFill="1" applyBorder="1" applyAlignment="1">
      <alignment/>
    </xf>
    <xf numFmtId="0" fontId="0" fillId="0" borderId="0" xfId="0" applyAlignment="1">
      <alignment horizontal="right"/>
    </xf>
    <xf numFmtId="169" fontId="0" fillId="0" borderId="5" xfId="0" applyNumberFormat="1" applyFill="1" applyBorder="1" applyAlignment="1">
      <alignment/>
    </xf>
    <xf numFmtId="172" fontId="0" fillId="0" borderId="0" xfId="0" applyNumberFormat="1" applyBorder="1" applyAlignment="1">
      <alignment/>
    </xf>
    <xf numFmtId="172" fontId="0" fillId="0" borderId="0" xfId="0" applyNumberFormat="1" applyAlignment="1">
      <alignment/>
    </xf>
    <xf numFmtId="172" fontId="1" fillId="0" borderId="11" xfId="0" applyNumberFormat="1" applyFont="1" applyBorder="1" applyAlignment="1">
      <alignment/>
    </xf>
    <xf numFmtId="172" fontId="0" fillId="0" borderId="4" xfId="0" applyNumberFormat="1" applyBorder="1" applyAlignment="1">
      <alignment/>
    </xf>
    <xf numFmtId="172" fontId="1" fillId="0" borderId="0" xfId="0" applyNumberFormat="1" applyFont="1" applyBorder="1" applyAlignment="1">
      <alignment/>
    </xf>
    <xf numFmtId="172" fontId="0" fillId="0" borderId="6" xfId="0" applyNumberFormat="1" applyBorder="1" applyAlignment="1">
      <alignment/>
    </xf>
    <xf numFmtId="173" fontId="0" fillId="2" borderId="5" xfId="0" applyNumberFormat="1" applyFill="1" applyBorder="1" applyAlignment="1">
      <alignment/>
    </xf>
    <xf numFmtId="0" fontId="0" fillId="0" borderId="0" xfId="0" applyAlignment="1">
      <alignment wrapText="1"/>
    </xf>
    <xf numFmtId="0" fontId="0" fillId="0" borderId="12" xfId="0" applyBorder="1" applyAlignment="1">
      <alignment/>
    </xf>
    <xf numFmtId="0" fontId="0" fillId="0" borderId="13" xfId="0" applyBorder="1" applyAlignment="1">
      <alignment/>
    </xf>
    <xf numFmtId="172" fontId="0" fillId="0" borderId="13" xfId="0" applyNumberFormat="1" applyBorder="1" applyAlignment="1">
      <alignment/>
    </xf>
    <xf numFmtId="0" fontId="0" fillId="0" borderId="0" xfId="0" applyBorder="1" applyAlignment="1">
      <alignment horizontal="right"/>
    </xf>
    <xf numFmtId="169" fontId="1" fillId="0" borderId="1" xfId="0" applyNumberFormat="1" applyFont="1" applyFill="1" applyBorder="1" applyAlignment="1">
      <alignment/>
    </xf>
    <xf numFmtId="172" fontId="0" fillId="0" borderId="2" xfId="0" applyNumberFormat="1" applyBorder="1" applyAlignment="1">
      <alignment/>
    </xf>
    <xf numFmtId="0" fontId="1" fillId="0" borderId="2" xfId="0" applyFont="1" applyBorder="1" applyAlignment="1">
      <alignment/>
    </xf>
    <xf numFmtId="169" fontId="0" fillId="0" borderId="0" xfId="0" applyNumberFormat="1" applyFill="1" applyBorder="1" applyAlignment="1">
      <alignment/>
    </xf>
    <xf numFmtId="169" fontId="1" fillId="0" borderId="2" xfId="0" applyNumberFormat="1" applyFont="1" applyFill="1" applyBorder="1" applyAlignment="1">
      <alignment/>
    </xf>
    <xf numFmtId="173" fontId="0" fillId="2" borderId="0" xfId="0" applyNumberFormat="1" applyFill="1" applyBorder="1" applyAlignment="1">
      <alignment/>
    </xf>
    <xf numFmtId="169" fontId="0" fillId="2" borderId="0" xfId="0" applyNumberFormat="1" applyFill="1" applyBorder="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2" fillId="0" borderId="0" xfId="0" applyFont="1" applyAlignment="1">
      <alignment wrapText="1"/>
    </xf>
    <xf numFmtId="0" fontId="0" fillId="3" borderId="0" xfId="0" applyFont="1" applyFill="1" applyAlignment="1">
      <alignment wrapText="1"/>
    </xf>
    <xf numFmtId="0" fontId="2" fillId="3" borderId="0" xfId="0" applyFont="1" applyFill="1" applyAlignment="1">
      <alignment wrapText="1"/>
    </xf>
    <xf numFmtId="0" fontId="6" fillId="0" borderId="0" xfId="0" applyFont="1" applyAlignment="1">
      <alignment wrapText="1"/>
    </xf>
    <xf numFmtId="0" fontId="7" fillId="0" borderId="0" xfId="0" applyFont="1" applyAlignment="1">
      <alignment wrapText="1"/>
    </xf>
    <xf numFmtId="1" fontId="2" fillId="0" borderId="0" xfId="0" applyNumberFormat="1" applyFont="1" applyAlignment="1">
      <alignment wrapText="1"/>
    </xf>
    <xf numFmtId="1" fontId="2" fillId="3" borderId="0" xfId="0" applyNumberFormat="1" applyFont="1" applyFill="1" applyAlignment="1">
      <alignment wrapText="1"/>
    </xf>
    <xf numFmtId="1" fontId="7" fillId="0" borderId="0" xfId="0" applyNumberFormat="1" applyFont="1" applyAlignment="1">
      <alignment wrapText="1"/>
    </xf>
    <xf numFmtId="1" fontId="2" fillId="0" borderId="0" xfId="0" applyNumberFormat="1" applyFont="1" applyAlignment="1">
      <alignment/>
    </xf>
    <xf numFmtId="0" fontId="0" fillId="3" borderId="0" xfId="0" applyFont="1" applyFill="1" applyAlignment="1">
      <alignment/>
    </xf>
    <xf numFmtId="1" fontId="2" fillId="3" borderId="0" xfId="0" applyNumberFormat="1" applyFont="1" applyFill="1" applyAlignment="1">
      <alignment/>
    </xf>
    <xf numFmtId="0" fontId="6" fillId="0" borderId="0" xfId="0" applyFont="1" applyAlignment="1">
      <alignment/>
    </xf>
    <xf numFmtId="1" fontId="7" fillId="0" borderId="0" xfId="0" applyNumberFormat="1" applyFont="1" applyAlignment="1">
      <alignment/>
    </xf>
    <xf numFmtId="1" fontId="2" fillId="3" borderId="0" xfId="0" applyNumberFormat="1" applyFont="1" applyFill="1" applyAlignment="1">
      <alignment/>
    </xf>
    <xf numFmtId="176" fontId="3" fillId="4" borderId="0" xfId="19" applyNumberFormat="1" applyFont="1" applyFill="1" applyAlignment="1">
      <alignment/>
    </xf>
    <xf numFmtId="176" fontId="2" fillId="0" borderId="0" xfId="19" applyNumberFormat="1" applyFont="1" applyAlignment="1">
      <alignment/>
    </xf>
    <xf numFmtId="9" fontId="2" fillId="0" borderId="0" xfId="19" applyNumberFormat="1" applyFont="1" applyAlignment="1">
      <alignment/>
    </xf>
    <xf numFmtId="0" fontId="2" fillId="3" borderId="0" xfId="0" applyFont="1" applyFill="1" applyAlignment="1">
      <alignment/>
    </xf>
    <xf numFmtId="0" fontId="7" fillId="0" borderId="0" xfId="0" applyFont="1" applyAlignment="1">
      <alignment/>
    </xf>
    <xf numFmtId="1" fontId="1" fillId="0" borderId="14" xfId="0" applyNumberFormat="1" applyFont="1" applyBorder="1" applyAlignment="1">
      <alignment/>
    </xf>
    <xf numFmtId="1" fontId="0" fillId="0" borderId="0" xfId="0" applyNumberFormat="1" applyAlignment="1">
      <alignment/>
    </xf>
    <xf numFmtId="175" fontId="0" fillId="3" borderId="0" xfId="0" applyNumberFormat="1" applyFont="1" applyFill="1" applyAlignment="1">
      <alignment/>
    </xf>
    <xf numFmtId="176" fontId="0" fillId="0" borderId="15" xfId="19" applyNumberFormat="1" applyBorder="1" applyAlignment="1">
      <alignment/>
    </xf>
    <xf numFmtId="0" fontId="8" fillId="0" borderId="0" xfId="0" applyFont="1" applyAlignment="1">
      <alignment horizontal="right"/>
    </xf>
    <xf numFmtId="1" fontId="9" fillId="0" borderId="0" xfId="0" applyNumberFormat="1" applyFont="1" applyAlignment="1">
      <alignment/>
    </xf>
    <xf numFmtId="1" fontId="10" fillId="3" borderId="0" xfId="0" applyNumberFormat="1" applyFont="1" applyFill="1" applyAlignment="1">
      <alignment/>
    </xf>
    <xf numFmtId="1" fontId="0" fillId="0" borderId="14" xfId="0" applyNumberFormat="1" applyFont="1" applyBorder="1" applyAlignment="1">
      <alignment/>
    </xf>
    <xf numFmtId="0" fontId="8" fillId="0" borderId="0" xfId="0" applyFont="1" applyAlignment="1">
      <alignment/>
    </xf>
    <xf numFmtId="1" fontId="8" fillId="0" borderId="0" xfId="0" applyNumberFormat="1" applyFont="1" applyAlignment="1">
      <alignment/>
    </xf>
    <xf numFmtId="0" fontId="0" fillId="0" borderId="14" xfId="0" applyBorder="1" applyAlignment="1">
      <alignment/>
    </xf>
    <xf numFmtId="1" fontId="3" fillId="0" borderId="0" xfId="0" applyNumberFormat="1" applyFont="1" applyAlignment="1">
      <alignment/>
    </xf>
    <xf numFmtId="1" fontId="0" fillId="0" borderId="14" xfId="0" applyNumberFormat="1" applyBorder="1" applyAlignment="1">
      <alignment/>
    </xf>
    <xf numFmtId="1" fontId="3" fillId="3" borderId="0" xfId="0" applyNumberFormat="1" applyFont="1" applyFill="1" applyAlignment="1">
      <alignment/>
    </xf>
    <xf numFmtId="1" fontId="5" fillId="0" borderId="0" xfId="0" applyNumberFormat="1" applyFont="1" applyAlignment="1">
      <alignment/>
    </xf>
    <xf numFmtId="0" fontId="11" fillId="0" borderId="0" xfId="0" applyFont="1" applyAlignment="1">
      <alignment/>
    </xf>
    <xf numFmtId="1" fontId="10" fillId="0" borderId="0" xfId="0" applyNumberFormat="1" applyFont="1" applyAlignment="1">
      <alignment/>
    </xf>
    <xf numFmtId="0" fontId="0" fillId="0" borderId="0" xfId="0" applyFont="1" applyAlignment="1">
      <alignment/>
    </xf>
    <xf numFmtId="0" fontId="12" fillId="0" borderId="0" xfId="0" applyFont="1" applyAlignment="1">
      <alignment/>
    </xf>
    <xf numFmtId="0" fontId="13" fillId="0" borderId="0" xfId="0" applyFont="1" applyAlignment="1">
      <alignment/>
    </xf>
    <xf numFmtId="176" fontId="0" fillId="0" borderId="0" xfId="19" applyNumberFormat="1" applyAlignment="1">
      <alignment/>
    </xf>
    <xf numFmtId="0" fontId="0" fillId="5" borderId="0" xfId="0" applyFill="1" applyAlignment="1">
      <alignment/>
    </xf>
    <xf numFmtId="9" fontId="0" fillId="0" borderId="5" xfId="19" applyFill="1" applyBorder="1" applyAlignment="1">
      <alignment/>
    </xf>
    <xf numFmtId="164" fontId="0" fillId="0" borderId="0" xfId="0" applyNumberFormat="1" applyFill="1" applyBorder="1" applyAlignment="1">
      <alignment/>
    </xf>
    <xf numFmtId="0" fontId="0" fillId="0" borderId="7" xfId="0" applyFill="1" applyBorder="1" applyAlignment="1">
      <alignment/>
    </xf>
    <xf numFmtId="172" fontId="1" fillId="0" borderId="0" xfId="0" applyNumberFormat="1" applyFont="1" applyBorder="1" applyAlignment="1">
      <alignment horizontal="center" wrapText="1"/>
    </xf>
    <xf numFmtId="172" fontId="1" fillId="0" borderId="0" xfId="0" applyNumberFormat="1" applyFont="1" applyBorder="1" applyAlignment="1">
      <alignment horizontal="right"/>
    </xf>
    <xf numFmtId="0" fontId="0" fillId="0" borderId="0" xfId="0" applyFont="1" applyBorder="1" applyAlignment="1">
      <alignment horizontal="right"/>
    </xf>
    <xf numFmtId="164" fontId="0" fillId="0" borderId="0" xfId="0" applyNumberFormat="1" applyFont="1" applyBorder="1" applyAlignment="1">
      <alignment/>
    </xf>
    <xf numFmtId="0" fontId="14" fillId="0" borderId="0" xfId="0" applyFont="1" applyAlignment="1">
      <alignment/>
    </xf>
    <xf numFmtId="0" fontId="15" fillId="0" borderId="0" xfId="0" applyFont="1" applyAlignment="1">
      <alignment/>
    </xf>
    <xf numFmtId="0" fontId="14" fillId="0" borderId="0" xfId="0" applyFont="1" applyAlignment="1" quotePrefix="1">
      <alignment/>
    </xf>
    <xf numFmtId="0" fontId="14" fillId="0" borderId="0" xfId="0" applyFont="1" applyAlignment="1">
      <alignment wrapText="1"/>
    </xf>
    <xf numFmtId="172" fontId="15" fillId="0" borderId="16" xfId="0" applyNumberFormat="1" applyFont="1" applyBorder="1" applyAlignment="1">
      <alignment horizontal="center" wrapText="1"/>
    </xf>
    <xf numFmtId="164" fontId="14" fillId="0" borderId="4" xfId="0" applyNumberFormat="1" applyFont="1" applyBorder="1" applyAlignment="1">
      <alignment/>
    </xf>
    <xf numFmtId="164" fontId="14" fillId="0" borderId="13" xfId="0" applyNumberFormat="1" applyFont="1" applyBorder="1" applyAlignment="1">
      <alignment/>
    </xf>
    <xf numFmtId="172" fontId="15" fillId="0" borderId="17" xfId="0" applyNumberFormat="1" applyFont="1" applyBorder="1" applyAlignment="1">
      <alignment horizontal="center" wrapText="1"/>
    </xf>
    <xf numFmtId="164" fontId="14" fillId="4" borderId="5" xfId="0" applyNumberFormat="1" applyFont="1" applyFill="1" applyBorder="1" applyAlignment="1">
      <alignment/>
    </xf>
    <xf numFmtId="164" fontId="14" fillId="4" borderId="12" xfId="0" applyNumberFormat="1" applyFont="1" applyFill="1" applyBorder="1" applyAlignment="1">
      <alignment/>
    </xf>
    <xf numFmtId="164" fontId="14" fillId="2" borderId="4" xfId="0" applyNumberFormat="1" applyFont="1" applyFill="1" applyBorder="1" applyAlignment="1">
      <alignment/>
    </xf>
    <xf numFmtId="164" fontId="14" fillId="2" borderId="13" xfId="0" applyNumberFormat="1" applyFont="1" applyFill="1" applyBorder="1" applyAlignment="1">
      <alignment/>
    </xf>
    <xf numFmtId="0" fontId="15" fillId="0" borderId="18" xfId="0" applyFont="1" applyBorder="1" applyAlignment="1">
      <alignment/>
    </xf>
    <xf numFmtId="0" fontId="14" fillId="0" borderId="5" xfId="0" applyFont="1" applyBorder="1" applyAlignment="1">
      <alignment horizontal="right"/>
    </xf>
    <xf numFmtId="0" fontId="14" fillId="0" borderId="12" xfId="0" applyFont="1" applyBorder="1" applyAlignment="1">
      <alignment horizontal="right"/>
    </xf>
    <xf numFmtId="164" fontId="14" fillId="0" borderId="8" xfId="0" applyNumberFormat="1" applyFont="1" applyBorder="1" applyAlignment="1">
      <alignment/>
    </xf>
    <xf numFmtId="164" fontId="14" fillId="0" borderId="10" xfId="0" applyNumberFormat="1" applyFont="1" applyBorder="1" applyAlignment="1">
      <alignment/>
    </xf>
    <xf numFmtId="164" fontId="14" fillId="5" borderId="4" xfId="0" applyNumberFormat="1" applyFont="1" applyFill="1" applyBorder="1" applyAlignment="1">
      <alignment/>
    </xf>
    <xf numFmtId="0" fontId="0" fillId="4" borderId="0" xfId="0" applyFill="1" applyAlignment="1">
      <alignment/>
    </xf>
    <xf numFmtId="0" fontId="0" fillId="2" borderId="0" xfId="0" applyFill="1" applyAlignment="1">
      <alignment/>
    </xf>
    <xf numFmtId="168" fontId="0" fillId="0" borderId="0" xfId="0" applyNumberFormat="1" applyAlignment="1">
      <alignment/>
    </xf>
    <xf numFmtId="0" fontId="0" fillId="3" borderId="19" xfId="0" applyFont="1" applyFill="1" applyBorder="1" applyAlignment="1">
      <alignment wrapText="1"/>
    </xf>
    <xf numFmtId="0" fontId="2" fillId="3" borderId="20" xfId="0" applyFont="1" applyFill="1" applyBorder="1" applyAlignment="1">
      <alignment wrapText="1"/>
    </xf>
    <xf numFmtId="0" fontId="0" fillId="3" borderId="21" xfId="0" applyFont="1" applyFill="1" applyBorder="1" applyAlignment="1">
      <alignment wrapText="1"/>
    </xf>
    <xf numFmtId="0" fontId="2" fillId="3" borderId="22" xfId="0" applyFont="1" applyFill="1" applyBorder="1" applyAlignment="1">
      <alignment wrapText="1"/>
    </xf>
    <xf numFmtId="1" fontId="2" fillId="3" borderId="22" xfId="0" applyNumberFormat="1" applyFont="1" applyFill="1" applyBorder="1" applyAlignment="1">
      <alignment wrapText="1"/>
    </xf>
    <xf numFmtId="0" fontId="0" fillId="3" borderId="21" xfId="0" applyFont="1" applyFill="1" applyBorder="1" applyAlignment="1">
      <alignment/>
    </xf>
    <xf numFmtId="1" fontId="2" fillId="3" borderId="22" xfId="0" applyNumberFormat="1" applyFont="1" applyFill="1" applyBorder="1" applyAlignment="1">
      <alignment/>
    </xf>
    <xf numFmtId="1" fontId="2" fillId="3" borderId="22" xfId="0" applyNumberFormat="1" applyFont="1" applyFill="1" applyBorder="1" applyAlignment="1">
      <alignment/>
    </xf>
    <xf numFmtId="176" fontId="3" fillId="4" borderId="22" xfId="19" applyNumberFormat="1" applyFont="1" applyFill="1" applyBorder="1" applyAlignment="1">
      <alignment/>
    </xf>
    <xf numFmtId="0" fontId="2" fillId="3" borderId="22" xfId="0" applyFont="1" applyFill="1" applyBorder="1" applyAlignment="1">
      <alignment/>
    </xf>
    <xf numFmtId="175" fontId="0" fillId="3" borderId="21" xfId="0" applyNumberFormat="1" applyFont="1" applyFill="1" applyBorder="1" applyAlignment="1">
      <alignment/>
    </xf>
    <xf numFmtId="1" fontId="10" fillId="3" borderId="22" xfId="0" applyNumberFormat="1" applyFont="1" applyFill="1" applyBorder="1" applyAlignment="1">
      <alignment/>
    </xf>
    <xf numFmtId="1" fontId="0" fillId="3" borderId="21" xfId="0" applyNumberFormat="1" applyFont="1" applyFill="1" applyBorder="1" applyAlignment="1">
      <alignment/>
    </xf>
    <xf numFmtId="1" fontId="3" fillId="3" borderId="22" xfId="0" applyNumberFormat="1" applyFont="1" applyFill="1" applyBorder="1" applyAlignment="1">
      <alignment/>
    </xf>
    <xf numFmtId="0" fontId="0" fillId="0" borderId="23" xfId="0" applyFont="1" applyBorder="1" applyAlignment="1">
      <alignment/>
    </xf>
    <xf numFmtId="1" fontId="10" fillId="0" borderId="24" xfId="0" applyNumberFormat="1" applyFont="1" applyBorder="1" applyAlignment="1">
      <alignment/>
    </xf>
    <xf numFmtId="176" fontId="2" fillId="3" borderId="22" xfId="19" applyNumberFormat="1" applyFont="1" applyFill="1" applyBorder="1" applyAlignment="1">
      <alignment/>
    </xf>
    <xf numFmtId="0" fontId="2" fillId="0" borderId="20" xfId="0" applyFont="1" applyBorder="1" applyAlignment="1">
      <alignment wrapText="1"/>
    </xf>
    <xf numFmtId="0" fontId="2" fillId="0" borderId="21" xfId="0" applyFont="1" applyBorder="1" applyAlignment="1">
      <alignment wrapText="1"/>
    </xf>
    <xf numFmtId="0" fontId="2" fillId="0" borderId="22" xfId="0" applyFont="1" applyBorder="1" applyAlignment="1">
      <alignment wrapText="1"/>
    </xf>
    <xf numFmtId="1" fontId="2" fillId="0" borderId="22" xfId="0" applyNumberFormat="1" applyFont="1" applyBorder="1" applyAlignment="1">
      <alignment wrapText="1"/>
    </xf>
    <xf numFmtId="1" fontId="2" fillId="0" borderId="22" xfId="0" applyNumberFormat="1" applyFont="1" applyBorder="1" applyAlignment="1">
      <alignment/>
    </xf>
    <xf numFmtId="176" fontId="2" fillId="0" borderId="22" xfId="19" applyNumberFormat="1" applyFont="1" applyBorder="1" applyAlignment="1">
      <alignment/>
    </xf>
    <xf numFmtId="0" fontId="2" fillId="0" borderId="22" xfId="0" applyFont="1" applyBorder="1" applyAlignment="1">
      <alignment/>
    </xf>
    <xf numFmtId="1" fontId="9" fillId="0" borderId="22" xfId="0" applyNumberFormat="1" applyFont="1" applyBorder="1" applyAlignment="1">
      <alignment/>
    </xf>
    <xf numFmtId="1" fontId="3" fillId="0" borderId="22" xfId="0" applyNumberFormat="1" applyFont="1" applyBorder="1" applyAlignment="1">
      <alignment/>
    </xf>
    <xf numFmtId="0" fontId="0" fillId="0" borderId="19" xfId="0" applyBorder="1" applyAlignment="1">
      <alignment wrapText="1"/>
    </xf>
    <xf numFmtId="0" fontId="0" fillId="0" borderId="21" xfId="0" applyBorder="1" applyAlignment="1">
      <alignment wrapText="1"/>
    </xf>
    <xf numFmtId="0" fontId="0" fillId="0" borderId="21" xfId="0" applyBorder="1" applyAlignment="1">
      <alignment/>
    </xf>
    <xf numFmtId="1" fontId="0" fillId="0" borderId="21" xfId="0" applyNumberFormat="1" applyBorder="1" applyAlignment="1">
      <alignment/>
    </xf>
    <xf numFmtId="1" fontId="8" fillId="0" borderId="21" xfId="0" applyNumberFormat="1" applyFont="1" applyBorder="1" applyAlignment="1">
      <alignment/>
    </xf>
    <xf numFmtId="0" fontId="11" fillId="0" borderId="23" xfId="0" applyFont="1" applyBorder="1" applyAlignment="1">
      <alignment/>
    </xf>
    <xf numFmtId="175" fontId="2" fillId="0" borderId="22" xfId="0" applyNumberFormat="1" applyFont="1" applyBorder="1" applyAlignment="1">
      <alignment/>
    </xf>
    <xf numFmtId="9" fontId="0" fillId="0" borderId="0" xfId="19" applyAlignment="1">
      <alignment/>
    </xf>
    <xf numFmtId="0" fontId="0" fillId="0" borderId="0" xfId="0" applyFont="1" applyAlignment="1">
      <alignment/>
    </xf>
    <xf numFmtId="0" fontId="1" fillId="0" borderId="0" xfId="0" applyFont="1" applyAlignment="1">
      <alignment horizontal="center"/>
    </xf>
    <xf numFmtId="175" fontId="2" fillId="3" borderId="22" xfId="0" applyNumberFormat="1" applyFont="1" applyFill="1" applyBorder="1" applyAlignment="1">
      <alignment/>
    </xf>
    <xf numFmtId="9" fontId="0" fillId="0" borderId="0" xfId="19" applyAlignment="1">
      <alignment/>
    </xf>
    <xf numFmtId="1" fontId="0" fillId="0" borderId="0" xfId="19" applyNumberFormat="1" applyAlignment="1">
      <alignment/>
    </xf>
    <xf numFmtId="9" fontId="1" fillId="0" borderId="0" xfId="19" applyFont="1" applyAlignment="1">
      <alignment/>
    </xf>
    <xf numFmtId="175" fontId="0" fillId="0" borderId="0" xfId="19" applyNumberFormat="1" applyAlignment="1">
      <alignment/>
    </xf>
    <xf numFmtId="0" fontId="14" fillId="0" borderId="5" xfId="0" applyFont="1" applyBorder="1" applyAlignment="1">
      <alignment/>
    </xf>
    <xf numFmtId="1" fontId="14" fillId="0" borderId="0" xfId="0" applyNumberFormat="1" applyFont="1" applyBorder="1" applyAlignment="1">
      <alignment/>
    </xf>
    <xf numFmtId="0" fontId="14" fillId="0" borderId="12" xfId="0" applyFont="1" applyBorder="1" applyAlignment="1">
      <alignment/>
    </xf>
    <xf numFmtId="0" fontId="15" fillId="0" borderId="19" xfId="0" applyFont="1" applyBorder="1" applyAlignment="1">
      <alignment/>
    </xf>
    <xf numFmtId="0" fontId="14" fillId="0" borderId="21" xfId="0" applyFont="1" applyBorder="1" applyAlignment="1">
      <alignment/>
    </xf>
    <xf numFmtId="0" fontId="14" fillId="0" borderId="23" xfId="0" applyFont="1" applyBorder="1" applyAlignment="1">
      <alignment/>
    </xf>
    <xf numFmtId="0" fontId="14" fillId="0" borderId="25" xfId="0" applyFont="1" applyBorder="1" applyAlignment="1">
      <alignment/>
    </xf>
    <xf numFmtId="176" fontId="14" fillId="0" borderId="25" xfId="19" applyNumberFormat="1" applyFont="1" applyBorder="1" applyAlignment="1">
      <alignment/>
    </xf>
    <xf numFmtId="0" fontId="14" fillId="0" borderId="14" xfId="0" applyFont="1" applyBorder="1" applyAlignment="1">
      <alignment/>
    </xf>
    <xf numFmtId="1" fontId="14" fillId="0" borderId="25" xfId="0" applyNumberFormat="1" applyFont="1" applyBorder="1" applyAlignment="1">
      <alignment/>
    </xf>
    <xf numFmtId="9" fontId="14" fillId="0" borderId="15" xfId="19" applyFont="1" applyBorder="1" applyAlignment="1">
      <alignment/>
    </xf>
    <xf numFmtId="9" fontId="14" fillId="0" borderId="25" xfId="19" applyFont="1" applyBorder="1" applyAlignment="1">
      <alignment/>
    </xf>
    <xf numFmtId="9" fontId="14" fillId="0" borderId="26" xfId="19" applyFont="1" applyBorder="1" applyAlignment="1">
      <alignment/>
    </xf>
    <xf numFmtId="1" fontId="14" fillId="0" borderId="25" xfId="19" applyNumberFormat="1" applyFont="1" applyBorder="1" applyAlignment="1">
      <alignment/>
    </xf>
    <xf numFmtId="176" fontId="15" fillId="0" borderId="27" xfId="19" applyNumberFormat="1" applyFont="1" applyBorder="1" applyAlignment="1">
      <alignment/>
    </xf>
    <xf numFmtId="0" fontId="14" fillId="0" borderId="26" xfId="0" applyFont="1" applyBorder="1" applyAlignment="1">
      <alignment/>
    </xf>
    <xf numFmtId="175" fontId="14" fillId="0" borderId="25" xfId="19" applyNumberFormat="1" applyFont="1" applyBorder="1" applyAlignment="1">
      <alignment/>
    </xf>
    <xf numFmtId="1" fontId="14" fillId="0" borderId="15" xfId="0" applyNumberFormat="1" applyFont="1" applyBorder="1" applyAlignment="1">
      <alignment/>
    </xf>
    <xf numFmtId="0" fontId="15" fillId="0" borderId="28" xfId="0" applyFont="1" applyBorder="1" applyAlignment="1">
      <alignment horizontal="center"/>
    </xf>
    <xf numFmtId="0" fontId="15" fillId="0" borderId="28" xfId="0" applyFont="1" applyBorder="1" applyAlignment="1">
      <alignment horizontal="center" wrapText="1"/>
    </xf>
    <xf numFmtId="0" fontId="14" fillId="0" borderId="15" xfId="0" applyFont="1" applyBorder="1" applyAlignment="1">
      <alignment/>
    </xf>
    <xf numFmtId="1" fontId="14" fillId="0" borderId="19" xfId="0" applyNumberFormat="1" applyFont="1" applyBorder="1" applyAlignment="1">
      <alignment/>
    </xf>
    <xf numFmtId="1" fontId="14" fillId="0" borderId="21" xfId="0" applyNumberFormat="1" applyFont="1" applyBorder="1" applyAlignment="1">
      <alignment/>
    </xf>
    <xf numFmtId="9" fontId="14" fillId="0" borderId="29" xfId="19" applyFont="1" applyBorder="1" applyAlignment="1">
      <alignment/>
    </xf>
    <xf numFmtId="1" fontId="14" fillId="0" borderId="30" xfId="19" applyNumberFormat="1" applyFont="1" applyBorder="1" applyAlignment="1">
      <alignment/>
    </xf>
    <xf numFmtId="9" fontId="14" fillId="0" borderId="31" xfId="19" applyFont="1" applyBorder="1" applyAlignment="1">
      <alignment/>
    </xf>
    <xf numFmtId="0" fontId="14" fillId="0" borderId="32" xfId="0" applyFont="1" applyBorder="1" applyAlignment="1">
      <alignment/>
    </xf>
    <xf numFmtId="175" fontId="14" fillId="0" borderId="21" xfId="19" applyNumberFormat="1" applyFont="1" applyBorder="1" applyAlignment="1">
      <alignment/>
    </xf>
    <xf numFmtId="0" fontId="14" fillId="0" borderId="33" xfId="0" applyFont="1" applyBorder="1" applyAlignment="1">
      <alignment/>
    </xf>
    <xf numFmtId="0" fontId="14" fillId="0" borderId="0" xfId="0" applyFont="1" applyAlignment="1">
      <alignment horizontal="right"/>
    </xf>
    <xf numFmtId="0" fontId="15" fillId="6" borderId="1" xfId="0" applyFont="1" applyFill="1" applyBorder="1" applyAlignment="1">
      <alignment/>
    </xf>
    <xf numFmtId="0" fontId="14" fillId="0" borderId="19" xfId="0" applyFont="1" applyBorder="1" applyAlignment="1">
      <alignment/>
    </xf>
    <xf numFmtId="176" fontId="1" fillId="0" borderId="0" xfId="19" applyNumberFormat="1" applyFont="1" applyAlignment="1">
      <alignment/>
    </xf>
    <xf numFmtId="0" fontId="16" fillId="0" borderId="34" xfId="0" applyFont="1" applyBorder="1" applyAlignment="1">
      <alignment horizontal="center"/>
    </xf>
    <xf numFmtId="0" fontId="16" fillId="0" borderId="35" xfId="0" applyFont="1" applyBorder="1" applyAlignment="1">
      <alignment horizontal="center"/>
    </xf>
    <xf numFmtId="0" fontId="14"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31"/>
  <sheetViews>
    <sheetView workbookViewId="0" topLeftCell="A18">
      <selection activeCell="A52" sqref="A52"/>
    </sheetView>
  </sheetViews>
  <sheetFormatPr defaultColWidth="9.140625" defaultRowHeight="12.75"/>
  <cols>
    <col min="1" max="1" width="49.140625" style="0" customWidth="1"/>
    <col min="2" max="2" width="11.140625" style="0" customWidth="1"/>
    <col min="3" max="3" width="11.57421875" style="0" customWidth="1"/>
    <col min="4" max="4" width="7.57421875" style="0" customWidth="1"/>
    <col min="5" max="5" width="11.421875" style="0" customWidth="1"/>
    <col min="6" max="6" width="11.57421875" style="0" customWidth="1"/>
  </cols>
  <sheetData>
    <row r="1" ht="15">
      <c r="A1" s="89"/>
    </row>
    <row r="2" ht="15.75">
      <c r="A2" s="90" t="s">
        <v>56</v>
      </c>
    </row>
    <row r="3" ht="15">
      <c r="A3" s="89" t="s">
        <v>61</v>
      </c>
    </row>
    <row r="4" ht="15">
      <c r="A4" s="91" t="s">
        <v>112</v>
      </c>
    </row>
    <row r="5" ht="15">
      <c r="A5" s="91"/>
    </row>
    <row r="6" spans="1:3" ht="107.25" customHeight="1">
      <c r="A6" s="186" t="s">
        <v>113</v>
      </c>
      <c r="B6" s="186"/>
      <c r="C6" s="186"/>
    </row>
    <row r="7" ht="15">
      <c r="A7" s="92"/>
    </row>
    <row r="8" ht="16.5" thickBot="1">
      <c r="A8" s="90" t="s">
        <v>107</v>
      </c>
    </row>
    <row r="9" spans="1:3" ht="15.75" thickBot="1">
      <c r="A9" s="92" t="s">
        <v>58</v>
      </c>
      <c r="B9" s="184" t="s">
        <v>60</v>
      </c>
      <c r="C9" s="185"/>
    </row>
    <row r="10" spans="1:3" ht="31.5">
      <c r="A10" s="101" t="s">
        <v>109</v>
      </c>
      <c r="B10" s="96" t="s">
        <v>53</v>
      </c>
      <c r="C10" s="93" t="s">
        <v>54</v>
      </c>
    </row>
    <row r="11" spans="1:3" ht="15">
      <c r="A11" s="102" t="s">
        <v>47</v>
      </c>
      <c r="B11" s="104">
        <f>auganalysis!D102</f>
        <v>13.25</v>
      </c>
      <c r="C11" s="94">
        <f>auganalysis!E102</f>
        <v>22.700000000000003</v>
      </c>
    </row>
    <row r="12" spans="1:3" ht="15">
      <c r="A12" s="102" t="s">
        <v>64</v>
      </c>
      <c r="B12" s="104">
        <f>auganalysis!D104</f>
        <v>14.059999999999999</v>
      </c>
      <c r="C12" s="94">
        <f>auganalysis!E104</f>
        <v>25.22</v>
      </c>
    </row>
    <row r="13" spans="1:3" ht="15">
      <c r="A13" s="102" t="s">
        <v>55</v>
      </c>
      <c r="B13" s="104">
        <f>auganalysis!D103</f>
        <v>18.700000000000003</v>
      </c>
      <c r="C13" s="94">
        <f>auganalysis!E103</f>
        <v>45.400000000000006</v>
      </c>
    </row>
    <row r="14" spans="1:3" ht="15.75" thickBot="1">
      <c r="A14" s="103" t="s">
        <v>70</v>
      </c>
      <c r="B14" s="105">
        <f>auganalysis!D105</f>
        <v>19.5</v>
      </c>
      <c r="C14" s="95">
        <f>auganalysis!E105</f>
        <v>50.4</v>
      </c>
    </row>
    <row r="15" spans="1:3" ht="15">
      <c r="A15" s="89"/>
      <c r="B15" s="89"/>
      <c r="C15" s="89"/>
    </row>
    <row r="16" spans="2:3" ht="15">
      <c r="B16" s="89"/>
      <c r="C16" s="89"/>
    </row>
    <row r="17" spans="1:3" ht="123" customHeight="1">
      <c r="A17" s="186" t="s">
        <v>110</v>
      </c>
      <c r="B17" s="186"/>
      <c r="C17" s="186"/>
    </row>
    <row r="18" spans="2:3" ht="15.75" thickBot="1">
      <c r="B18" s="89"/>
      <c r="C18" s="89"/>
    </row>
    <row r="19" spans="1:3" ht="16.5" thickBot="1">
      <c r="A19" s="90" t="s">
        <v>108</v>
      </c>
      <c r="B19" s="184" t="s">
        <v>59</v>
      </c>
      <c r="C19" s="185"/>
    </row>
    <row r="20" spans="1:3" ht="31.5">
      <c r="A20" s="101" t="s">
        <v>57</v>
      </c>
      <c r="B20" s="96" t="s">
        <v>53</v>
      </c>
      <c r="C20" s="93" t="s">
        <v>54</v>
      </c>
    </row>
    <row r="21" spans="1:3" ht="15">
      <c r="A21" s="102" t="s">
        <v>47</v>
      </c>
      <c r="B21" s="97">
        <f aca="true" t="shared" si="0" ref="B21:C24">B11+27.33</f>
        <v>40.58</v>
      </c>
      <c r="C21" s="106">
        <f t="shared" si="0"/>
        <v>50.03</v>
      </c>
    </row>
    <row r="22" spans="1:3" ht="15">
      <c r="A22" s="102" t="s">
        <v>64</v>
      </c>
      <c r="B22" s="97">
        <f t="shared" si="0"/>
        <v>41.39</v>
      </c>
      <c r="C22" s="106">
        <f t="shared" si="0"/>
        <v>52.55</v>
      </c>
    </row>
    <row r="23" spans="1:3" ht="15">
      <c r="A23" s="102" t="s">
        <v>55</v>
      </c>
      <c r="B23" s="97">
        <f t="shared" si="0"/>
        <v>46.03</v>
      </c>
      <c r="C23" s="99">
        <f t="shared" si="0"/>
        <v>72.73</v>
      </c>
    </row>
    <row r="24" spans="1:3" ht="15.75" thickBot="1">
      <c r="A24" s="103" t="s">
        <v>70</v>
      </c>
      <c r="B24" s="98">
        <f t="shared" si="0"/>
        <v>46.83</v>
      </c>
      <c r="C24" s="100">
        <f t="shared" si="0"/>
        <v>77.72999999999999</v>
      </c>
    </row>
    <row r="25" spans="1:3" ht="15">
      <c r="A25" s="89"/>
      <c r="B25" s="89"/>
      <c r="C25" s="89"/>
    </row>
    <row r="26" ht="12.75">
      <c r="C26" s="107" t="s">
        <v>71</v>
      </c>
    </row>
    <row r="27" ht="12.75">
      <c r="C27" s="81" t="s">
        <v>72</v>
      </c>
    </row>
    <row r="28" spans="1:3" ht="12.75">
      <c r="A28" t="s">
        <v>111</v>
      </c>
      <c r="C28" s="108" t="s">
        <v>62</v>
      </c>
    </row>
    <row r="29" spans="1:3" ht="12.75">
      <c r="A29" t="s">
        <v>114</v>
      </c>
      <c r="C29" s="108"/>
    </row>
    <row r="30" ht="38.25">
      <c r="A30" s="25" t="s">
        <v>115</v>
      </c>
    </row>
    <row r="31" ht="114.75">
      <c r="A31" s="25" t="s">
        <v>116</v>
      </c>
    </row>
  </sheetData>
  <mergeCells count="4">
    <mergeCell ref="B9:C9"/>
    <mergeCell ref="B19:C19"/>
    <mergeCell ref="A6:C6"/>
    <mergeCell ref="A17:C17"/>
  </mergeCells>
  <printOptions/>
  <pageMargins left="0.75" right="0.75" top="1" bottom="1" header="0.5" footer="0.5"/>
  <pageSetup horizontalDpi="600" verticalDpi="600" orientation="landscape" r:id="rId1"/>
  <headerFooter alignWithMargins="0">
    <oddHeader>&amp;CRegional Dialogue Workshop
Seattle City Light Handout
September 11, 2006</oddHeader>
  </headerFooter>
</worksheet>
</file>

<file path=xl/worksheets/sheet10.xml><?xml version="1.0" encoding="utf-8"?>
<worksheet xmlns="http://schemas.openxmlformats.org/spreadsheetml/2006/main" xmlns:r="http://schemas.openxmlformats.org/officeDocument/2006/relationships">
  <dimension ref="A1:L25"/>
  <sheetViews>
    <sheetView tabSelected="1" workbookViewId="0" topLeftCell="A1">
      <selection activeCell="F40" sqref="F40:F41"/>
    </sheetView>
  </sheetViews>
  <sheetFormatPr defaultColWidth="9.140625" defaultRowHeight="12.75"/>
  <cols>
    <col min="1" max="1" width="14.57421875" style="0" customWidth="1"/>
    <col min="4" max="4" width="10.00390625" style="0" customWidth="1"/>
  </cols>
  <sheetData>
    <row r="1" ht="12.75">
      <c r="A1" t="s">
        <v>14</v>
      </c>
    </row>
    <row r="2" ht="12.75">
      <c r="A2" t="s">
        <v>15</v>
      </c>
    </row>
    <row r="3" ht="12.75">
      <c r="A3" t="s">
        <v>16</v>
      </c>
    </row>
    <row r="5" ht="12.75">
      <c r="A5" t="s">
        <v>17</v>
      </c>
    </row>
    <row r="7" spans="3:12" ht="12.75">
      <c r="C7" s="37"/>
      <c r="F7" s="37"/>
      <c r="H7" s="37"/>
      <c r="J7" s="37"/>
      <c r="L7" s="37"/>
    </row>
    <row r="8" spans="2:12" s="2" customFormat="1" ht="12.75">
      <c r="B8" s="2" t="s">
        <v>18</v>
      </c>
      <c r="C8" s="38"/>
      <c r="F8" s="38"/>
      <c r="H8" s="38"/>
      <c r="J8" s="38"/>
      <c r="K8" s="39"/>
      <c r="L8" s="40"/>
    </row>
    <row r="9" spans="2:12" ht="63.75">
      <c r="B9" s="25" t="s">
        <v>19</v>
      </c>
      <c r="C9" s="41" t="s">
        <v>20</v>
      </c>
      <c r="D9" s="25" t="s">
        <v>21</v>
      </c>
      <c r="E9" s="25" t="s">
        <v>22</v>
      </c>
      <c r="F9" s="41" t="s">
        <v>23</v>
      </c>
      <c r="G9" s="42" t="s">
        <v>24</v>
      </c>
      <c r="H9" s="43" t="s">
        <v>25</v>
      </c>
      <c r="I9" s="25" t="s">
        <v>26</v>
      </c>
      <c r="J9" s="41" t="s">
        <v>27</v>
      </c>
      <c r="K9" s="44" t="s">
        <v>28</v>
      </c>
      <c r="L9" s="45" t="s">
        <v>27</v>
      </c>
    </row>
    <row r="10" spans="1:12" ht="12.75">
      <c r="A10" t="s">
        <v>44</v>
      </c>
      <c r="C10" s="49"/>
      <c r="F10" s="49"/>
      <c r="G10" s="50"/>
      <c r="H10" s="58"/>
      <c r="J10" s="37"/>
      <c r="K10" s="52"/>
      <c r="L10" s="59"/>
    </row>
    <row r="11" spans="3:12" ht="12.75">
      <c r="C11" s="49"/>
      <c r="F11" s="49"/>
      <c r="G11" s="50"/>
      <c r="H11" s="58"/>
      <c r="J11" s="37"/>
      <c r="K11" s="52"/>
      <c r="L11" s="59"/>
    </row>
    <row r="12" spans="1:12" ht="12.75">
      <c r="A12" t="s">
        <v>37</v>
      </c>
      <c r="B12">
        <v>3600</v>
      </c>
      <c r="C12" s="49">
        <f>B12/B21*B23</f>
        <v>3372.151898734177</v>
      </c>
      <c r="D12" s="2">
        <v>200</v>
      </c>
      <c r="E12">
        <f>B12-D12</f>
        <v>3400</v>
      </c>
      <c r="F12" s="49">
        <f>E12/E21*B23</f>
        <v>3304.439190964014</v>
      </c>
      <c r="G12" s="50">
        <f>D12/2+E12</f>
        <v>3500</v>
      </c>
      <c r="H12" s="51">
        <f>G12/G21*B23</f>
        <v>3338.9196854454044</v>
      </c>
      <c r="I12" s="61">
        <f>0.75*D12+E12</f>
        <v>3550</v>
      </c>
      <c r="J12" s="49">
        <f>I12/I21*B23</f>
        <v>3355.687551893722</v>
      </c>
      <c r="K12" s="52">
        <f>D12+E12</f>
        <v>3600</v>
      </c>
      <c r="L12" s="53">
        <f>K12/B21*B23</f>
        <v>3372.151898734177</v>
      </c>
    </row>
    <row r="13" spans="1:12" ht="12.75">
      <c r="A13" s="16" t="s">
        <v>35</v>
      </c>
      <c r="C13" s="49">
        <f>C12</f>
        <v>3372.151898734177</v>
      </c>
      <c r="F13" s="49">
        <f>F12</f>
        <v>3304.439190964014</v>
      </c>
      <c r="G13" s="50"/>
      <c r="H13" s="51">
        <f>H12</f>
        <v>3338.9196854454044</v>
      </c>
      <c r="I13" s="61"/>
      <c r="J13" s="49">
        <f>J12</f>
        <v>3355.687551893722</v>
      </c>
      <c r="K13" s="52"/>
      <c r="L13" s="53">
        <f>L12</f>
        <v>3372.151898734177</v>
      </c>
    </row>
    <row r="14" spans="1:12" ht="12.75">
      <c r="A14" s="64" t="s">
        <v>36</v>
      </c>
      <c r="B14" s="68"/>
      <c r="C14" s="65">
        <f>B12-C13</f>
        <v>227.84810126582306</v>
      </c>
      <c r="D14" s="68"/>
      <c r="E14" s="68"/>
      <c r="F14" s="65">
        <f>E12-F13</f>
        <v>95.56080903598604</v>
      </c>
      <c r="G14" s="50"/>
      <c r="H14" s="66">
        <f>E12-H13</f>
        <v>61.08031455459559</v>
      </c>
      <c r="I14" s="69"/>
      <c r="J14" s="65">
        <f>E12-J13</f>
        <v>44.312448106278225</v>
      </c>
      <c r="K14" s="52"/>
      <c r="L14" s="53">
        <f>E12-L13</f>
        <v>27.84810126582306</v>
      </c>
    </row>
    <row r="15" spans="1:12" ht="12.75">
      <c r="A15" t="s">
        <v>38</v>
      </c>
      <c r="B15">
        <v>2800</v>
      </c>
      <c r="C15" s="49">
        <f>B15/B21*B23</f>
        <v>2622.784810126582</v>
      </c>
      <c r="D15">
        <v>56</v>
      </c>
      <c r="E15">
        <f>B15-D15</f>
        <v>2744</v>
      </c>
      <c r="F15" s="49">
        <f>E15/E21*B23</f>
        <v>2666.8768058838978</v>
      </c>
      <c r="G15" s="50">
        <f>D15/2+E15</f>
        <v>2772</v>
      </c>
      <c r="H15" s="51">
        <f>G15/G21*B23</f>
        <v>2644.4243908727603</v>
      </c>
      <c r="I15" s="61">
        <f>0.75*D15+E15</f>
        <v>2786</v>
      </c>
      <c r="J15" s="49">
        <f>I15/I21*B23</f>
        <v>2633.505780162228</v>
      </c>
      <c r="K15" s="52">
        <f>E15+D15</f>
        <v>2800</v>
      </c>
      <c r="L15" s="53">
        <f>K15/B21*B23</f>
        <v>2622.784810126582</v>
      </c>
    </row>
    <row r="16" spans="1:12" ht="12.75">
      <c r="A16" s="16" t="s">
        <v>35</v>
      </c>
      <c r="C16" s="49">
        <f>C15</f>
        <v>2622.784810126582</v>
      </c>
      <c r="F16" s="49">
        <f>F15</f>
        <v>2666.8768058838978</v>
      </c>
      <c r="G16" s="50"/>
      <c r="H16" s="51">
        <f>H15</f>
        <v>2644.4243908727603</v>
      </c>
      <c r="I16" s="61"/>
      <c r="J16" s="49">
        <f>J15</f>
        <v>2633.505780162228</v>
      </c>
      <c r="K16" s="52"/>
      <c r="L16" s="53">
        <f>L15</f>
        <v>2622.784810126582</v>
      </c>
    </row>
    <row r="17" spans="1:12" ht="12.75">
      <c r="A17" s="64" t="s">
        <v>36</v>
      </c>
      <c r="B17" s="68"/>
      <c r="C17" s="65">
        <f>B15-C16</f>
        <v>177.21518987341778</v>
      </c>
      <c r="D17" s="68"/>
      <c r="E17" s="68"/>
      <c r="F17" s="65">
        <f>E15-F16</f>
        <v>77.12319411610224</v>
      </c>
      <c r="G17" s="50"/>
      <c r="H17" s="66">
        <f>E15-H16</f>
        <v>99.57560912723966</v>
      </c>
      <c r="I17" s="69"/>
      <c r="J17" s="65">
        <f>E15-J16</f>
        <v>110.4942198377721</v>
      </c>
      <c r="K17" s="52"/>
      <c r="L17" s="53">
        <f>E15-L16</f>
        <v>121.21518987341778</v>
      </c>
    </row>
    <row r="18" spans="1:12" ht="12.75">
      <c r="A18" t="s">
        <v>39</v>
      </c>
      <c r="B18">
        <v>1500</v>
      </c>
      <c r="C18" s="49">
        <f>B18/B21*B23</f>
        <v>1405.0632911392406</v>
      </c>
      <c r="D18">
        <v>30</v>
      </c>
      <c r="E18">
        <f>B18-D18</f>
        <v>1470</v>
      </c>
      <c r="F18" s="49">
        <f>E18/E21*B23</f>
        <v>1428.6840031520883</v>
      </c>
      <c r="G18" s="50">
        <f>D18/2+E18</f>
        <v>1485</v>
      </c>
      <c r="H18" s="51">
        <f>G18/G21*B23</f>
        <v>1416.6559236818357</v>
      </c>
      <c r="I18" s="61">
        <f>0.75*D18+E18</f>
        <v>1492.5</v>
      </c>
      <c r="J18" s="49">
        <f>I18/I21*B23</f>
        <v>1410.8066679440506</v>
      </c>
      <c r="K18" s="52">
        <f>E18+D18</f>
        <v>1500</v>
      </c>
      <c r="L18" s="53">
        <f>K18/B21*B23</f>
        <v>1405.0632911392406</v>
      </c>
    </row>
    <row r="19" spans="1:12" ht="12.75">
      <c r="A19" s="16" t="s">
        <v>35</v>
      </c>
      <c r="C19" s="49">
        <f>C18</f>
        <v>1405.0632911392406</v>
      </c>
      <c r="F19" s="49">
        <f>F18</f>
        <v>1428.6840031520883</v>
      </c>
      <c r="G19" s="50"/>
      <c r="H19" s="51">
        <f>H18</f>
        <v>1416.6559236818357</v>
      </c>
      <c r="I19" s="61"/>
      <c r="J19" s="49">
        <f>J18</f>
        <v>1410.8066679440506</v>
      </c>
      <c r="K19" s="52"/>
      <c r="L19" s="53">
        <f>L18</f>
        <v>1405.0632911392406</v>
      </c>
    </row>
    <row r="20" spans="1:12" ht="12.75">
      <c r="A20" s="64" t="s">
        <v>36</v>
      </c>
      <c r="B20" s="68"/>
      <c r="C20" s="65">
        <f>B18-C19</f>
        <v>94.93670886075938</v>
      </c>
      <c r="D20" s="68"/>
      <c r="E20" s="68"/>
      <c r="F20" s="65">
        <f>E18-F18</f>
        <v>41.31599684791172</v>
      </c>
      <c r="G20" s="50"/>
      <c r="H20" s="66">
        <f>E18-H19</f>
        <v>53.3440763181643</v>
      </c>
      <c r="I20" s="69"/>
      <c r="J20" s="65">
        <f>E18-J19</f>
        <v>59.19333205594944</v>
      </c>
      <c r="K20" s="52"/>
      <c r="L20" s="53">
        <f>E18-L19</f>
        <v>64.93670886075938</v>
      </c>
    </row>
    <row r="21" spans="1:12" ht="12.75">
      <c r="A21" s="16" t="s">
        <v>40</v>
      </c>
      <c r="B21">
        <f>SUM(B12:B18)</f>
        <v>7900</v>
      </c>
      <c r="C21" s="38">
        <f>C18+C15+C12</f>
        <v>7400</v>
      </c>
      <c r="D21">
        <f>SUM(D12:D18)</f>
        <v>286</v>
      </c>
      <c r="E21">
        <f>SUM(E12:E18)</f>
        <v>7614</v>
      </c>
      <c r="F21" s="71">
        <f>F18+F15+F12</f>
        <v>7400</v>
      </c>
      <c r="G21" s="50">
        <f>SUM(G12:G18)</f>
        <v>7757</v>
      </c>
      <c r="H21" s="73">
        <f>H18+H15+H12</f>
        <v>7400</v>
      </c>
      <c r="I21">
        <f>SUM(I12:I18)</f>
        <v>7828.5</v>
      </c>
      <c r="J21" s="71">
        <f>J18+J15+J12</f>
        <v>7400</v>
      </c>
      <c r="K21" s="52"/>
      <c r="L21" s="74">
        <f>L18+L15+L12</f>
        <v>7400</v>
      </c>
    </row>
    <row r="22" spans="1:12" ht="12.75">
      <c r="A22" s="75" t="s">
        <v>41</v>
      </c>
      <c r="B22" s="75"/>
      <c r="C22" s="76">
        <f>C20+C17+C14</f>
        <v>500.0000000000002</v>
      </c>
      <c r="D22" s="75"/>
      <c r="E22" s="75"/>
      <c r="F22" s="76">
        <f>F20+F17+F14</f>
        <v>214</v>
      </c>
      <c r="G22" s="77"/>
      <c r="H22" s="76">
        <f>H20+H17+H14</f>
        <v>213.99999999999955</v>
      </c>
      <c r="I22" s="75"/>
      <c r="J22" s="76">
        <f>J20+++++++J17++++J14</f>
        <v>213.99999999999977</v>
      </c>
      <c r="K22" s="52"/>
      <c r="L22" s="53">
        <f>L20+L17+L14</f>
        <v>214.00000000000023</v>
      </c>
    </row>
    <row r="23" spans="1:12" ht="12.75">
      <c r="A23" t="s">
        <v>42</v>
      </c>
      <c r="B23" s="2">
        <v>7400</v>
      </c>
      <c r="C23" s="37"/>
      <c r="F23" s="37"/>
      <c r="G23" s="78"/>
      <c r="H23" s="79"/>
      <c r="J23" s="37"/>
      <c r="K23" s="52"/>
      <c r="L23" s="59"/>
    </row>
    <row r="24" spans="7:8" ht="12.75">
      <c r="G24" s="78"/>
      <c r="H24" s="78"/>
    </row>
    <row r="25" ht="12.75">
      <c r="A25" t="s">
        <v>43</v>
      </c>
    </row>
  </sheetData>
  <printOptions/>
  <pageMargins left="0.75" right="0.75" top="1" bottom="1" header="0.5" footer="0.5"/>
  <pageSetup horizontalDpi="600" verticalDpi="600" orientation="landscape" r:id="rId1"/>
  <headerFooter alignWithMargins="0">
    <oddFooter>&amp;Cbpa_Aggressive Utility Conservation_kenkeating_060706</oddFooter>
  </headerFooter>
</worksheet>
</file>

<file path=xl/worksheets/sheet2.xml><?xml version="1.0" encoding="utf-8"?>
<worksheet xmlns="http://schemas.openxmlformats.org/spreadsheetml/2006/main" xmlns:r="http://schemas.openxmlformats.org/officeDocument/2006/relationships">
  <dimension ref="A1:AA114"/>
  <sheetViews>
    <sheetView view="pageBreakPreview" zoomScaleSheetLayoutView="100" workbookViewId="0" topLeftCell="A62">
      <selection activeCell="A62" sqref="A1:IV16384"/>
    </sheetView>
  </sheetViews>
  <sheetFormatPr defaultColWidth="9.140625" defaultRowHeight="12.75"/>
  <cols>
    <col min="1" max="1" width="13.140625" style="0" customWidth="1"/>
    <col min="2" max="2" width="18.140625" style="0" customWidth="1"/>
    <col min="3" max="3" width="12.8515625" style="0" customWidth="1"/>
    <col min="4" max="4" width="12.00390625" style="0" customWidth="1"/>
    <col min="5" max="5" width="11.421875" style="0" customWidth="1"/>
    <col min="6" max="6" width="11.28125" style="0" customWidth="1"/>
    <col min="7" max="7" width="12.00390625" style="0" customWidth="1"/>
    <col min="8" max="8" width="12.57421875" style="0" customWidth="1"/>
    <col min="9" max="9" width="12.28125" style="0" customWidth="1"/>
    <col min="10" max="28" width="11.140625" style="0" bestFit="1" customWidth="1"/>
  </cols>
  <sheetData>
    <row r="1" spans="1:4" ht="13.5" thickBot="1">
      <c r="A1" t="s">
        <v>0</v>
      </c>
      <c r="D1" s="1" t="s">
        <v>117</v>
      </c>
    </row>
    <row r="2" spans="1:6" ht="12.75">
      <c r="A2" s="3" t="s">
        <v>12</v>
      </c>
      <c r="B2" s="32"/>
      <c r="C2" s="4"/>
      <c r="D2" s="4"/>
      <c r="E2" s="4"/>
      <c r="F2" s="5"/>
    </row>
    <row r="3" spans="1:6" ht="12.75">
      <c r="A3" s="17">
        <f>0.15</f>
        <v>0.15</v>
      </c>
      <c r="B3" s="33"/>
      <c r="C3" s="6" t="s">
        <v>2</v>
      </c>
      <c r="D3" s="6" t="s">
        <v>1</v>
      </c>
      <c r="E3" s="6"/>
      <c r="F3" s="7"/>
    </row>
    <row r="4" spans="1:10" ht="13.5" thickBot="1">
      <c r="A4" s="26">
        <v>7.25</v>
      </c>
      <c r="B4" s="10"/>
      <c r="C4" s="10" t="s">
        <v>8</v>
      </c>
      <c r="D4" s="10" t="s">
        <v>13</v>
      </c>
      <c r="E4" s="10"/>
      <c r="F4" s="27"/>
      <c r="J4" s="18"/>
    </row>
    <row r="5" spans="1:10" ht="13.5" thickBot="1">
      <c r="A5" s="82">
        <v>0.03</v>
      </c>
      <c r="B5" s="33" t="s">
        <v>46</v>
      </c>
      <c r="C5" s="6"/>
      <c r="D5" s="6"/>
      <c r="E5" s="6"/>
      <c r="F5" s="6"/>
      <c r="J5" s="6"/>
    </row>
    <row r="6" spans="1:27" ht="12.75">
      <c r="A6" s="30" t="s">
        <v>48</v>
      </c>
      <c r="B6" s="34"/>
      <c r="C6" s="4"/>
      <c r="D6" s="4"/>
      <c r="E6" s="4"/>
      <c r="F6" s="4"/>
      <c r="G6" s="4"/>
      <c r="H6" s="4"/>
      <c r="I6" s="4"/>
      <c r="J6" s="4"/>
      <c r="K6" s="4"/>
      <c r="L6" s="4"/>
      <c r="M6" s="4"/>
      <c r="N6" s="4"/>
      <c r="O6" s="4"/>
      <c r="P6" s="4"/>
      <c r="Q6" s="4"/>
      <c r="R6" s="4"/>
      <c r="S6" s="4"/>
      <c r="T6" s="4"/>
      <c r="U6" s="4"/>
      <c r="V6" s="4"/>
      <c r="W6" s="4"/>
      <c r="X6" s="4"/>
      <c r="Y6" s="4"/>
      <c r="Z6" s="4"/>
      <c r="AA6" s="5"/>
    </row>
    <row r="7" spans="1:27" ht="12.75">
      <c r="A7" s="8"/>
      <c r="B7" s="6"/>
      <c r="C7" s="29" t="s">
        <v>6</v>
      </c>
      <c r="D7" s="6" t="s">
        <v>45</v>
      </c>
      <c r="E7" s="6"/>
      <c r="F7" s="6"/>
      <c r="G7" s="6"/>
      <c r="H7" s="22"/>
      <c r="I7" s="22"/>
      <c r="J7" s="6"/>
      <c r="K7" s="6"/>
      <c r="L7" s="6"/>
      <c r="M7" s="6"/>
      <c r="N7" s="6"/>
      <c r="O7" s="6"/>
      <c r="P7" s="6"/>
      <c r="Q7" s="6"/>
      <c r="R7" s="6"/>
      <c r="S7" s="6"/>
      <c r="T7" s="6"/>
      <c r="U7" s="6"/>
      <c r="V7" s="6"/>
      <c r="W7" s="6"/>
      <c r="X7" s="6"/>
      <c r="Y7" s="6"/>
      <c r="Z7" s="6"/>
      <c r="AA7" s="7"/>
    </row>
    <row r="8" spans="1:27" ht="12.75">
      <c r="A8" s="8" t="s">
        <v>11</v>
      </c>
      <c r="B8" s="6"/>
      <c r="C8" s="21">
        <f>C13</f>
        <v>9526500</v>
      </c>
      <c r="D8" s="21">
        <f>C13</f>
        <v>9526500</v>
      </c>
      <c r="E8" s="6"/>
      <c r="F8" s="6"/>
      <c r="G8" s="6"/>
      <c r="H8" s="22"/>
      <c r="I8" s="22"/>
      <c r="J8" s="6"/>
      <c r="K8" s="6"/>
      <c r="L8" s="6"/>
      <c r="M8" s="6"/>
      <c r="N8" s="6"/>
      <c r="O8" s="6"/>
      <c r="P8" s="6"/>
      <c r="Q8" s="6"/>
      <c r="R8" s="6"/>
      <c r="S8" s="6"/>
      <c r="T8" s="6"/>
      <c r="U8" s="6"/>
      <c r="V8" s="6"/>
      <c r="W8" s="6"/>
      <c r="X8" s="6"/>
      <c r="Y8" s="6"/>
      <c r="Z8" s="6"/>
      <c r="AA8" s="7"/>
    </row>
    <row r="9" spans="1:27" ht="13.5" thickBot="1">
      <c r="A9" s="8" t="s">
        <v>10</v>
      </c>
      <c r="B9" s="6"/>
      <c r="C9" s="21">
        <f>SUM(C14:H14)</f>
        <v>4332419.5650155265</v>
      </c>
      <c r="D9" s="18">
        <f>SUM(C14:AB14)</f>
        <v>9531183.448222814</v>
      </c>
      <c r="E9" s="6"/>
      <c r="F9" s="6"/>
      <c r="G9" s="6"/>
      <c r="H9" s="22"/>
      <c r="I9" s="22"/>
      <c r="J9" s="6"/>
      <c r="K9" s="6"/>
      <c r="L9" s="6"/>
      <c r="M9" s="6"/>
      <c r="N9" s="6"/>
      <c r="O9" s="6"/>
      <c r="P9" s="6"/>
      <c r="Q9" s="6"/>
      <c r="R9" s="6"/>
      <c r="S9" s="6"/>
      <c r="T9" s="6"/>
      <c r="U9" s="6"/>
      <c r="V9" s="6"/>
      <c r="W9" s="6"/>
      <c r="X9" s="6"/>
      <c r="Y9" s="6"/>
      <c r="Z9" s="6"/>
      <c r="AA9" s="7"/>
    </row>
    <row r="10" spans="1:27" ht="13.5" thickBot="1">
      <c r="A10" s="8"/>
      <c r="B10" s="8"/>
      <c r="C10" s="20">
        <f>C8-C9</f>
        <v>5194080.4349844735</v>
      </c>
      <c r="D10" s="20">
        <f>D8-D9</f>
        <v>-4683.448222814128</v>
      </c>
      <c r="E10" s="6"/>
      <c r="F10" s="6"/>
      <c r="G10" s="6"/>
      <c r="H10" s="22"/>
      <c r="I10" s="22"/>
      <c r="J10" s="6"/>
      <c r="K10" s="6"/>
      <c r="L10" s="6"/>
      <c r="M10" s="6"/>
      <c r="N10" s="6"/>
      <c r="O10" s="6"/>
      <c r="P10" s="6"/>
      <c r="Q10" s="6"/>
      <c r="R10" s="6"/>
      <c r="S10" s="6"/>
      <c r="T10" s="6"/>
      <c r="U10" s="6"/>
      <c r="V10" s="6"/>
      <c r="W10" s="6"/>
      <c r="X10" s="6"/>
      <c r="Y10" s="6"/>
      <c r="Z10" s="6"/>
      <c r="AA10" s="7"/>
    </row>
    <row r="11" spans="1:27" ht="12.75">
      <c r="A11" s="24">
        <v>0.01325</v>
      </c>
      <c r="B11" s="35"/>
      <c r="C11" s="6" t="s">
        <v>2</v>
      </c>
      <c r="D11" s="6" t="s">
        <v>7</v>
      </c>
      <c r="E11" s="6"/>
      <c r="F11" s="6"/>
      <c r="G11" s="6"/>
      <c r="H11" s="6"/>
      <c r="I11" s="6"/>
      <c r="J11" s="6"/>
      <c r="K11" s="6"/>
      <c r="L11" s="6"/>
      <c r="M11" s="6"/>
      <c r="N11" s="6"/>
      <c r="O11" s="6"/>
      <c r="P11" s="6"/>
      <c r="Q11" s="6"/>
      <c r="R11" s="6"/>
      <c r="S11" s="6"/>
      <c r="T11" s="6"/>
      <c r="U11" s="6"/>
      <c r="V11" s="6"/>
      <c r="W11" s="6"/>
      <c r="X11" s="6"/>
      <c r="Y11" s="6"/>
      <c r="Z11" s="6"/>
      <c r="AA11" s="7"/>
    </row>
    <row r="12" spans="1:27" ht="12.75">
      <c r="A12" s="13" t="s">
        <v>3</v>
      </c>
      <c r="B12" s="11"/>
      <c r="C12" s="11">
        <v>2007</v>
      </c>
      <c r="D12" s="11">
        <v>2008</v>
      </c>
      <c r="E12" s="11">
        <v>2009</v>
      </c>
      <c r="F12" s="11">
        <v>2010</v>
      </c>
      <c r="G12" s="11">
        <v>2011</v>
      </c>
      <c r="H12" s="11">
        <v>2012</v>
      </c>
      <c r="I12" s="11">
        <v>2013</v>
      </c>
      <c r="J12" s="11">
        <v>2014</v>
      </c>
      <c r="K12" s="11">
        <v>2015</v>
      </c>
      <c r="L12" s="11">
        <v>2016</v>
      </c>
      <c r="M12" s="11">
        <v>2017</v>
      </c>
      <c r="N12" s="11">
        <v>2018</v>
      </c>
      <c r="O12" s="11">
        <v>2019</v>
      </c>
      <c r="P12" s="11">
        <v>2020</v>
      </c>
      <c r="Q12" s="11">
        <v>2021</v>
      </c>
      <c r="R12" s="11">
        <v>2022</v>
      </c>
      <c r="S12" s="11">
        <v>2023</v>
      </c>
      <c r="T12" s="11">
        <v>2024</v>
      </c>
      <c r="U12" s="11">
        <v>2025</v>
      </c>
      <c r="V12" s="11">
        <v>2026</v>
      </c>
      <c r="W12" s="11">
        <v>2027</v>
      </c>
      <c r="X12" s="11">
        <v>2028</v>
      </c>
      <c r="Y12" s="11">
        <v>2029</v>
      </c>
      <c r="Z12" s="11">
        <v>2030</v>
      </c>
      <c r="AA12" s="11">
        <v>2031</v>
      </c>
    </row>
    <row r="13" spans="1:27" ht="12.75">
      <c r="A13" s="12" t="s">
        <v>4</v>
      </c>
      <c r="B13" s="6"/>
      <c r="C13" s="18">
        <f>$A$3*8760000*$A$4</f>
        <v>9526500</v>
      </c>
      <c r="D13" s="9"/>
      <c r="E13" s="9"/>
      <c r="F13" s="9"/>
      <c r="G13" s="9"/>
      <c r="H13" s="9"/>
      <c r="I13" s="6"/>
      <c r="J13" s="6"/>
      <c r="K13" s="6"/>
      <c r="L13" s="6"/>
      <c r="M13" s="6"/>
      <c r="N13" s="6"/>
      <c r="O13" s="6"/>
      <c r="P13" s="6"/>
      <c r="Q13" s="6"/>
      <c r="R13" s="6"/>
      <c r="S13" s="6"/>
      <c r="T13" s="6"/>
      <c r="U13" s="6"/>
      <c r="V13" s="6"/>
      <c r="W13" s="6"/>
      <c r="X13" s="6"/>
      <c r="Y13" s="6"/>
      <c r="Z13" s="6"/>
      <c r="AA13" s="7"/>
    </row>
    <row r="14" spans="1:27" ht="12.75">
      <c r="A14" s="12" t="s">
        <v>5</v>
      </c>
      <c r="B14" s="6"/>
      <c r="C14" s="18">
        <f>A11*8760000*$A$4</f>
        <v>841507.5</v>
      </c>
      <c r="D14" s="18">
        <f aca="true" t="shared" si="0" ref="D14:AA14">C14/(1+$A$5)</f>
        <v>816997.572815534</v>
      </c>
      <c r="E14" s="18">
        <f t="shared" si="0"/>
        <v>793201.5270053728</v>
      </c>
      <c r="F14" s="18">
        <f t="shared" si="0"/>
        <v>770098.5699081289</v>
      </c>
      <c r="G14" s="18">
        <f t="shared" si="0"/>
        <v>747668.5144739116</v>
      </c>
      <c r="H14" s="18">
        <f>G14*0.5/(1+$A$5)</f>
        <v>362945.8808125784</v>
      </c>
      <c r="I14" s="18">
        <f t="shared" si="0"/>
        <v>352374.64156561013</v>
      </c>
      <c r="J14" s="18">
        <f t="shared" si="0"/>
        <v>342111.3024908836</v>
      </c>
      <c r="K14" s="18">
        <f t="shared" si="0"/>
        <v>332146.8956222171</v>
      </c>
      <c r="L14" s="18">
        <f t="shared" si="0"/>
        <v>322472.71419632726</v>
      </c>
      <c r="M14" s="18">
        <f t="shared" si="0"/>
        <v>313080.3050449779</v>
      </c>
      <c r="N14" s="18">
        <f t="shared" si="0"/>
        <v>303961.46120871644</v>
      </c>
      <c r="O14" s="18">
        <f t="shared" si="0"/>
        <v>295108.2147657441</v>
      </c>
      <c r="P14" s="18">
        <f t="shared" si="0"/>
        <v>286512.8298696545</v>
      </c>
      <c r="Q14" s="18">
        <f t="shared" si="0"/>
        <v>278167.79598995583</v>
      </c>
      <c r="R14" s="18">
        <f t="shared" si="0"/>
        <v>270065.8213494717</v>
      </c>
      <c r="S14" s="18">
        <f t="shared" si="0"/>
        <v>262199.8265528851</v>
      </c>
      <c r="T14" s="18">
        <f t="shared" si="0"/>
        <v>254562.93840085933</v>
      </c>
      <c r="U14" s="18">
        <f t="shared" si="0"/>
        <v>247148.48388432944</v>
      </c>
      <c r="V14" s="18">
        <f t="shared" si="0"/>
        <v>239949.9843537179</v>
      </c>
      <c r="W14" s="18">
        <f t="shared" si="0"/>
        <v>232961.14985797854</v>
      </c>
      <c r="X14" s="18">
        <f t="shared" si="0"/>
        <v>226175.87364852286</v>
      </c>
      <c r="Y14" s="18">
        <f t="shared" si="0"/>
        <v>219588.22684322606</v>
      </c>
      <c r="Z14" s="18">
        <f t="shared" si="0"/>
        <v>213192.45324585054</v>
      </c>
      <c r="AA14" s="18">
        <f t="shared" si="0"/>
        <v>206982.96431635975</v>
      </c>
    </row>
    <row r="15" spans="1:27" ht="13.5" thickBot="1">
      <c r="A15" s="14" t="s">
        <v>9</v>
      </c>
      <c r="B15" s="10"/>
      <c r="C15" s="23">
        <f>C14</f>
        <v>841507.5</v>
      </c>
      <c r="D15" s="23">
        <f aca="true" t="shared" si="1" ref="D15:AA15">D14+C15</f>
        <v>1658505.072815534</v>
      </c>
      <c r="E15" s="23">
        <f t="shared" si="1"/>
        <v>2451706.5998209068</v>
      </c>
      <c r="F15" s="23">
        <f t="shared" si="1"/>
        <v>3221805.169729036</v>
      </c>
      <c r="G15" s="23">
        <f t="shared" si="1"/>
        <v>3969473.6842029477</v>
      </c>
      <c r="H15" s="23">
        <f t="shared" si="1"/>
        <v>4332419.5650155265</v>
      </c>
      <c r="I15" s="23">
        <f t="shared" si="1"/>
        <v>4684794.206581136</v>
      </c>
      <c r="J15" s="23">
        <f t="shared" si="1"/>
        <v>5026905.50907202</v>
      </c>
      <c r="K15" s="23">
        <f t="shared" si="1"/>
        <v>5359052.404694237</v>
      </c>
      <c r="L15" s="23">
        <f t="shared" si="1"/>
        <v>5681525.118890564</v>
      </c>
      <c r="M15" s="23">
        <f t="shared" si="1"/>
        <v>5994605.423935542</v>
      </c>
      <c r="N15" s="23">
        <f t="shared" si="1"/>
        <v>6298566.885144258</v>
      </c>
      <c r="O15" s="23">
        <f t="shared" si="1"/>
        <v>6593675.099910002</v>
      </c>
      <c r="P15" s="23">
        <f t="shared" si="1"/>
        <v>6880187.929779656</v>
      </c>
      <c r="Q15" s="23">
        <f t="shared" si="1"/>
        <v>7158355.725769612</v>
      </c>
      <c r="R15" s="23">
        <f t="shared" si="1"/>
        <v>7428421.547119084</v>
      </c>
      <c r="S15" s="23">
        <f t="shared" si="1"/>
        <v>7690621.373671969</v>
      </c>
      <c r="T15" s="23">
        <f t="shared" si="1"/>
        <v>7945184.312072828</v>
      </c>
      <c r="U15" s="23">
        <f t="shared" si="1"/>
        <v>8192332.795957157</v>
      </c>
      <c r="V15" s="23">
        <f t="shared" si="1"/>
        <v>8432282.780310875</v>
      </c>
      <c r="W15" s="23">
        <f t="shared" si="1"/>
        <v>8665243.930168854</v>
      </c>
      <c r="X15" s="23">
        <f t="shared" si="1"/>
        <v>8891419.803817376</v>
      </c>
      <c r="Y15" s="23">
        <f t="shared" si="1"/>
        <v>9111008.030660603</v>
      </c>
      <c r="Z15" s="23">
        <f t="shared" si="1"/>
        <v>9324200.483906453</v>
      </c>
      <c r="AA15" s="28">
        <f t="shared" si="1"/>
        <v>9531183.448222814</v>
      </c>
    </row>
    <row r="16" ht="13.5" thickBot="1"/>
    <row r="17" spans="1:27" ht="12.75">
      <c r="A17" s="30" t="s">
        <v>66</v>
      </c>
      <c r="B17" s="32"/>
      <c r="C17" s="4"/>
      <c r="D17" s="4"/>
      <c r="E17" s="4"/>
      <c r="F17" s="4"/>
      <c r="G17" s="4"/>
      <c r="H17" s="4"/>
      <c r="I17" s="4"/>
      <c r="J17" s="4"/>
      <c r="K17" s="4"/>
      <c r="L17" s="4"/>
      <c r="M17" s="4"/>
      <c r="N17" s="4"/>
      <c r="O17" s="4"/>
      <c r="P17" s="4"/>
      <c r="Q17" s="4"/>
      <c r="R17" s="4"/>
      <c r="S17" s="4"/>
      <c r="T17" s="4"/>
      <c r="U17" s="4"/>
      <c r="V17" s="4"/>
      <c r="W17" s="4"/>
      <c r="X17" s="4"/>
      <c r="Y17" s="4"/>
      <c r="Z17" s="4"/>
      <c r="AA17" s="5"/>
    </row>
    <row r="18" spans="1:27" ht="12.75">
      <c r="A18" s="8"/>
      <c r="B18" s="6"/>
      <c r="C18" s="29" t="s">
        <v>6</v>
      </c>
      <c r="D18" s="6" t="s">
        <v>45</v>
      </c>
      <c r="E18" s="6"/>
      <c r="F18" s="6"/>
      <c r="G18" s="6"/>
      <c r="H18" s="6"/>
      <c r="I18" s="6"/>
      <c r="J18" s="6"/>
      <c r="K18" s="6"/>
      <c r="L18" s="6"/>
      <c r="M18" s="6"/>
      <c r="N18" s="6"/>
      <c r="O18" s="6"/>
      <c r="P18" s="6"/>
      <c r="Q18" s="6"/>
      <c r="R18" s="6"/>
      <c r="S18" s="6"/>
      <c r="T18" s="6"/>
      <c r="U18" s="6"/>
      <c r="V18" s="6"/>
      <c r="W18" s="6"/>
      <c r="X18" s="6"/>
      <c r="Y18" s="6"/>
      <c r="Z18" s="6"/>
      <c r="AA18" s="7"/>
    </row>
    <row r="19" spans="1:27" ht="12.75">
      <c r="A19" s="8" t="s">
        <v>11</v>
      </c>
      <c r="B19" s="6"/>
      <c r="C19" s="21">
        <f>C24</f>
        <v>9526500</v>
      </c>
      <c r="D19" s="21">
        <f>C24</f>
        <v>9526500</v>
      </c>
      <c r="E19" s="6"/>
      <c r="F19" s="6"/>
      <c r="G19" s="6"/>
      <c r="H19" s="6"/>
      <c r="I19" s="6"/>
      <c r="J19" s="6"/>
      <c r="K19" s="18"/>
      <c r="L19" s="6"/>
      <c r="M19" s="6"/>
      <c r="N19" s="6"/>
      <c r="O19" s="6"/>
      <c r="P19" s="6"/>
      <c r="Q19" s="6"/>
      <c r="R19" s="6"/>
      <c r="S19" s="6"/>
      <c r="T19" s="6"/>
      <c r="U19" s="6"/>
      <c r="V19" s="6"/>
      <c r="W19" s="6"/>
      <c r="X19" s="6"/>
      <c r="Y19" s="6"/>
      <c r="Z19" s="6"/>
      <c r="AA19" s="7"/>
    </row>
    <row r="20" spans="1:27" ht="13.5" thickBot="1">
      <c r="A20" s="8" t="s">
        <v>10</v>
      </c>
      <c r="B20" s="6"/>
      <c r="C20" s="21">
        <f>SUM(C25:H25)</f>
        <v>4558756.01326006</v>
      </c>
      <c r="D20" s="18">
        <f>SUM(C25:AB25)</f>
        <v>9523673.611607607</v>
      </c>
      <c r="E20" s="6"/>
      <c r="F20" s="6"/>
      <c r="G20" s="6"/>
      <c r="H20" s="6"/>
      <c r="I20" s="6"/>
      <c r="J20" s="6"/>
      <c r="K20" s="6"/>
      <c r="L20" s="6"/>
      <c r="M20" s="6"/>
      <c r="N20" s="6"/>
      <c r="O20" s="6"/>
      <c r="P20" s="6"/>
      <c r="Q20" s="6"/>
      <c r="R20" s="6"/>
      <c r="S20" s="6"/>
      <c r="T20" s="6"/>
      <c r="U20" s="6"/>
      <c r="V20" s="6"/>
      <c r="W20" s="6"/>
      <c r="X20" s="6"/>
      <c r="Y20" s="6"/>
      <c r="Z20" s="6"/>
      <c r="AA20" s="7"/>
    </row>
    <row r="21" spans="1:27" ht="13.5" thickBot="1">
      <c r="A21" s="8"/>
      <c r="B21" s="8"/>
      <c r="C21" s="20">
        <f>C19-C20</f>
        <v>4967743.98673994</v>
      </c>
      <c r="D21" s="20">
        <f>D19-D20</f>
        <v>2826.388392392546</v>
      </c>
      <c r="E21" s="6"/>
      <c r="F21" s="6"/>
      <c r="G21" s="6"/>
      <c r="H21" s="6"/>
      <c r="I21" s="6"/>
      <c r="J21" s="6"/>
      <c r="K21" s="6"/>
      <c r="L21" s="6"/>
      <c r="M21" s="6"/>
      <c r="N21" s="6"/>
      <c r="O21" s="6"/>
      <c r="P21" s="6"/>
      <c r="Q21" s="6"/>
      <c r="R21" s="6"/>
      <c r="S21" s="6"/>
      <c r="T21" s="6"/>
      <c r="U21" s="6"/>
      <c r="V21" s="6"/>
      <c r="W21" s="6"/>
      <c r="X21" s="6"/>
      <c r="Y21" s="6"/>
      <c r="Z21" s="6"/>
      <c r="AA21" s="7"/>
    </row>
    <row r="22" spans="1:27" ht="12.75">
      <c r="A22" s="24">
        <v>0.01406</v>
      </c>
      <c r="B22" s="36"/>
      <c r="C22" s="6" t="s">
        <v>2</v>
      </c>
      <c r="D22" s="6" t="s">
        <v>7</v>
      </c>
      <c r="E22" s="6"/>
      <c r="F22" s="6"/>
      <c r="G22" s="6"/>
      <c r="H22" s="6"/>
      <c r="I22" s="6"/>
      <c r="J22" s="6"/>
      <c r="K22" s="6"/>
      <c r="L22" s="6"/>
      <c r="M22" s="6"/>
      <c r="N22" s="6"/>
      <c r="O22" s="6"/>
      <c r="P22" s="6"/>
      <c r="Q22" s="6"/>
      <c r="R22" s="6"/>
      <c r="S22" s="6"/>
      <c r="T22" s="6"/>
      <c r="U22" s="6"/>
      <c r="V22" s="6"/>
      <c r="W22" s="6"/>
      <c r="X22" s="6"/>
      <c r="Y22" s="6"/>
      <c r="Z22" s="6"/>
      <c r="AA22" s="7"/>
    </row>
    <row r="23" spans="1:27" ht="12.75">
      <c r="A23" s="13" t="s">
        <v>3</v>
      </c>
      <c r="B23" s="11"/>
      <c r="C23" s="11">
        <v>2007</v>
      </c>
      <c r="D23" s="11">
        <v>2008</v>
      </c>
      <c r="E23" s="11">
        <v>2009</v>
      </c>
      <c r="F23" s="11">
        <v>2010</v>
      </c>
      <c r="G23" s="11">
        <v>2011</v>
      </c>
      <c r="H23" s="11">
        <v>2012</v>
      </c>
      <c r="I23" s="11">
        <v>2013</v>
      </c>
      <c r="J23" s="11">
        <v>2014</v>
      </c>
      <c r="K23" s="11">
        <v>2015</v>
      </c>
      <c r="L23" s="11">
        <v>2016</v>
      </c>
      <c r="M23" s="11">
        <v>2017</v>
      </c>
      <c r="N23" s="11">
        <v>2018</v>
      </c>
      <c r="O23" s="11">
        <v>2019</v>
      </c>
      <c r="P23" s="11">
        <v>2020</v>
      </c>
      <c r="Q23" s="11">
        <v>2021</v>
      </c>
      <c r="R23" s="11">
        <v>2022</v>
      </c>
      <c r="S23" s="11">
        <v>2023</v>
      </c>
      <c r="T23" s="11">
        <v>2024</v>
      </c>
      <c r="U23" s="11">
        <v>2025</v>
      </c>
      <c r="V23" s="11">
        <v>2026</v>
      </c>
      <c r="W23" s="11">
        <v>2027</v>
      </c>
      <c r="X23" s="11">
        <v>2028</v>
      </c>
      <c r="Y23" s="11">
        <v>2029</v>
      </c>
      <c r="Z23" s="11">
        <v>2030</v>
      </c>
      <c r="AA23" s="11">
        <v>2031</v>
      </c>
    </row>
    <row r="24" spans="1:27" ht="12.75">
      <c r="A24" s="12" t="s">
        <v>4</v>
      </c>
      <c r="B24" s="6"/>
      <c r="C24" s="18">
        <f>$A$3*8760000*$A$4</f>
        <v>9526500</v>
      </c>
      <c r="D24" s="9"/>
      <c r="E24" s="9"/>
      <c r="F24" s="9"/>
      <c r="G24" s="9"/>
      <c r="H24" s="9"/>
      <c r="I24" s="6"/>
      <c r="J24" s="6"/>
      <c r="K24" s="6"/>
      <c r="L24" s="6"/>
      <c r="M24" s="6"/>
      <c r="N24" s="6"/>
      <c r="O24" s="6"/>
      <c r="P24" s="6"/>
      <c r="Q24" s="6"/>
      <c r="R24" s="6"/>
      <c r="S24" s="6"/>
      <c r="T24" s="6"/>
      <c r="U24" s="6"/>
      <c r="V24" s="6"/>
      <c r="W24" s="6"/>
      <c r="X24" s="6"/>
      <c r="Y24" s="6"/>
      <c r="Z24" s="6"/>
      <c r="AA24" s="7"/>
    </row>
    <row r="25" spans="1:27" ht="12.75">
      <c r="A25" s="12" t="s">
        <v>5</v>
      </c>
      <c r="B25" s="6"/>
      <c r="C25" s="18">
        <f>A22*8760000*$A$4</f>
        <v>892950.6</v>
      </c>
      <c r="D25" s="18">
        <f aca="true" t="shared" si="2" ref="D25:AA25">C25/(1+$A$5)</f>
        <v>866942.3300970873</v>
      </c>
      <c r="E25" s="18">
        <f t="shared" si="2"/>
        <v>841691.5826185313</v>
      </c>
      <c r="F25" s="18">
        <f t="shared" si="2"/>
        <v>817176.2938043993</v>
      </c>
      <c r="G25" s="18">
        <f t="shared" si="2"/>
        <v>793375.042528543</v>
      </c>
      <c r="H25" s="18">
        <f>G25*0.45/(1+$A$5)</f>
        <v>346620.1642114994</v>
      </c>
      <c r="I25" s="18">
        <f t="shared" si="2"/>
        <v>336524.4312733004</v>
      </c>
      <c r="J25" s="18">
        <f t="shared" si="2"/>
        <v>326722.74880902946</v>
      </c>
      <c r="K25" s="18">
        <f t="shared" si="2"/>
        <v>317206.5522417762</v>
      </c>
      <c r="L25" s="18">
        <f t="shared" si="2"/>
        <v>307967.5264483264</v>
      </c>
      <c r="M25" s="18">
        <f t="shared" si="2"/>
        <v>298997.5984935208</v>
      </c>
      <c r="N25" s="18">
        <f t="shared" si="2"/>
        <v>290288.9305762338</v>
      </c>
      <c r="O25" s="18">
        <f t="shared" si="2"/>
        <v>281833.91318080947</v>
      </c>
      <c r="P25" s="18">
        <f t="shared" si="2"/>
        <v>273625.15842797037</v>
      </c>
      <c r="Q25" s="18">
        <f t="shared" si="2"/>
        <v>265655.4936193887</v>
      </c>
      <c r="R25" s="18">
        <f t="shared" si="2"/>
        <v>257917.95497028032</v>
      </c>
      <c r="S25" s="18">
        <f t="shared" si="2"/>
        <v>250405.781524544</v>
      </c>
      <c r="T25" s="18">
        <f t="shared" si="2"/>
        <v>243112.4092471301</v>
      </c>
      <c r="U25" s="18">
        <f t="shared" si="2"/>
        <v>236031.46528847583</v>
      </c>
      <c r="V25" s="18">
        <f t="shared" si="2"/>
        <v>229156.76241599594</v>
      </c>
      <c r="W25" s="18">
        <f t="shared" si="2"/>
        <v>222482.29360776304</v>
      </c>
      <c r="X25" s="18">
        <f t="shared" si="2"/>
        <v>216002.22680365344</v>
      </c>
      <c r="Y25" s="18">
        <f t="shared" si="2"/>
        <v>209710.89980937226</v>
      </c>
      <c r="Z25" s="18">
        <f t="shared" si="2"/>
        <v>203602.8153489051</v>
      </c>
      <c r="AA25" s="18">
        <f t="shared" si="2"/>
        <v>197672.6362610729</v>
      </c>
    </row>
    <row r="26" spans="1:27" ht="13.5" thickBot="1">
      <c r="A26" s="14" t="s">
        <v>9</v>
      </c>
      <c r="B26" s="10"/>
      <c r="C26" s="23">
        <f>C25</f>
        <v>892950.6</v>
      </c>
      <c r="D26" s="23">
        <f aca="true" t="shared" si="3" ref="D26:AA26">D25+C26</f>
        <v>1759892.9300970873</v>
      </c>
      <c r="E26" s="23">
        <f t="shared" si="3"/>
        <v>2601584.5127156186</v>
      </c>
      <c r="F26" s="23">
        <f t="shared" si="3"/>
        <v>3418760.806520018</v>
      </c>
      <c r="G26" s="23">
        <f t="shared" si="3"/>
        <v>4212135.8490485605</v>
      </c>
      <c r="H26" s="23">
        <f t="shared" si="3"/>
        <v>4558756.01326006</v>
      </c>
      <c r="I26" s="23">
        <f t="shared" si="3"/>
        <v>4895280.44453336</v>
      </c>
      <c r="J26" s="23">
        <f t="shared" si="3"/>
        <v>5222003.19334239</v>
      </c>
      <c r="K26" s="23">
        <f t="shared" si="3"/>
        <v>5539209.745584166</v>
      </c>
      <c r="L26" s="23">
        <f t="shared" si="3"/>
        <v>5847177.272032492</v>
      </c>
      <c r="M26" s="23">
        <f t="shared" si="3"/>
        <v>6146174.870526013</v>
      </c>
      <c r="N26" s="23">
        <f t="shared" si="3"/>
        <v>6436463.801102247</v>
      </c>
      <c r="O26" s="23">
        <f t="shared" si="3"/>
        <v>6718297.714283057</v>
      </c>
      <c r="P26" s="23">
        <f t="shared" si="3"/>
        <v>6991922.872711027</v>
      </c>
      <c r="Q26" s="23">
        <f t="shared" si="3"/>
        <v>7257578.366330416</v>
      </c>
      <c r="R26" s="23">
        <f t="shared" si="3"/>
        <v>7515496.321300697</v>
      </c>
      <c r="S26" s="23">
        <f t="shared" si="3"/>
        <v>7765902.10282524</v>
      </c>
      <c r="T26" s="23">
        <f t="shared" si="3"/>
        <v>8009014.51207237</v>
      </c>
      <c r="U26" s="23">
        <f t="shared" si="3"/>
        <v>8245045.9773608465</v>
      </c>
      <c r="V26" s="23">
        <f t="shared" si="3"/>
        <v>8474202.739776842</v>
      </c>
      <c r="W26" s="23">
        <f t="shared" si="3"/>
        <v>8696685.033384606</v>
      </c>
      <c r="X26" s="23">
        <f t="shared" si="3"/>
        <v>8912687.26018826</v>
      </c>
      <c r="Y26" s="23">
        <f t="shared" si="3"/>
        <v>9122398.15999763</v>
      </c>
      <c r="Z26" s="23">
        <f t="shared" si="3"/>
        <v>9326000.975346535</v>
      </c>
      <c r="AA26" s="28">
        <f t="shared" si="3"/>
        <v>9523673.611607607</v>
      </c>
    </row>
    <row r="27" ht="13.5" thickBot="1"/>
    <row r="28" spans="1:27" ht="12.75">
      <c r="A28" s="30" t="s">
        <v>49</v>
      </c>
      <c r="B28" s="32"/>
      <c r="C28" s="4"/>
      <c r="D28" s="4"/>
      <c r="E28" s="4"/>
      <c r="F28" s="4"/>
      <c r="G28" s="4"/>
      <c r="H28" s="4"/>
      <c r="I28" s="4"/>
      <c r="J28" s="4"/>
      <c r="K28" s="4"/>
      <c r="L28" s="4"/>
      <c r="M28" s="4"/>
      <c r="N28" s="4"/>
      <c r="O28" s="4"/>
      <c r="P28" s="4"/>
      <c r="Q28" s="4"/>
      <c r="R28" s="4"/>
      <c r="S28" s="4"/>
      <c r="T28" s="4"/>
      <c r="U28" s="4"/>
      <c r="V28" s="4"/>
      <c r="W28" s="4"/>
      <c r="X28" s="4"/>
      <c r="Y28" s="4"/>
      <c r="Z28" s="4"/>
      <c r="AA28" s="5"/>
    </row>
    <row r="29" spans="1:27" ht="12.75">
      <c r="A29" s="8"/>
      <c r="B29" s="6"/>
      <c r="C29" s="29" t="s">
        <v>6</v>
      </c>
      <c r="D29" s="6" t="s">
        <v>45</v>
      </c>
      <c r="E29" s="6"/>
      <c r="F29" s="6"/>
      <c r="G29" s="6"/>
      <c r="H29" s="6"/>
      <c r="I29" s="6"/>
      <c r="J29" s="6"/>
      <c r="K29" s="6"/>
      <c r="L29" s="6"/>
      <c r="M29" s="6"/>
      <c r="N29" s="6"/>
      <c r="O29" s="6"/>
      <c r="P29" s="6"/>
      <c r="Q29" s="6"/>
      <c r="R29" s="6"/>
      <c r="S29" s="6"/>
      <c r="T29" s="6"/>
      <c r="U29" s="6"/>
      <c r="V29" s="6"/>
      <c r="W29" s="6"/>
      <c r="X29" s="6"/>
      <c r="Y29" s="6"/>
      <c r="Z29" s="6"/>
      <c r="AA29" s="7"/>
    </row>
    <row r="30" spans="1:27" ht="12.75">
      <c r="A30" s="8" t="s">
        <v>11</v>
      </c>
      <c r="B30" s="6"/>
      <c r="C30" s="21">
        <f>C35</f>
        <v>9526500</v>
      </c>
      <c r="D30" s="21">
        <f>C35</f>
        <v>9526500</v>
      </c>
      <c r="E30" s="6"/>
      <c r="F30" s="6"/>
      <c r="G30" s="6"/>
      <c r="H30" s="6"/>
      <c r="I30" s="6"/>
      <c r="J30" s="6"/>
      <c r="K30" s="18"/>
      <c r="L30" s="6"/>
      <c r="M30" s="6"/>
      <c r="N30" s="6"/>
      <c r="O30" s="6"/>
      <c r="P30" s="6"/>
      <c r="Q30" s="6"/>
      <c r="R30" s="6"/>
      <c r="S30" s="6"/>
      <c r="T30" s="6"/>
      <c r="U30" s="6"/>
      <c r="V30" s="6"/>
      <c r="W30" s="6"/>
      <c r="X30" s="6"/>
      <c r="Y30" s="6"/>
      <c r="Z30" s="6"/>
      <c r="AA30" s="7"/>
    </row>
    <row r="31" spans="1:27" ht="13.5" thickBot="1">
      <c r="A31" s="8" t="s">
        <v>10</v>
      </c>
      <c r="B31" s="6"/>
      <c r="C31" s="21">
        <f>SUM(C36:G36)</f>
        <v>5602200.595818499</v>
      </c>
      <c r="D31" s="18">
        <f>SUM(C36:AB36)</f>
        <v>9526878.80665516</v>
      </c>
      <c r="E31" s="6"/>
      <c r="F31" s="6"/>
      <c r="G31" s="6"/>
      <c r="H31" s="6"/>
      <c r="I31" s="6"/>
      <c r="J31" s="6"/>
      <c r="K31" s="6"/>
      <c r="L31" s="6"/>
      <c r="M31" s="6"/>
      <c r="N31" s="6"/>
      <c r="O31" s="6"/>
      <c r="P31" s="6"/>
      <c r="Q31" s="6"/>
      <c r="R31" s="6"/>
      <c r="S31" s="6"/>
      <c r="T31" s="6"/>
      <c r="U31" s="6"/>
      <c r="V31" s="6"/>
      <c r="W31" s="6"/>
      <c r="X31" s="6"/>
      <c r="Y31" s="6"/>
      <c r="Z31" s="6"/>
      <c r="AA31" s="7"/>
    </row>
    <row r="32" spans="1:27" ht="13.5" thickBot="1">
      <c r="A32" s="8"/>
      <c r="B32" s="8"/>
      <c r="C32" s="20">
        <f>C30-C31</f>
        <v>3924299.404181501</v>
      </c>
      <c r="D32" s="20">
        <f>D30-D31</f>
        <v>-378.8066551592201</v>
      </c>
      <c r="E32" s="6"/>
      <c r="F32" s="6"/>
      <c r="G32" s="6"/>
      <c r="H32" s="6"/>
      <c r="I32" s="6"/>
      <c r="J32" s="6"/>
      <c r="K32" s="6"/>
      <c r="L32" s="6"/>
      <c r="M32" s="6"/>
      <c r="N32" s="6"/>
      <c r="O32" s="6"/>
      <c r="P32" s="6"/>
      <c r="Q32" s="6"/>
      <c r="R32" s="6"/>
      <c r="S32" s="6"/>
      <c r="T32" s="6"/>
      <c r="U32" s="6"/>
      <c r="V32" s="6"/>
      <c r="W32" s="6"/>
      <c r="X32" s="6"/>
      <c r="Y32" s="6"/>
      <c r="Z32" s="6"/>
      <c r="AA32" s="7"/>
    </row>
    <row r="33" spans="1:27" ht="12.75">
      <c r="A33" s="15">
        <v>0.0187</v>
      </c>
      <c r="B33" s="36"/>
      <c r="C33" s="6" t="s">
        <v>2</v>
      </c>
      <c r="D33" s="6" t="s">
        <v>7</v>
      </c>
      <c r="E33" s="6"/>
      <c r="F33" s="6"/>
      <c r="G33" s="6"/>
      <c r="H33" s="6"/>
      <c r="I33" s="6"/>
      <c r="J33" s="6"/>
      <c r="K33" s="6"/>
      <c r="L33" s="6"/>
      <c r="M33" s="6"/>
      <c r="N33" s="6"/>
      <c r="O33" s="6"/>
      <c r="P33" s="6"/>
      <c r="Q33" s="6"/>
      <c r="R33" s="6"/>
      <c r="S33" s="6"/>
      <c r="T33" s="6"/>
      <c r="U33" s="6"/>
      <c r="V33" s="6"/>
      <c r="W33" s="6"/>
      <c r="X33" s="6"/>
      <c r="Y33" s="6"/>
      <c r="Z33" s="6"/>
      <c r="AA33" s="7"/>
    </row>
    <row r="34" spans="1:27" ht="12.75">
      <c r="A34" s="13" t="s">
        <v>3</v>
      </c>
      <c r="B34" s="11"/>
      <c r="C34" s="11">
        <v>2007</v>
      </c>
      <c r="D34" s="11">
        <v>2008</v>
      </c>
      <c r="E34" s="11">
        <v>2009</v>
      </c>
      <c r="F34" s="11">
        <v>2010</v>
      </c>
      <c r="G34" s="11">
        <v>2011</v>
      </c>
      <c r="H34" s="11">
        <v>2012</v>
      </c>
      <c r="I34" s="11">
        <v>2013</v>
      </c>
      <c r="J34" s="11">
        <v>2014</v>
      </c>
      <c r="K34" s="11">
        <v>2015</v>
      </c>
      <c r="L34" s="11">
        <v>2016</v>
      </c>
      <c r="M34" s="11">
        <v>2017</v>
      </c>
      <c r="N34" s="11">
        <v>2018</v>
      </c>
      <c r="O34" s="11">
        <v>2019</v>
      </c>
      <c r="P34" s="11">
        <v>2020</v>
      </c>
      <c r="Q34" s="11">
        <v>2021</v>
      </c>
      <c r="R34" s="11">
        <v>2022</v>
      </c>
      <c r="S34" s="11">
        <v>2023</v>
      </c>
      <c r="T34" s="11">
        <v>2024</v>
      </c>
      <c r="U34" s="11">
        <v>2025</v>
      </c>
      <c r="V34" s="11">
        <v>2026</v>
      </c>
      <c r="W34" s="11">
        <v>2027</v>
      </c>
      <c r="X34" s="11">
        <v>2028</v>
      </c>
      <c r="Y34" s="11">
        <v>2029</v>
      </c>
      <c r="Z34" s="11">
        <v>2030</v>
      </c>
      <c r="AA34" s="11">
        <v>2031</v>
      </c>
    </row>
    <row r="35" spans="1:27" ht="12.75">
      <c r="A35" s="12" t="s">
        <v>4</v>
      </c>
      <c r="B35" s="6"/>
      <c r="C35" s="18">
        <f>$A$3*8760000*$A$4</f>
        <v>9526500</v>
      </c>
      <c r="D35" s="9"/>
      <c r="E35" s="9"/>
      <c r="F35" s="9"/>
      <c r="G35" s="9"/>
      <c r="H35" s="9"/>
      <c r="I35" s="6"/>
      <c r="J35" s="6"/>
      <c r="K35" s="6"/>
      <c r="L35" s="6"/>
      <c r="M35" s="6"/>
      <c r="N35" s="6"/>
      <c r="O35" s="6"/>
      <c r="P35" s="6"/>
      <c r="Q35" s="6"/>
      <c r="R35" s="6"/>
      <c r="S35" s="6"/>
      <c r="T35" s="6"/>
      <c r="U35" s="6"/>
      <c r="V35" s="6"/>
      <c r="W35" s="6"/>
      <c r="X35" s="6"/>
      <c r="Y35" s="6"/>
      <c r="Z35" s="6"/>
      <c r="AA35" s="7"/>
    </row>
    <row r="36" spans="1:27" ht="12.75">
      <c r="A36" s="12" t="s">
        <v>5</v>
      </c>
      <c r="B36" s="6"/>
      <c r="C36" s="18">
        <f>A33*8760000*$A$4</f>
        <v>1187637</v>
      </c>
      <c r="D36" s="18">
        <f aca="true" t="shared" si="4" ref="D36:AA36">C36/(1+$A$5)</f>
        <v>1153045.6310679612</v>
      </c>
      <c r="E36" s="18">
        <f t="shared" si="4"/>
        <v>1119461.7777358848</v>
      </c>
      <c r="F36" s="18">
        <f t="shared" si="4"/>
        <v>1086856.0948892084</v>
      </c>
      <c r="G36" s="18">
        <f t="shared" si="4"/>
        <v>1055200.0921254451</v>
      </c>
      <c r="H36" s="18">
        <f>G36*0.25/(1+$A$5)</f>
        <v>256116.52721491386</v>
      </c>
      <c r="I36" s="18">
        <f t="shared" si="4"/>
        <v>248656.82253875132</v>
      </c>
      <c r="J36" s="18">
        <f t="shared" si="4"/>
        <v>241414.39081432167</v>
      </c>
      <c r="K36" s="18">
        <f t="shared" si="4"/>
        <v>234382.9037032249</v>
      </c>
      <c r="L36" s="18">
        <f t="shared" si="4"/>
        <v>227556.21718759698</v>
      </c>
      <c r="M36" s="18">
        <f t="shared" si="4"/>
        <v>220928.36620155047</v>
      </c>
      <c r="N36" s="18">
        <f t="shared" si="4"/>
        <v>214493.55941898102</v>
      </c>
      <c r="O36" s="18">
        <f t="shared" si="4"/>
        <v>208246.17419318546</v>
      </c>
      <c r="P36" s="18">
        <f t="shared" si="4"/>
        <v>202180.7516438694</v>
      </c>
      <c r="Q36" s="18">
        <f t="shared" si="4"/>
        <v>196291.99188725182</v>
      </c>
      <c r="R36" s="18">
        <f t="shared" si="4"/>
        <v>190574.74940509885</v>
      </c>
      <c r="S36" s="18">
        <f t="shared" si="4"/>
        <v>185024.02854863965</v>
      </c>
      <c r="T36" s="18">
        <f t="shared" si="4"/>
        <v>179634.97917343656</v>
      </c>
      <c r="U36" s="18">
        <f t="shared" si="4"/>
        <v>174402.89240139473</v>
      </c>
      <c r="V36" s="18">
        <f t="shared" si="4"/>
        <v>169323.19650620848</v>
      </c>
      <c r="W36" s="18">
        <f t="shared" si="4"/>
        <v>164391.452918649</v>
      </c>
      <c r="X36" s="18">
        <f t="shared" si="4"/>
        <v>159603.35234820293</v>
      </c>
      <c r="Y36" s="18">
        <f t="shared" si="4"/>
        <v>154954.71101767273</v>
      </c>
      <c r="Z36" s="18">
        <f t="shared" si="4"/>
        <v>150441.46700744925</v>
      </c>
      <c r="AA36" s="18">
        <f t="shared" si="4"/>
        <v>146059.6767062614</v>
      </c>
    </row>
    <row r="37" spans="1:27" ht="13.5" thickBot="1">
      <c r="A37" s="14" t="s">
        <v>9</v>
      </c>
      <c r="B37" s="10"/>
      <c r="C37" s="23">
        <f>C36</f>
        <v>1187637</v>
      </c>
      <c r="D37" s="23">
        <f aca="true" t="shared" si="5" ref="D37:AA37">D36+C37</f>
        <v>2340682.6310679615</v>
      </c>
      <c r="E37" s="23">
        <f t="shared" si="5"/>
        <v>3460144.408803846</v>
      </c>
      <c r="F37" s="23">
        <f t="shared" si="5"/>
        <v>4547000.503693054</v>
      </c>
      <c r="G37" s="23">
        <f t="shared" si="5"/>
        <v>5602200.595818499</v>
      </c>
      <c r="H37" s="23">
        <f t="shared" si="5"/>
        <v>5858317.123033413</v>
      </c>
      <c r="I37" s="23">
        <f t="shared" si="5"/>
        <v>6106973.945572164</v>
      </c>
      <c r="J37" s="23">
        <f t="shared" si="5"/>
        <v>6348388.336386486</v>
      </c>
      <c r="K37" s="23">
        <f t="shared" si="5"/>
        <v>6582771.240089711</v>
      </c>
      <c r="L37" s="23">
        <f t="shared" si="5"/>
        <v>6810327.457277308</v>
      </c>
      <c r="M37" s="23">
        <f t="shared" si="5"/>
        <v>7031255.823478859</v>
      </c>
      <c r="N37" s="23">
        <f t="shared" si="5"/>
        <v>7245749.38289784</v>
      </c>
      <c r="O37" s="23">
        <f t="shared" si="5"/>
        <v>7453995.557091026</v>
      </c>
      <c r="P37" s="23">
        <f t="shared" si="5"/>
        <v>7656176.308734895</v>
      </c>
      <c r="Q37" s="23">
        <f t="shared" si="5"/>
        <v>7852468.300622147</v>
      </c>
      <c r="R37" s="23">
        <f t="shared" si="5"/>
        <v>8043043.050027246</v>
      </c>
      <c r="S37" s="23">
        <f t="shared" si="5"/>
        <v>8228067.078575885</v>
      </c>
      <c r="T37" s="23">
        <f t="shared" si="5"/>
        <v>8407702.057749322</v>
      </c>
      <c r="U37" s="23">
        <f t="shared" si="5"/>
        <v>8582104.950150717</v>
      </c>
      <c r="V37" s="23">
        <f t="shared" si="5"/>
        <v>8751428.146656925</v>
      </c>
      <c r="W37" s="23">
        <f t="shared" si="5"/>
        <v>8915819.599575574</v>
      </c>
      <c r="X37" s="23">
        <f t="shared" si="5"/>
        <v>9075422.951923776</v>
      </c>
      <c r="Y37" s="23">
        <f t="shared" si="5"/>
        <v>9230377.662941448</v>
      </c>
      <c r="Z37" s="23">
        <f t="shared" si="5"/>
        <v>9380819.129948897</v>
      </c>
      <c r="AA37" s="28">
        <f t="shared" si="5"/>
        <v>9526878.80665516</v>
      </c>
    </row>
    <row r="38" ht="13.5" thickBot="1"/>
    <row r="39" spans="1:27" ht="12.75">
      <c r="A39" s="30" t="s">
        <v>68</v>
      </c>
      <c r="B39" s="32"/>
      <c r="C39" s="4"/>
      <c r="D39" s="4"/>
      <c r="E39" s="4"/>
      <c r="F39" s="4"/>
      <c r="G39" s="4"/>
      <c r="H39" s="4"/>
      <c r="I39" s="4"/>
      <c r="J39" s="4"/>
      <c r="K39" s="31"/>
      <c r="L39" s="4"/>
      <c r="M39" s="4"/>
      <c r="N39" s="4"/>
      <c r="O39" s="4"/>
      <c r="P39" s="4"/>
      <c r="Q39" s="4"/>
      <c r="R39" s="4"/>
      <c r="S39" s="4"/>
      <c r="T39" s="4"/>
      <c r="U39" s="4"/>
      <c r="V39" s="4"/>
      <c r="W39" s="4"/>
      <c r="X39" s="4"/>
      <c r="Y39" s="4"/>
      <c r="Z39" s="4"/>
      <c r="AA39" s="5"/>
    </row>
    <row r="40" spans="1:27" ht="12.75">
      <c r="A40" s="8"/>
      <c r="B40" s="6"/>
      <c r="C40" s="29" t="s">
        <v>6</v>
      </c>
      <c r="D40" s="6" t="s">
        <v>45</v>
      </c>
      <c r="E40" s="6"/>
      <c r="F40" s="6"/>
      <c r="G40" s="6"/>
      <c r="H40" s="6"/>
      <c r="I40" s="6"/>
      <c r="J40" s="6"/>
      <c r="K40" s="6"/>
      <c r="L40" s="6"/>
      <c r="M40" s="6"/>
      <c r="N40" s="6"/>
      <c r="O40" s="6"/>
      <c r="P40" s="6"/>
      <c r="Q40" s="6"/>
      <c r="R40" s="6"/>
      <c r="S40" s="6"/>
      <c r="T40" s="6"/>
      <c r="U40" s="6"/>
      <c r="V40" s="6"/>
      <c r="W40" s="6"/>
      <c r="X40" s="6"/>
      <c r="Y40" s="6"/>
      <c r="Z40" s="6"/>
      <c r="AA40" s="7"/>
    </row>
    <row r="41" spans="1:27" ht="12.75">
      <c r="A41" s="8" t="s">
        <v>11</v>
      </c>
      <c r="B41" s="6"/>
      <c r="C41" s="21">
        <f>C46</f>
        <v>9526500</v>
      </c>
      <c r="D41" s="21">
        <f>C46</f>
        <v>9526500</v>
      </c>
      <c r="E41" s="6"/>
      <c r="F41" s="6"/>
      <c r="G41" s="6"/>
      <c r="H41" s="6"/>
      <c r="I41" s="6"/>
      <c r="J41" s="6"/>
      <c r="K41" s="6"/>
      <c r="L41" s="6"/>
      <c r="M41" s="6"/>
      <c r="N41" s="6"/>
      <c r="O41" s="6"/>
      <c r="P41" s="6"/>
      <c r="Q41" s="6"/>
      <c r="R41" s="6"/>
      <c r="S41" s="6"/>
      <c r="T41" s="6"/>
      <c r="U41" s="6"/>
      <c r="V41" s="6"/>
      <c r="W41" s="6"/>
      <c r="X41" s="6"/>
      <c r="Y41" s="6"/>
      <c r="Z41" s="6"/>
      <c r="AA41" s="7"/>
    </row>
    <row r="42" spans="1:27" ht="13.5" thickBot="1">
      <c r="A42" s="8" t="s">
        <v>10</v>
      </c>
      <c r="B42" s="6"/>
      <c r="C42" s="21">
        <f>SUM(C47:H47)</f>
        <v>6082232.977063234</v>
      </c>
      <c r="D42" s="18">
        <f>SUM(C47:AB47)</f>
        <v>9525187.9261307</v>
      </c>
      <c r="E42" s="6"/>
      <c r="F42" s="6"/>
      <c r="G42" s="6"/>
      <c r="H42" s="6"/>
      <c r="I42" s="6"/>
      <c r="J42" s="6"/>
      <c r="K42" s="6"/>
      <c r="L42" s="6"/>
      <c r="M42" s="6"/>
      <c r="N42" s="6"/>
      <c r="O42" s="6"/>
      <c r="P42" s="6"/>
      <c r="Q42" s="6"/>
      <c r="R42" s="6"/>
      <c r="S42" s="6"/>
      <c r="T42" s="6"/>
      <c r="U42" s="6"/>
      <c r="V42" s="6"/>
      <c r="W42" s="6"/>
      <c r="X42" s="6"/>
      <c r="Y42" s="6"/>
      <c r="Z42" s="6"/>
      <c r="AA42" s="7"/>
    </row>
    <row r="43" spans="1:27" ht="13.5" thickBot="1">
      <c r="A43" s="8"/>
      <c r="B43" s="8"/>
      <c r="C43" s="20">
        <f>C41-C42</f>
        <v>3444267.022936766</v>
      </c>
      <c r="D43" s="20">
        <f>D41-D42</f>
        <v>1312.0738692991436</v>
      </c>
      <c r="E43" s="6"/>
      <c r="F43" s="6"/>
      <c r="G43" s="6"/>
      <c r="H43" s="6"/>
      <c r="I43" s="6"/>
      <c r="J43" s="6"/>
      <c r="K43" s="6"/>
      <c r="L43" s="6"/>
      <c r="M43" s="6"/>
      <c r="N43" s="6"/>
      <c r="O43" s="6"/>
      <c r="P43" s="6"/>
      <c r="Q43" s="6"/>
      <c r="R43" s="6"/>
      <c r="S43" s="6"/>
      <c r="T43" s="6"/>
      <c r="U43" s="6"/>
      <c r="V43" s="6"/>
      <c r="W43" s="6"/>
      <c r="X43" s="6"/>
      <c r="Y43" s="6"/>
      <c r="Z43" s="6"/>
      <c r="AA43" s="7"/>
    </row>
    <row r="44" spans="1:27" ht="12.75">
      <c r="A44" s="15">
        <v>0.0195</v>
      </c>
      <c r="B44" s="36"/>
      <c r="C44" s="6" t="s">
        <v>2</v>
      </c>
      <c r="D44" s="6" t="s">
        <v>7</v>
      </c>
      <c r="E44" s="6"/>
      <c r="F44" s="6"/>
      <c r="G44" s="6"/>
      <c r="H44" s="6"/>
      <c r="I44" s="6"/>
      <c r="J44" s="6"/>
      <c r="K44" s="6"/>
      <c r="L44" s="6"/>
      <c r="M44" s="6"/>
      <c r="N44" s="6"/>
      <c r="O44" s="6"/>
      <c r="P44" s="6"/>
      <c r="Q44" s="6"/>
      <c r="R44" s="6"/>
      <c r="S44" s="6"/>
      <c r="T44" s="6"/>
      <c r="U44" s="6"/>
      <c r="V44" s="6"/>
      <c r="W44" s="6"/>
      <c r="X44" s="6"/>
      <c r="Y44" s="6"/>
      <c r="Z44" s="6"/>
      <c r="AA44" s="7"/>
    </row>
    <row r="45" spans="1:27" ht="12.75">
      <c r="A45" s="13" t="s">
        <v>3</v>
      </c>
      <c r="B45" s="11"/>
      <c r="C45" s="11">
        <v>2007</v>
      </c>
      <c r="D45" s="11">
        <v>2008</v>
      </c>
      <c r="E45" s="11">
        <v>2009</v>
      </c>
      <c r="F45" s="11">
        <v>2010</v>
      </c>
      <c r="G45" s="11">
        <v>2011</v>
      </c>
      <c r="H45" s="11">
        <v>2012</v>
      </c>
      <c r="I45" s="11">
        <v>2013</v>
      </c>
      <c r="J45" s="11">
        <v>2014</v>
      </c>
      <c r="K45" s="11">
        <v>2015</v>
      </c>
      <c r="L45" s="11">
        <v>2016</v>
      </c>
      <c r="M45" s="11">
        <v>2017</v>
      </c>
      <c r="N45" s="11">
        <v>2018</v>
      </c>
      <c r="O45" s="11">
        <v>2019</v>
      </c>
      <c r="P45" s="11">
        <v>2020</v>
      </c>
      <c r="Q45" s="11">
        <v>2021</v>
      </c>
      <c r="R45" s="11">
        <v>2022</v>
      </c>
      <c r="S45" s="11">
        <v>2023</v>
      </c>
      <c r="T45" s="11">
        <v>2024</v>
      </c>
      <c r="U45" s="11">
        <v>2025</v>
      </c>
      <c r="V45" s="11">
        <v>2026</v>
      </c>
      <c r="W45" s="11">
        <v>2027</v>
      </c>
      <c r="X45" s="11">
        <v>2028</v>
      </c>
      <c r="Y45" s="11">
        <v>2029</v>
      </c>
      <c r="Z45" s="11">
        <v>2030</v>
      </c>
      <c r="AA45" s="11">
        <v>2031</v>
      </c>
    </row>
    <row r="46" spans="1:27" ht="12.75">
      <c r="A46" s="12" t="s">
        <v>4</v>
      </c>
      <c r="B46" s="6"/>
      <c r="C46" s="18">
        <f>$A$3*8760000*$A$4</f>
        <v>9526500</v>
      </c>
      <c r="D46" s="9"/>
      <c r="E46" s="9"/>
      <c r="F46" s="9"/>
      <c r="G46" s="9"/>
      <c r="H46" s="9"/>
      <c r="I46" s="6"/>
      <c r="J46" s="6"/>
      <c r="K46" s="6"/>
      <c r="L46" s="6"/>
      <c r="M46" s="6"/>
      <c r="N46" s="6"/>
      <c r="O46" s="6"/>
      <c r="P46" s="6"/>
      <c r="Q46" s="6"/>
      <c r="R46" s="6"/>
      <c r="S46" s="6"/>
      <c r="T46" s="6"/>
      <c r="U46" s="6"/>
      <c r="V46" s="6"/>
      <c r="W46" s="6"/>
      <c r="X46" s="6"/>
      <c r="Y46" s="6"/>
      <c r="Z46" s="6"/>
      <c r="AA46" s="7"/>
    </row>
    <row r="47" spans="1:27" ht="12.75">
      <c r="A47" s="12" t="s">
        <v>5</v>
      </c>
      <c r="B47" s="6"/>
      <c r="C47" s="18">
        <f>A44*8760000*$A$4</f>
        <v>1238445</v>
      </c>
      <c r="D47" s="18">
        <f aca="true" t="shared" si="6" ref="D47:AA47">C47/(1+$A$5)</f>
        <v>1202373.7864077669</v>
      </c>
      <c r="E47" s="18">
        <f t="shared" si="6"/>
        <v>1167353.1906871523</v>
      </c>
      <c r="F47" s="18">
        <f t="shared" si="6"/>
        <v>1133352.6123176236</v>
      </c>
      <c r="G47" s="18">
        <f t="shared" si="6"/>
        <v>1100342.3420559452</v>
      </c>
      <c r="H47" s="18">
        <f>G47*0.225/(1+$A$5)</f>
        <v>240366.04559474532</v>
      </c>
      <c r="I47" s="18">
        <f t="shared" si="6"/>
        <v>233365.09281043234</v>
      </c>
      <c r="J47" s="18">
        <f t="shared" si="6"/>
        <v>226568.0512722644</v>
      </c>
      <c r="K47" s="18">
        <f t="shared" si="6"/>
        <v>219968.98181773242</v>
      </c>
      <c r="L47" s="18">
        <f t="shared" si="6"/>
        <v>213562.1182696431</v>
      </c>
      <c r="M47" s="18">
        <f t="shared" si="6"/>
        <v>207341.86239771175</v>
      </c>
      <c r="N47" s="18">
        <f t="shared" si="6"/>
        <v>201302.7790269046</v>
      </c>
      <c r="O47" s="18">
        <f t="shared" si="6"/>
        <v>195439.5912882569</v>
      </c>
      <c r="P47" s="18">
        <f t="shared" si="6"/>
        <v>189747.1760080164</v>
      </c>
      <c r="Q47" s="18">
        <f t="shared" si="6"/>
        <v>184220.55923108387</v>
      </c>
      <c r="R47" s="18">
        <f t="shared" si="6"/>
        <v>178854.9118748387</v>
      </c>
      <c r="S47" s="18">
        <f t="shared" si="6"/>
        <v>173645.54550955212</v>
      </c>
      <c r="T47" s="18">
        <f t="shared" si="6"/>
        <v>168587.9082617011</v>
      </c>
      <c r="U47" s="18">
        <f t="shared" si="6"/>
        <v>163677.58083660298</v>
      </c>
      <c r="V47" s="18">
        <f t="shared" si="6"/>
        <v>158910.2726568961</v>
      </c>
      <c r="W47" s="18">
        <f t="shared" si="6"/>
        <v>154281.81811349135</v>
      </c>
      <c r="X47" s="18">
        <f t="shared" si="6"/>
        <v>149788.17292571976</v>
      </c>
      <c r="Y47" s="18">
        <f t="shared" si="6"/>
        <v>145425.4106074949</v>
      </c>
      <c r="Z47" s="18">
        <f t="shared" si="6"/>
        <v>141189.71903640282</v>
      </c>
      <c r="AA47" s="18">
        <f t="shared" si="6"/>
        <v>137077.3971227212</v>
      </c>
    </row>
    <row r="48" spans="1:27" ht="13.5" thickBot="1">
      <c r="A48" s="14" t="s">
        <v>9</v>
      </c>
      <c r="B48" s="10"/>
      <c r="C48" s="23">
        <f>C47</f>
        <v>1238445</v>
      </c>
      <c r="D48" s="23">
        <f aca="true" t="shared" si="7" ref="D48:AA48">D47+C48</f>
        <v>2440818.786407767</v>
      </c>
      <c r="E48" s="23">
        <f t="shared" si="7"/>
        <v>3608171.9770949194</v>
      </c>
      <c r="F48" s="23">
        <f t="shared" si="7"/>
        <v>4741524.589412543</v>
      </c>
      <c r="G48" s="23">
        <f t="shared" si="7"/>
        <v>5841866.931468489</v>
      </c>
      <c r="H48" s="23">
        <f t="shared" si="7"/>
        <v>6082232.977063234</v>
      </c>
      <c r="I48" s="23">
        <f t="shared" si="7"/>
        <v>6315598.069873666</v>
      </c>
      <c r="J48" s="23">
        <f t="shared" si="7"/>
        <v>6542166.121145931</v>
      </c>
      <c r="K48" s="23">
        <f t="shared" si="7"/>
        <v>6762135.102963664</v>
      </c>
      <c r="L48" s="23">
        <f t="shared" si="7"/>
        <v>6975697.221233306</v>
      </c>
      <c r="M48" s="23">
        <f t="shared" si="7"/>
        <v>7183039.083631018</v>
      </c>
      <c r="N48" s="23">
        <f t="shared" si="7"/>
        <v>7384341.862657923</v>
      </c>
      <c r="O48" s="23">
        <f t="shared" si="7"/>
        <v>7579781.45394618</v>
      </c>
      <c r="P48" s="23">
        <f t="shared" si="7"/>
        <v>7769528.6299541965</v>
      </c>
      <c r="Q48" s="23">
        <f t="shared" si="7"/>
        <v>7953749.18918528</v>
      </c>
      <c r="R48" s="23">
        <f t="shared" si="7"/>
        <v>8132604.101060119</v>
      </c>
      <c r="S48" s="23">
        <f t="shared" si="7"/>
        <v>8306249.646569671</v>
      </c>
      <c r="T48" s="23">
        <f t="shared" si="7"/>
        <v>8474837.554831373</v>
      </c>
      <c r="U48" s="23">
        <f t="shared" si="7"/>
        <v>8638515.135667976</v>
      </c>
      <c r="V48" s="23">
        <f t="shared" si="7"/>
        <v>8797425.408324871</v>
      </c>
      <c r="W48" s="23">
        <f t="shared" si="7"/>
        <v>8951707.226438362</v>
      </c>
      <c r="X48" s="23">
        <f t="shared" si="7"/>
        <v>9101495.399364082</v>
      </c>
      <c r="Y48" s="23">
        <f t="shared" si="7"/>
        <v>9246920.809971577</v>
      </c>
      <c r="Z48" s="23">
        <f t="shared" si="7"/>
        <v>9388110.529007979</v>
      </c>
      <c r="AA48" s="28">
        <f t="shared" si="7"/>
        <v>9525187.9261307</v>
      </c>
    </row>
    <row r="49" ht="13.5" thickBot="1"/>
    <row r="50" spans="1:27" ht="12.75">
      <c r="A50" s="30" t="s">
        <v>50</v>
      </c>
      <c r="B50" s="32"/>
      <c r="C50" s="4"/>
      <c r="D50" s="4"/>
      <c r="E50" s="4"/>
      <c r="F50" s="4"/>
      <c r="G50" s="4"/>
      <c r="H50" s="4"/>
      <c r="I50" s="4"/>
      <c r="J50" s="4"/>
      <c r="K50" s="4"/>
      <c r="L50" s="4"/>
      <c r="M50" s="4"/>
      <c r="N50" s="4"/>
      <c r="O50" s="4"/>
      <c r="P50" s="4"/>
      <c r="Q50" s="4"/>
      <c r="R50" s="4"/>
      <c r="S50" s="4"/>
      <c r="T50" s="4"/>
      <c r="U50" s="4"/>
      <c r="V50" s="4"/>
      <c r="W50" s="4"/>
      <c r="X50" s="4"/>
      <c r="Y50" s="4"/>
      <c r="Z50" s="4"/>
      <c r="AA50" s="5"/>
    </row>
    <row r="51" spans="1:27" ht="12.75">
      <c r="A51" s="8"/>
      <c r="B51" s="6"/>
      <c r="C51" s="29" t="s">
        <v>6</v>
      </c>
      <c r="D51" s="6" t="s">
        <v>45</v>
      </c>
      <c r="E51" s="6"/>
      <c r="F51" s="6"/>
      <c r="G51" s="6"/>
      <c r="H51" s="6"/>
      <c r="I51" s="6"/>
      <c r="J51" s="6"/>
      <c r="K51" s="6"/>
      <c r="L51" s="6"/>
      <c r="M51" s="6"/>
      <c r="N51" s="6"/>
      <c r="O51" s="6"/>
      <c r="P51" s="6"/>
      <c r="Q51" s="6"/>
      <c r="R51" s="6"/>
      <c r="S51" s="6"/>
      <c r="T51" s="6"/>
      <c r="U51" s="6"/>
      <c r="V51" s="6"/>
      <c r="W51" s="6"/>
      <c r="X51" s="6"/>
      <c r="Y51" s="6"/>
      <c r="Z51" s="6"/>
      <c r="AA51" s="7"/>
    </row>
    <row r="52" spans="1:27" ht="12.75">
      <c r="A52" s="8" t="s">
        <v>11</v>
      </c>
      <c r="B52" s="6"/>
      <c r="C52" s="21">
        <f>C57</f>
        <v>9526500</v>
      </c>
      <c r="D52" s="21">
        <f>C57</f>
        <v>9526500</v>
      </c>
      <c r="E52" s="6"/>
      <c r="F52" s="6"/>
      <c r="G52" s="6"/>
      <c r="H52" s="6"/>
      <c r="I52" s="6"/>
      <c r="J52" s="6"/>
      <c r="K52" s="6"/>
      <c r="L52" s="6"/>
      <c r="M52" s="6"/>
      <c r="N52" s="6"/>
      <c r="O52" s="6"/>
      <c r="P52" s="6"/>
      <c r="Q52" s="6"/>
      <c r="R52" s="6"/>
      <c r="S52" s="6"/>
      <c r="T52" s="6"/>
      <c r="U52" s="6"/>
      <c r="V52" s="6"/>
      <c r="W52" s="6"/>
      <c r="X52" s="6"/>
      <c r="Y52" s="6"/>
      <c r="Z52" s="6"/>
      <c r="AA52" s="7"/>
    </row>
    <row r="53" spans="1:27" ht="13.5" thickBot="1">
      <c r="A53" s="8" t="s">
        <v>10</v>
      </c>
      <c r="B53" s="6"/>
      <c r="C53" s="21"/>
      <c r="D53" s="18">
        <f>SUM(H58:AB58)</f>
        <v>9528363.14288686</v>
      </c>
      <c r="E53" s="6"/>
      <c r="F53" s="6"/>
      <c r="G53" s="6"/>
      <c r="H53" s="6"/>
      <c r="I53" s="6"/>
      <c r="J53" s="6"/>
      <c r="K53" s="6"/>
      <c r="L53" s="6"/>
      <c r="M53" s="6"/>
      <c r="N53" s="6"/>
      <c r="O53" s="6"/>
      <c r="P53" s="6"/>
      <c r="Q53" s="6"/>
      <c r="R53" s="6"/>
      <c r="S53" s="6"/>
      <c r="T53" s="6"/>
      <c r="U53" s="6"/>
      <c r="V53" s="6"/>
      <c r="W53" s="6"/>
      <c r="X53" s="6"/>
      <c r="Y53" s="6"/>
      <c r="Z53" s="6"/>
      <c r="AA53" s="7"/>
    </row>
    <row r="54" spans="1:27" ht="13.5" thickBot="1">
      <c r="A54" s="8"/>
      <c r="B54" s="8"/>
      <c r="C54" s="20">
        <f>C52-C53</f>
        <v>9526500</v>
      </c>
      <c r="D54" s="20">
        <f>D52-D53</f>
        <v>-1863.1428868602961</v>
      </c>
      <c r="E54" s="6"/>
      <c r="F54" s="6"/>
      <c r="G54" s="6"/>
      <c r="H54" s="6"/>
      <c r="I54" s="6"/>
      <c r="J54" s="6"/>
      <c r="K54" s="6"/>
      <c r="L54" s="6"/>
      <c r="M54" s="6"/>
      <c r="N54" s="6"/>
      <c r="O54" s="6"/>
      <c r="P54" s="6"/>
      <c r="Q54" s="6"/>
      <c r="R54" s="6"/>
      <c r="S54" s="6"/>
      <c r="T54" s="6"/>
      <c r="U54" s="6"/>
      <c r="V54" s="6"/>
      <c r="W54" s="6"/>
      <c r="X54" s="6"/>
      <c r="Y54" s="6"/>
      <c r="Z54" s="6"/>
      <c r="AA54" s="7"/>
    </row>
    <row r="55" spans="1:27" ht="12.75">
      <c r="A55" s="15">
        <v>0.0227</v>
      </c>
      <c r="B55" s="36"/>
      <c r="C55" s="6" t="s">
        <v>2</v>
      </c>
      <c r="D55" s="6" t="s">
        <v>7</v>
      </c>
      <c r="E55" s="6"/>
      <c r="F55" s="6"/>
      <c r="G55" s="6"/>
      <c r="H55" s="6"/>
      <c r="I55" s="6"/>
      <c r="J55" s="6"/>
      <c r="K55" s="6"/>
      <c r="L55" s="6"/>
      <c r="M55" s="6"/>
      <c r="N55" s="6"/>
      <c r="O55" s="6"/>
      <c r="P55" s="6"/>
      <c r="Q55" s="6"/>
      <c r="R55" s="6"/>
      <c r="S55" s="6"/>
      <c r="T55" s="6"/>
      <c r="U55" s="6"/>
      <c r="V55" s="6"/>
      <c r="W55" s="6"/>
      <c r="X55" s="6"/>
      <c r="Y55" s="6"/>
      <c r="Z55" s="6"/>
      <c r="AA55" s="7"/>
    </row>
    <row r="56" spans="1:27" ht="12.75">
      <c r="A56" s="13" t="s">
        <v>3</v>
      </c>
      <c r="B56" s="11"/>
      <c r="C56" s="11">
        <v>2007</v>
      </c>
      <c r="D56" s="11">
        <v>2008</v>
      </c>
      <c r="E56" s="11">
        <v>2009</v>
      </c>
      <c r="F56" s="11">
        <v>2010</v>
      </c>
      <c r="G56" s="11">
        <v>2011</v>
      </c>
      <c r="H56" s="11">
        <v>2012</v>
      </c>
      <c r="I56" s="11">
        <v>2013</v>
      </c>
      <c r="J56" s="11">
        <v>2014</v>
      </c>
      <c r="K56" s="11">
        <v>2015</v>
      </c>
      <c r="L56" s="11">
        <v>2016</v>
      </c>
      <c r="M56" s="11">
        <v>2017</v>
      </c>
      <c r="N56" s="11">
        <v>2018</v>
      </c>
      <c r="O56" s="11">
        <v>2019</v>
      </c>
      <c r="P56" s="11">
        <v>2020</v>
      </c>
      <c r="Q56" s="11">
        <v>2021</v>
      </c>
      <c r="R56" s="11">
        <v>2022</v>
      </c>
      <c r="S56" s="11">
        <v>2023</v>
      </c>
      <c r="T56" s="11">
        <v>2024</v>
      </c>
      <c r="U56" s="11">
        <v>2025</v>
      </c>
      <c r="V56" s="11">
        <v>2026</v>
      </c>
      <c r="W56" s="11">
        <v>2027</v>
      </c>
      <c r="X56" s="11">
        <v>2028</v>
      </c>
      <c r="Y56" s="11">
        <v>2029</v>
      </c>
      <c r="Z56" s="11">
        <v>2030</v>
      </c>
      <c r="AA56" s="11">
        <v>2031</v>
      </c>
    </row>
    <row r="57" spans="1:27" ht="12.75">
      <c r="A57" s="12" t="s">
        <v>4</v>
      </c>
      <c r="B57" s="6"/>
      <c r="C57" s="18">
        <f>$A$3*8760000*$A$4</f>
        <v>9526500</v>
      </c>
      <c r="D57" s="9"/>
      <c r="E57" s="9"/>
      <c r="F57" s="9"/>
      <c r="G57" s="9"/>
      <c r="H57" s="9"/>
      <c r="I57" s="6"/>
      <c r="J57" s="6"/>
      <c r="K57" s="6"/>
      <c r="L57" s="6"/>
      <c r="M57" s="6"/>
      <c r="N57" s="6"/>
      <c r="O57" s="6"/>
      <c r="P57" s="6"/>
      <c r="Q57" s="6"/>
      <c r="R57" s="6"/>
      <c r="S57" s="6"/>
      <c r="T57" s="6"/>
      <c r="U57" s="6"/>
      <c r="V57" s="6"/>
      <c r="W57" s="6"/>
      <c r="X57" s="6"/>
      <c r="Y57" s="6"/>
      <c r="Z57" s="6"/>
      <c r="AA57" s="7"/>
    </row>
    <row r="58" spans="1:27" ht="12.75">
      <c r="A58" s="12" t="s">
        <v>5</v>
      </c>
      <c r="B58" s="6"/>
      <c r="C58" s="18">
        <f>A55*8760000*$A$4</f>
        <v>1441677</v>
      </c>
      <c r="D58" s="18">
        <f aca="true" t="shared" si="8" ref="D58:AA58">C58/(1+$A$5)</f>
        <v>1399686.4077669904</v>
      </c>
      <c r="E58" s="18">
        <f t="shared" si="8"/>
        <v>1358918.8424922237</v>
      </c>
      <c r="F58" s="18">
        <f t="shared" si="8"/>
        <v>1319338.682031285</v>
      </c>
      <c r="G58" s="18">
        <f t="shared" si="8"/>
        <v>1280911.3417779466</v>
      </c>
      <c r="H58" s="18">
        <f>G58*0.5/(1+$A$5)</f>
        <v>621801.6222223041</v>
      </c>
      <c r="I58" s="18">
        <f t="shared" si="8"/>
        <v>603690.8953614603</v>
      </c>
      <c r="J58" s="18">
        <f t="shared" si="8"/>
        <v>586107.665399476</v>
      </c>
      <c r="K58" s="18">
        <f t="shared" si="8"/>
        <v>569036.5683490058</v>
      </c>
      <c r="L58" s="18">
        <f t="shared" si="8"/>
        <v>552462.6877174813</v>
      </c>
      <c r="M58" s="18">
        <f t="shared" si="8"/>
        <v>536371.5414732827</v>
      </c>
      <c r="N58" s="18">
        <f t="shared" si="8"/>
        <v>520749.06939153664</v>
      </c>
      <c r="O58" s="18">
        <f t="shared" si="8"/>
        <v>505581.62076848216</v>
      </c>
      <c r="P58" s="18">
        <f t="shared" si="8"/>
        <v>490855.94249367196</v>
      </c>
      <c r="Q58" s="18">
        <f t="shared" si="8"/>
        <v>476559.16746958444</v>
      </c>
      <c r="R58" s="18">
        <f t="shared" si="8"/>
        <v>462678.80336852855</v>
      </c>
      <c r="S58" s="18">
        <f t="shared" si="8"/>
        <v>449202.721717018</v>
      </c>
      <c r="T58" s="18">
        <f t="shared" si="8"/>
        <v>436119.1472980757</v>
      </c>
      <c r="U58" s="18">
        <f t="shared" si="8"/>
        <v>423416.6478622094</v>
      </c>
      <c r="V58" s="18">
        <f t="shared" si="8"/>
        <v>411084.12413806736</v>
      </c>
      <c r="W58" s="18">
        <f t="shared" si="8"/>
        <v>399110.80013404595</v>
      </c>
      <c r="X58" s="18">
        <f t="shared" si="8"/>
        <v>387486.2137223747</v>
      </c>
      <c r="Y58" s="18">
        <f t="shared" si="8"/>
        <v>376200.20749745116</v>
      </c>
      <c r="Z58" s="18">
        <f t="shared" si="8"/>
        <v>365242.919900438</v>
      </c>
      <c r="AA58" s="18">
        <f t="shared" si="8"/>
        <v>354604.776602367</v>
      </c>
    </row>
    <row r="59" spans="1:27" ht="13.5" thickBot="1">
      <c r="A59" s="14" t="s">
        <v>9</v>
      </c>
      <c r="B59" s="10"/>
      <c r="C59" s="23">
        <v>0</v>
      </c>
      <c r="D59" s="23">
        <v>0</v>
      </c>
      <c r="E59" s="23">
        <v>0</v>
      </c>
      <c r="F59" s="23">
        <v>0</v>
      </c>
      <c r="G59" s="23">
        <v>0</v>
      </c>
      <c r="H59" s="23">
        <f aca="true" t="shared" si="9" ref="H59:AA59">H58+G59</f>
        <v>621801.6222223041</v>
      </c>
      <c r="I59" s="23">
        <f t="shared" si="9"/>
        <v>1225492.5175837644</v>
      </c>
      <c r="J59" s="23">
        <f t="shared" si="9"/>
        <v>1811600.1829832403</v>
      </c>
      <c r="K59" s="23">
        <f t="shared" si="9"/>
        <v>2380636.751332246</v>
      </c>
      <c r="L59" s="23">
        <f t="shared" si="9"/>
        <v>2933099.4390497273</v>
      </c>
      <c r="M59" s="23">
        <f t="shared" si="9"/>
        <v>3469470.98052301</v>
      </c>
      <c r="N59" s="23">
        <f t="shared" si="9"/>
        <v>3990220.0499145463</v>
      </c>
      <c r="O59" s="23">
        <f t="shared" si="9"/>
        <v>4495801.670683028</v>
      </c>
      <c r="P59" s="23">
        <f t="shared" si="9"/>
        <v>4986657.6131767</v>
      </c>
      <c r="Q59" s="23">
        <f t="shared" si="9"/>
        <v>5463216.780646284</v>
      </c>
      <c r="R59" s="23">
        <f t="shared" si="9"/>
        <v>5925895.5840148125</v>
      </c>
      <c r="S59" s="23">
        <f t="shared" si="9"/>
        <v>6375098.30573183</v>
      </c>
      <c r="T59" s="23">
        <f t="shared" si="9"/>
        <v>6811217.453029906</v>
      </c>
      <c r="U59" s="23">
        <f t="shared" si="9"/>
        <v>7234634.100892115</v>
      </c>
      <c r="V59" s="23">
        <f t="shared" si="9"/>
        <v>7645718.225030183</v>
      </c>
      <c r="W59" s="23">
        <f t="shared" si="9"/>
        <v>8044829.025164229</v>
      </c>
      <c r="X59" s="23">
        <f t="shared" si="9"/>
        <v>8432315.238886604</v>
      </c>
      <c r="Y59" s="23">
        <f t="shared" si="9"/>
        <v>8808515.446384056</v>
      </c>
      <c r="Z59" s="23">
        <f t="shared" si="9"/>
        <v>9173758.366284493</v>
      </c>
      <c r="AA59" s="28">
        <f t="shared" si="9"/>
        <v>9528363.14288686</v>
      </c>
    </row>
    <row r="60" ht="13.5" thickBot="1"/>
    <row r="61" spans="1:27" ht="12.75">
      <c r="A61" s="30" t="s">
        <v>65</v>
      </c>
      <c r="B61" s="32"/>
      <c r="C61" s="4"/>
      <c r="D61" s="4"/>
      <c r="E61" s="4"/>
      <c r="F61" s="4"/>
      <c r="G61" s="4"/>
      <c r="H61" s="4"/>
      <c r="I61" s="4"/>
      <c r="J61" s="4"/>
      <c r="K61" s="4"/>
      <c r="L61" s="4"/>
      <c r="M61" s="4"/>
      <c r="N61" s="4"/>
      <c r="O61" s="4"/>
      <c r="P61" s="4"/>
      <c r="Q61" s="4"/>
      <c r="R61" s="4"/>
      <c r="S61" s="4"/>
      <c r="T61" s="4"/>
      <c r="U61" s="4"/>
      <c r="V61" s="4"/>
      <c r="W61" s="4"/>
      <c r="X61" s="4"/>
      <c r="Y61" s="4"/>
      <c r="Z61" s="4"/>
      <c r="AA61" s="5"/>
    </row>
    <row r="62" spans="1:27" ht="12.75">
      <c r="A62" s="24">
        <v>0.02522</v>
      </c>
      <c r="B62" s="35"/>
      <c r="C62" s="6" t="s">
        <v>2</v>
      </c>
      <c r="D62" s="6" t="s">
        <v>7</v>
      </c>
      <c r="E62" s="6"/>
      <c r="F62" s="6"/>
      <c r="G62" s="6"/>
      <c r="H62" s="6"/>
      <c r="I62" s="6"/>
      <c r="J62" s="6"/>
      <c r="K62" s="6"/>
      <c r="L62" s="6"/>
      <c r="M62" s="6"/>
      <c r="N62" s="6"/>
      <c r="O62" s="6"/>
      <c r="P62" s="6"/>
      <c r="Q62" s="6"/>
      <c r="R62" s="6"/>
      <c r="S62" s="6"/>
      <c r="T62" s="6"/>
      <c r="U62" s="6"/>
      <c r="V62" s="6"/>
      <c r="W62" s="6"/>
      <c r="X62" s="6"/>
      <c r="Y62" s="6"/>
      <c r="Z62" s="6"/>
      <c r="AA62" s="7"/>
    </row>
    <row r="63" spans="1:27" ht="12.75">
      <c r="A63" s="13" t="s">
        <v>3</v>
      </c>
      <c r="B63" s="11"/>
      <c r="C63" s="11">
        <v>2007</v>
      </c>
      <c r="D63" s="11">
        <v>2008</v>
      </c>
      <c r="E63" s="11">
        <v>2009</v>
      </c>
      <c r="F63" s="11">
        <v>2010</v>
      </c>
      <c r="G63" s="11">
        <v>2011</v>
      </c>
      <c r="H63" s="84">
        <v>2012</v>
      </c>
      <c r="I63" s="11">
        <v>2013</v>
      </c>
      <c r="J63" s="11">
        <v>2014</v>
      </c>
      <c r="K63" s="11">
        <v>2015</v>
      </c>
      <c r="L63" s="11">
        <v>2016</v>
      </c>
      <c r="M63" s="11">
        <v>2017</v>
      </c>
      <c r="N63" s="11">
        <v>2018</v>
      </c>
      <c r="O63" s="11">
        <v>2019</v>
      </c>
      <c r="P63" s="11">
        <v>2020</v>
      </c>
      <c r="Q63" s="11">
        <v>2021</v>
      </c>
      <c r="R63" s="11">
        <v>2022</v>
      </c>
      <c r="S63" s="11">
        <v>2023</v>
      </c>
      <c r="T63" s="11">
        <v>2024</v>
      </c>
      <c r="U63" s="11">
        <v>2025</v>
      </c>
      <c r="V63" s="11">
        <v>2026</v>
      </c>
      <c r="W63" s="11">
        <v>2027</v>
      </c>
      <c r="X63" s="11">
        <v>2028</v>
      </c>
      <c r="Y63" s="11">
        <v>2029</v>
      </c>
      <c r="Z63" s="11">
        <v>2030</v>
      </c>
      <c r="AA63" s="11">
        <v>2031</v>
      </c>
    </row>
    <row r="64" spans="1:27" ht="12.75">
      <c r="A64" s="12" t="s">
        <v>4</v>
      </c>
      <c r="B64" s="6"/>
      <c r="C64" s="18">
        <f>$A$3*8760000*$A$4</f>
        <v>9526500</v>
      </c>
      <c r="D64" s="9"/>
      <c r="E64" s="9"/>
      <c r="F64" s="9"/>
      <c r="G64" s="9"/>
      <c r="H64" s="9"/>
      <c r="I64" s="6"/>
      <c r="J64" s="6"/>
      <c r="K64" s="6"/>
      <c r="L64" s="6"/>
      <c r="M64" s="6"/>
      <c r="N64" s="6"/>
      <c r="O64" s="6"/>
      <c r="P64" s="6"/>
      <c r="Q64" s="6"/>
      <c r="R64" s="6"/>
      <c r="S64" s="6"/>
      <c r="T64" s="6"/>
      <c r="U64" s="6"/>
      <c r="V64" s="6"/>
      <c r="W64" s="6"/>
      <c r="X64" s="6"/>
      <c r="Y64" s="6"/>
      <c r="Z64" s="6"/>
      <c r="AA64" s="7"/>
    </row>
    <row r="65" spans="1:27" ht="12.75">
      <c r="A65" s="12" t="s">
        <v>5</v>
      </c>
      <c r="B65" s="6"/>
      <c r="C65" s="18">
        <f>A62*8760000*$A$4</f>
        <v>1601722.2</v>
      </c>
      <c r="D65" s="18">
        <f>C65/(1+$A$5)</f>
        <v>1555070.0970873786</v>
      </c>
      <c r="E65" s="18">
        <f>D65/(1+$A$5)</f>
        <v>1509776.793288717</v>
      </c>
      <c r="F65" s="18">
        <f>E65/(1+$A$5)</f>
        <v>1465802.7119307932</v>
      </c>
      <c r="G65" s="18">
        <f>F65/(1+$A$5)</f>
        <v>1423109.4290590226</v>
      </c>
      <c r="H65" s="83">
        <f>G65*0.45/(1+$A$5)</f>
        <v>621746.8379384079</v>
      </c>
      <c r="I65" s="18">
        <f aca="true" t="shared" si="10" ref="I65:AA65">H65/(1+$A$5)</f>
        <v>603637.7067363183</v>
      </c>
      <c r="J65" s="18">
        <f t="shared" si="10"/>
        <v>586056.0259575906</v>
      </c>
      <c r="K65" s="18">
        <f t="shared" si="10"/>
        <v>568986.4329685345</v>
      </c>
      <c r="L65" s="18">
        <f t="shared" si="10"/>
        <v>552414.0125908102</v>
      </c>
      <c r="M65" s="18">
        <f t="shared" si="10"/>
        <v>536324.2840687478</v>
      </c>
      <c r="N65" s="18">
        <f t="shared" si="10"/>
        <v>520703.18841625995</v>
      </c>
      <c r="O65" s="18">
        <f t="shared" si="10"/>
        <v>505537.0761322912</v>
      </c>
      <c r="P65" s="18">
        <f t="shared" si="10"/>
        <v>490812.6952740691</v>
      </c>
      <c r="Q65" s="18">
        <f t="shared" si="10"/>
        <v>476517.17987773695</v>
      </c>
      <c r="R65" s="18">
        <f t="shared" si="10"/>
        <v>462638.03871624946</v>
      </c>
      <c r="S65" s="18">
        <f t="shared" si="10"/>
        <v>449163.1443847082</v>
      </c>
      <c r="T65" s="18">
        <f t="shared" si="10"/>
        <v>436080.7227036002</v>
      </c>
      <c r="U65" s="18">
        <f t="shared" si="10"/>
        <v>423379.34243067977</v>
      </c>
      <c r="V65" s="18">
        <f t="shared" si="10"/>
        <v>411047.9052725046</v>
      </c>
      <c r="W65" s="18">
        <f t="shared" si="10"/>
        <v>399075.63618689764</v>
      </c>
      <c r="X65" s="18">
        <f t="shared" si="10"/>
        <v>387452.07396786177</v>
      </c>
      <c r="Y65" s="18">
        <f t="shared" si="10"/>
        <v>376167.06210472016</v>
      </c>
      <c r="Z65" s="18">
        <f t="shared" si="10"/>
        <v>365210.73990749527</v>
      </c>
      <c r="AA65" s="18">
        <f t="shared" si="10"/>
        <v>354573.5338907721</v>
      </c>
    </row>
    <row r="66" spans="1:27" ht="12.75">
      <c r="A66" s="12" t="s">
        <v>9</v>
      </c>
      <c r="B66" s="6"/>
      <c r="C66" s="18">
        <v>0</v>
      </c>
      <c r="D66" s="18">
        <v>0</v>
      </c>
      <c r="E66" s="18">
        <v>0</v>
      </c>
      <c r="F66" s="18">
        <v>0</v>
      </c>
      <c r="G66" s="18">
        <v>0</v>
      </c>
      <c r="H66" s="18">
        <f aca="true" t="shared" si="11" ref="H66:AA66">H65+G66</f>
        <v>621746.8379384079</v>
      </c>
      <c r="I66" s="18">
        <f t="shared" si="11"/>
        <v>1225384.5446747262</v>
      </c>
      <c r="J66" s="18">
        <f t="shared" si="11"/>
        <v>1811440.5706323166</v>
      </c>
      <c r="K66" s="18">
        <f t="shared" si="11"/>
        <v>2380427.003600851</v>
      </c>
      <c r="L66" s="18">
        <f t="shared" si="11"/>
        <v>2932841.0161916614</v>
      </c>
      <c r="M66" s="18">
        <f t="shared" si="11"/>
        <v>3469165.3002604092</v>
      </c>
      <c r="N66" s="18">
        <f t="shared" si="11"/>
        <v>3989868.488676669</v>
      </c>
      <c r="O66" s="18">
        <f t="shared" si="11"/>
        <v>4495405.56480896</v>
      </c>
      <c r="P66" s="18">
        <f t="shared" si="11"/>
        <v>4986218.260083029</v>
      </c>
      <c r="Q66" s="18">
        <f t="shared" si="11"/>
        <v>5462735.439960766</v>
      </c>
      <c r="R66" s="18">
        <f t="shared" si="11"/>
        <v>5925373.478677015</v>
      </c>
      <c r="S66" s="18">
        <f t="shared" si="11"/>
        <v>6374536.623061723</v>
      </c>
      <c r="T66" s="18">
        <f t="shared" si="11"/>
        <v>6810617.345765323</v>
      </c>
      <c r="U66" s="18">
        <f t="shared" si="11"/>
        <v>7233996.688196003</v>
      </c>
      <c r="V66" s="18">
        <f t="shared" si="11"/>
        <v>7645044.593468508</v>
      </c>
      <c r="W66" s="18">
        <f t="shared" si="11"/>
        <v>8044120.2296554055</v>
      </c>
      <c r="X66" s="18">
        <f t="shared" si="11"/>
        <v>8431572.303623267</v>
      </c>
      <c r="Y66" s="18">
        <f t="shared" si="11"/>
        <v>8807739.365727987</v>
      </c>
      <c r="Z66" s="18">
        <f t="shared" si="11"/>
        <v>9172950.105635483</v>
      </c>
      <c r="AA66" s="21">
        <f t="shared" si="11"/>
        <v>9527523.639526255</v>
      </c>
    </row>
    <row r="67" spans="1:27" ht="12.75">
      <c r="A67" s="8"/>
      <c r="B67" s="6"/>
      <c r="C67" s="6"/>
      <c r="D67" s="6"/>
      <c r="E67" s="6"/>
      <c r="F67" s="6"/>
      <c r="G67" s="6"/>
      <c r="H67" s="6"/>
      <c r="I67" s="6"/>
      <c r="J67" s="6"/>
      <c r="K67" s="6"/>
      <c r="L67" s="6"/>
      <c r="M67" s="6"/>
      <c r="N67" s="6"/>
      <c r="O67" s="6"/>
      <c r="P67" s="6"/>
      <c r="Q67" s="6"/>
      <c r="R67" s="6"/>
      <c r="S67" s="6"/>
      <c r="T67" s="6"/>
      <c r="U67" s="6"/>
      <c r="V67" s="6"/>
      <c r="W67" s="6"/>
      <c r="X67" s="6"/>
      <c r="Y67" s="6"/>
      <c r="Z67" s="6"/>
      <c r="AA67" s="7"/>
    </row>
    <row r="68" spans="1:27" ht="12.75">
      <c r="A68" s="8"/>
      <c r="B68" s="6"/>
      <c r="C68" s="29" t="s">
        <v>6</v>
      </c>
      <c r="D68" s="6" t="s">
        <v>45</v>
      </c>
      <c r="E68" s="6"/>
      <c r="F68" s="6"/>
      <c r="G68" s="6"/>
      <c r="H68" s="6"/>
      <c r="I68" s="6"/>
      <c r="J68" s="6"/>
      <c r="K68" s="6"/>
      <c r="L68" s="6"/>
      <c r="M68" s="6"/>
      <c r="N68" s="6"/>
      <c r="O68" s="6"/>
      <c r="P68" s="6"/>
      <c r="Q68" s="6"/>
      <c r="R68" s="6"/>
      <c r="S68" s="6"/>
      <c r="T68" s="6"/>
      <c r="U68" s="6"/>
      <c r="V68" s="6"/>
      <c r="W68" s="6"/>
      <c r="X68" s="6"/>
      <c r="Y68" s="6"/>
      <c r="Z68" s="6"/>
      <c r="AA68" s="7"/>
    </row>
    <row r="69" spans="1:27" ht="12.75">
      <c r="A69" s="8" t="s">
        <v>11</v>
      </c>
      <c r="B69" s="6"/>
      <c r="C69" s="21">
        <f>C64</f>
        <v>9526500</v>
      </c>
      <c r="D69" s="21">
        <f>C64</f>
        <v>9526500</v>
      </c>
      <c r="E69" s="6"/>
      <c r="F69" s="6"/>
      <c r="G69" s="6"/>
      <c r="H69" s="6"/>
      <c r="I69" s="6"/>
      <c r="J69" s="6"/>
      <c r="K69" s="18"/>
      <c r="L69" s="6"/>
      <c r="M69" s="6"/>
      <c r="N69" s="6"/>
      <c r="O69" s="6"/>
      <c r="P69" s="6"/>
      <c r="Q69" s="6"/>
      <c r="R69" s="6"/>
      <c r="S69" s="6"/>
      <c r="T69" s="6"/>
      <c r="U69" s="6"/>
      <c r="V69" s="6"/>
      <c r="W69" s="6"/>
      <c r="X69" s="6"/>
      <c r="Y69" s="6"/>
      <c r="Z69" s="6"/>
      <c r="AA69" s="7"/>
    </row>
    <row r="70" spans="1:27" ht="13.5" thickBot="1">
      <c r="A70" s="8" t="s">
        <v>10</v>
      </c>
      <c r="B70" s="6"/>
      <c r="C70" s="21">
        <v>0</v>
      </c>
      <c r="D70" s="18">
        <f>SUM(H65:AB65)</f>
        <v>9527523.639526255</v>
      </c>
      <c r="E70" s="6"/>
      <c r="F70" s="6"/>
      <c r="G70" s="6"/>
      <c r="H70" s="6"/>
      <c r="I70" s="6"/>
      <c r="J70" s="6"/>
      <c r="K70" s="6"/>
      <c r="L70" s="6"/>
      <c r="M70" s="6"/>
      <c r="N70" s="6"/>
      <c r="O70" s="6"/>
      <c r="P70" s="6"/>
      <c r="Q70" s="6"/>
      <c r="R70" s="6"/>
      <c r="S70" s="6"/>
      <c r="T70" s="6"/>
      <c r="U70" s="6"/>
      <c r="V70" s="6"/>
      <c r="W70" s="6"/>
      <c r="X70" s="6"/>
      <c r="Y70" s="6"/>
      <c r="Z70" s="6"/>
      <c r="AA70" s="7"/>
    </row>
    <row r="71" spans="1:27" ht="13.5" thickBot="1">
      <c r="A71" s="26"/>
      <c r="B71" s="26"/>
      <c r="C71" s="20">
        <f>C69-C70</f>
        <v>9526500</v>
      </c>
      <c r="D71" s="20">
        <f>D69-D70</f>
        <v>-1023.6395262554288</v>
      </c>
      <c r="E71" s="10"/>
      <c r="F71" s="10"/>
      <c r="G71" s="10"/>
      <c r="H71" s="10"/>
      <c r="I71" s="10"/>
      <c r="J71" s="10"/>
      <c r="K71" s="10"/>
      <c r="L71" s="10"/>
      <c r="M71" s="10"/>
      <c r="N71" s="10"/>
      <c r="O71" s="10"/>
      <c r="P71" s="10"/>
      <c r="Q71" s="10"/>
      <c r="R71" s="10"/>
      <c r="S71" s="10"/>
      <c r="T71" s="10"/>
      <c r="U71" s="10"/>
      <c r="V71" s="10"/>
      <c r="W71" s="10"/>
      <c r="X71" s="10"/>
      <c r="Y71" s="10"/>
      <c r="Z71" s="10"/>
      <c r="AA71" s="27"/>
    </row>
    <row r="72" spans="1:27" ht="13.5" thickBot="1">
      <c r="A72" s="6"/>
      <c r="B72" s="6"/>
      <c r="C72" s="22"/>
      <c r="D72" s="22"/>
      <c r="E72" s="6"/>
      <c r="F72" s="6"/>
      <c r="G72" s="6"/>
      <c r="H72" s="6"/>
      <c r="I72" s="6"/>
      <c r="J72" s="6"/>
      <c r="K72" s="6"/>
      <c r="L72" s="6"/>
      <c r="M72" s="6"/>
      <c r="N72" s="6"/>
      <c r="O72" s="6"/>
      <c r="P72" s="6"/>
      <c r="Q72" s="6"/>
      <c r="R72" s="6"/>
      <c r="S72" s="6"/>
      <c r="T72" s="6"/>
      <c r="U72" s="6"/>
      <c r="V72" s="6"/>
      <c r="W72" s="6"/>
      <c r="X72" s="6"/>
      <c r="Y72" s="6"/>
      <c r="Z72" s="6"/>
      <c r="AA72" s="6"/>
    </row>
    <row r="73" spans="1:27" ht="12.75">
      <c r="A73" s="30" t="s">
        <v>51</v>
      </c>
      <c r="B73" s="32"/>
      <c r="C73" s="4"/>
      <c r="D73" s="4"/>
      <c r="E73" s="4"/>
      <c r="F73" s="4"/>
      <c r="G73" s="4"/>
      <c r="H73" s="4"/>
      <c r="I73" s="4"/>
      <c r="J73" s="4"/>
      <c r="K73" s="4"/>
      <c r="L73" s="4"/>
      <c r="M73" s="4"/>
      <c r="N73" s="4"/>
      <c r="O73" s="4"/>
      <c r="P73" s="4"/>
      <c r="Q73" s="4"/>
      <c r="R73" s="4"/>
      <c r="S73" s="4"/>
      <c r="T73" s="4"/>
      <c r="U73" s="4"/>
      <c r="V73" s="4"/>
      <c r="W73" s="4"/>
      <c r="X73" s="4"/>
      <c r="Y73" s="4"/>
      <c r="Z73" s="4"/>
      <c r="AA73" s="5"/>
    </row>
    <row r="74" spans="1:27" ht="12.75">
      <c r="A74" s="24">
        <v>0.0454</v>
      </c>
      <c r="B74" s="35"/>
      <c r="C74" s="6" t="s">
        <v>2</v>
      </c>
      <c r="D74" s="6" t="s">
        <v>7</v>
      </c>
      <c r="E74" s="6"/>
      <c r="F74" s="6"/>
      <c r="G74" s="6"/>
      <c r="H74" s="6"/>
      <c r="I74" s="6"/>
      <c r="J74" s="6"/>
      <c r="K74" s="6"/>
      <c r="L74" s="6"/>
      <c r="M74" s="6"/>
      <c r="N74" s="6"/>
      <c r="O74" s="6"/>
      <c r="P74" s="6"/>
      <c r="Q74" s="6"/>
      <c r="R74" s="6"/>
      <c r="S74" s="6"/>
      <c r="T74" s="6"/>
      <c r="U74" s="6"/>
      <c r="V74" s="6"/>
      <c r="W74" s="6"/>
      <c r="X74" s="6"/>
      <c r="Y74" s="6"/>
      <c r="Z74" s="6"/>
      <c r="AA74" s="7"/>
    </row>
    <row r="75" spans="1:27" ht="12.75">
      <c r="A75" s="13" t="s">
        <v>3</v>
      </c>
      <c r="B75" s="11"/>
      <c r="C75" s="11">
        <v>2007</v>
      </c>
      <c r="D75" s="11">
        <v>2008</v>
      </c>
      <c r="E75" s="11">
        <v>2009</v>
      </c>
      <c r="F75" s="11">
        <v>2010</v>
      </c>
      <c r="G75" s="11">
        <v>2011</v>
      </c>
      <c r="H75" s="84">
        <v>2012</v>
      </c>
      <c r="I75" s="11">
        <v>2013</v>
      </c>
      <c r="J75" s="11">
        <v>2014</v>
      </c>
      <c r="K75" s="11">
        <v>2015</v>
      </c>
      <c r="L75" s="11">
        <v>2016</v>
      </c>
      <c r="M75" s="11">
        <v>2017</v>
      </c>
      <c r="N75" s="11">
        <v>2018</v>
      </c>
      <c r="O75" s="11">
        <v>2019</v>
      </c>
      <c r="P75" s="11">
        <v>2020</v>
      </c>
      <c r="Q75" s="11">
        <v>2021</v>
      </c>
      <c r="R75" s="11">
        <v>2022</v>
      </c>
      <c r="S75" s="11">
        <v>2023</v>
      </c>
      <c r="T75" s="11">
        <v>2024</v>
      </c>
      <c r="U75" s="11">
        <v>2025</v>
      </c>
      <c r="V75" s="11">
        <v>2026</v>
      </c>
      <c r="W75" s="11">
        <v>2027</v>
      </c>
      <c r="X75" s="11">
        <v>2028</v>
      </c>
      <c r="Y75" s="11">
        <v>2029</v>
      </c>
      <c r="Z75" s="11">
        <v>2030</v>
      </c>
      <c r="AA75" s="11">
        <v>2031</v>
      </c>
    </row>
    <row r="76" spans="1:27" ht="12.75">
      <c r="A76" s="12" t="s">
        <v>4</v>
      </c>
      <c r="B76" s="6"/>
      <c r="C76" s="18">
        <f>$A$3*8760000*$A$4</f>
        <v>9526500</v>
      </c>
      <c r="D76" s="9"/>
      <c r="E76" s="9"/>
      <c r="F76" s="9"/>
      <c r="G76" s="9"/>
      <c r="H76" s="9"/>
      <c r="I76" s="6"/>
      <c r="J76" s="6"/>
      <c r="K76" s="6"/>
      <c r="L76" s="6"/>
      <c r="M76" s="6"/>
      <c r="N76" s="6"/>
      <c r="O76" s="6"/>
      <c r="P76" s="6"/>
      <c r="Q76" s="6"/>
      <c r="R76" s="6"/>
      <c r="S76" s="6"/>
      <c r="T76" s="6"/>
      <c r="U76" s="6"/>
      <c r="V76" s="6"/>
      <c r="W76" s="6"/>
      <c r="X76" s="6"/>
      <c r="Y76" s="6"/>
      <c r="Z76" s="6"/>
      <c r="AA76" s="7"/>
    </row>
    <row r="77" spans="1:27" ht="12.75">
      <c r="A77" s="12" t="s">
        <v>5</v>
      </c>
      <c r="B77" s="6"/>
      <c r="C77" s="18">
        <f>A74*8760000*$A$4</f>
        <v>2883354</v>
      </c>
      <c r="D77" s="18">
        <f>C77/(1+$A$5)</f>
        <v>2799372.8155339807</v>
      </c>
      <c r="E77" s="18">
        <f>D77/(1+$A$5)</f>
        <v>2717837.6849844474</v>
      </c>
      <c r="F77" s="18">
        <f>E77/(1+$A$5)</f>
        <v>2638677.36406257</v>
      </c>
      <c r="G77" s="18">
        <f>F77/(1+$A$5)</f>
        <v>2561822.683555893</v>
      </c>
      <c r="H77" s="83">
        <f>G77*0.25/(1+$A$5)</f>
        <v>621801.6222223041</v>
      </c>
      <c r="I77" s="18">
        <f aca="true" t="shared" si="12" ref="I77:AA77">H77/(1+$A$5)</f>
        <v>603690.8953614603</v>
      </c>
      <c r="J77" s="18">
        <f t="shared" si="12"/>
        <v>586107.665399476</v>
      </c>
      <c r="K77" s="18">
        <f t="shared" si="12"/>
        <v>569036.5683490058</v>
      </c>
      <c r="L77" s="18">
        <f t="shared" si="12"/>
        <v>552462.6877174813</v>
      </c>
      <c r="M77" s="18">
        <f t="shared" si="12"/>
        <v>536371.5414732827</v>
      </c>
      <c r="N77" s="18">
        <f t="shared" si="12"/>
        <v>520749.06939153664</v>
      </c>
      <c r="O77" s="18">
        <f t="shared" si="12"/>
        <v>505581.62076848216</v>
      </c>
      <c r="P77" s="18">
        <f t="shared" si="12"/>
        <v>490855.94249367196</v>
      </c>
      <c r="Q77" s="18">
        <f t="shared" si="12"/>
        <v>476559.16746958444</v>
      </c>
      <c r="R77" s="18">
        <f t="shared" si="12"/>
        <v>462678.80336852855</v>
      </c>
      <c r="S77" s="18">
        <f t="shared" si="12"/>
        <v>449202.721717018</v>
      </c>
      <c r="T77" s="18">
        <f t="shared" si="12"/>
        <v>436119.1472980757</v>
      </c>
      <c r="U77" s="18">
        <f t="shared" si="12"/>
        <v>423416.6478622094</v>
      </c>
      <c r="V77" s="18">
        <f t="shared" si="12"/>
        <v>411084.12413806736</v>
      </c>
      <c r="W77" s="18">
        <f t="shared" si="12"/>
        <v>399110.80013404595</v>
      </c>
      <c r="X77" s="18">
        <f t="shared" si="12"/>
        <v>387486.2137223747</v>
      </c>
      <c r="Y77" s="18">
        <f t="shared" si="12"/>
        <v>376200.20749745116</v>
      </c>
      <c r="Z77" s="18">
        <f t="shared" si="12"/>
        <v>365242.919900438</v>
      </c>
      <c r="AA77" s="18">
        <f t="shared" si="12"/>
        <v>354604.776602367</v>
      </c>
    </row>
    <row r="78" spans="1:27" ht="12.75">
      <c r="A78" s="12" t="s">
        <v>9</v>
      </c>
      <c r="B78" s="6"/>
      <c r="C78" s="18">
        <v>0</v>
      </c>
      <c r="D78" s="18">
        <v>0</v>
      </c>
      <c r="E78" s="18">
        <v>0</v>
      </c>
      <c r="F78" s="18">
        <v>0</v>
      </c>
      <c r="G78" s="18">
        <v>0</v>
      </c>
      <c r="H78" s="18">
        <f aca="true" t="shared" si="13" ref="H78:AA78">H77+G78</f>
        <v>621801.6222223041</v>
      </c>
      <c r="I78" s="18">
        <f t="shared" si="13"/>
        <v>1225492.5175837644</v>
      </c>
      <c r="J78" s="18">
        <f t="shared" si="13"/>
        <v>1811600.1829832403</v>
      </c>
      <c r="K78" s="18">
        <f t="shared" si="13"/>
        <v>2380636.751332246</v>
      </c>
      <c r="L78" s="18">
        <f t="shared" si="13"/>
        <v>2933099.4390497273</v>
      </c>
      <c r="M78" s="18">
        <f t="shared" si="13"/>
        <v>3469470.98052301</v>
      </c>
      <c r="N78" s="18">
        <f t="shared" si="13"/>
        <v>3990220.0499145463</v>
      </c>
      <c r="O78" s="18">
        <f t="shared" si="13"/>
        <v>4495801.670683028</v>
      </c>
      <c r="P78" s="18">
        <f t="shared" si="13"/>
        <v>4986657.6131767</v>
      </c>
      <c r="Q78" s="18">
        <f t="shared" si="13"/>
        <v>5463216.780646284</v>
      </c>
      <c r="R78" s="18">
        <f t="shared" si="13"/>
        <v>5925895.5840148125</v>
      </c>
      <c r="S78" s="18">
        <f t="shared" si="13"/>
        <v>6375098.30573183</v>
      </c>
      <c r="T78" s="18">
        <f t="shared" si="13"/>
        <v>6811217.453029906</v>
      </c>
      <c r="U78" s="18">
        <f t="shared" si="13"/>
        <v>7234634.100892115</v>
      </c>
      <c r="V78" s="18">
        <f t="shared" si="13"/>
        <v>7645718.225030183</v>
      </c>
      <c r="W78" s="18">
        <f t="shared" si="13"/>
        <v>8044829.025164229</v>
      </c>
      <c r="X78" s="18">
        <f t="shared" si="13"/>
        <v>8432315.238886604</v>
      </c>
      <c r="Y78" s="18">
        <f t="shared" si="13"/>
        <v>8808515.446384056</v>
      </c>
      <c r="Z78" s="18">
        <f t="shared" si="13"/>
        <v>9173758.366284493</v>
      </c>
      <c r="AA78" s="21">
        <f t="shared" si="13"/>
        <v>9528363.14288686</v>
      </c>
    </row>
    <row r="79" spans="1:27" ht="12.75">
      <c r="A79" s="8"/>
      <c r="B79" s="6"/>
      <c r="C79" s="6"/>
      <c r="D79" s="6"/>
      <c r="E79" s="6"/>
      <c r="F79" s="6"/>
      <c r="G79" s="6"/>
      <c r="H79" s="6"/>
      <c r="I79" s="6"/>
      <c r="J79" s="6"/>
      <c r="K79" s="6"/>
      <c r="L79" s="6"/>
      <c r="M79" s="6"/>
      <c r="N79" s="6"/>
      <c r="O79" s="6"/>
      <c r="P79" s="6"/>
      <c r="Q79" s="6"/>
      <c r="R79" s="6"/>
      <c r="S79" s="6"/>
      <c r="T79" s="6"/>
      <c r="U79" s="6"/>
      <c r="V79" s="6"/>
      <c r="W79" s="6"/>
      <c r="X79" s="6"/>
      <c r="Y79" s="6"/>
      <c r="Z79" s="6"/>
      <c r="AA79" s="7"/>
    </row>
    <row r="80" spans="1:27" ht="12.75">
      <c r="A80" s="8"/>
      <c r="B80" s="6"/>
      <c r="C80" s="29" t="s">
        <v>6</v>
      </c>
      <c r="D80" s="6" t="s">
        <v>45</v>
      </c>
      <c r="E80" s="6"/>
      <c r="F80" s="6"/>
      <c r="G80" s="6"/>
      <c r="H80" s="6"/>
      <c r="I80" s="6"/>
      <c r="J80" s="6"/>
      <c r="K80" s="6"/>
      <c r="L80" s="6"/>
      <c r="M80" s="6"/>
      <c r="N80" s="6"/>
      <c r="O80" s="6"/>
      <c r="P80" s="6"/>
      <c r="Q80" s="6"/>
      <c r="R80" s="6"/>
      <c r="S80" s="6"/>
      <c r="T80" s="6"/>
      <c r="U80" s="6"/>
      <c r="V80" s="6"/>
      <c r="W80" s="6"/>
      <c r="X80" s="6"/>
      <c r="Y80" s="6"/>
      <c r="Z80" s="6"/>
      <c r="AA80" s="7"/>
    </row>
    <row r="81" spans="1:27" ht="12.75">
      <c r="A81" s="8" t="s">
        <v>11</v>
      </c>
      <c r="B81" s="6"/>
      <c r="C81" s="21">
        <f>C76</f>
        <v>9526500</v>
      </c>
      <c r="D81" s="21">
        <f>C76</f>
        <v>9526500</v>
      </c>
      <c r="E81" s="6"/>
      <c r="F81" s="6"/>
      <c r="G81" s="6"/>
      <c r="H81" s="6"/>
      <c r="I81" s="6"/>
      <c r="J81" s="6"/>
      <c r="K81" s="18"/>
      <c r="L81" s="6"/>
      <c r="M81" s="6"/>
      <c r="N81" s="6"/>
      <c r="O81" s="6"/>
      <c r="P81" s="6"/>
      <c r="Q81" s="6"/>
      <c r="R81" s="6"/>
      <c r="S81" s="6"/>
      <c r="T81" s="6"/>
      <c r="U81" s="6"/>
      <c r="V81" s="6"/>
      <c r="W81" s="6"/>
      <c r="X81" s="6"/>
      <c r="Y81" s="6"/>
      <c r="Z81" s="6"/>
      <c r="AA81" s="7"/>
    </row>
    <row r="82" spans="1:27" ht="13.5" thickBot="1">
      <c r="A82" s="8" t="s">
        <v>10</v>
      </c>
      <c r="B82" s="6"/>
      <c r="C82" s="21">
        <v>0</v>
      </c>
      <c r="D82" s="18">
        <f>SUM(H77:AB77)</f>
        <v>9528363.14288686</v>
      </c>
      <c r="E82" s="6"/>
      <c r="F82" s="6"/>
      <c r="G82" s="6"/>
      <c r="H82" s="6"/>
      <c r="I82" s="6"/>
      <c r="J82" s="6"/>
      <c r="K82" s="6"/>
      <c r="L82" s="6"/>
      <c r="M82" s="6"/>
      <c r="N82" s="6"/>
      <c r="O82" s="6"/>
      <c r="P82" s="6"/>
      <c r="Q82" s="6"/>
      <c r="R82" s="6"/>
      <c r="S82" s="6"/>
      <c r="T82" s="6"/>
      <c r="U82" s="6"/>
      <c r="V82" s="6"/>
      <c r="W82" s="6"/>
      <c r="X82" s="6"/>
      <c r="Y82" s="6"/>
      <c r="Z82" s="6"/>
      <c r="AA82" s="7"/>
    </row>
    <row r="83" spans="1:27" ht="13.5" thickBot="1">
      <c r="A83" s="26"/>
      <c r="B83" s="26"/>
      <c r="C83" s="20">
        <f>C81-C82</f>
        <v>9526500</v>
      </c>
      <c r="D83" s="20">
        <f>D81-D82</f>
        <v>-1863.1428868602961</v>
      </c>
      <c r="E83" s="10"/>
      <c r="F83" s="10"/>
      <c r="G83" s="10"/>
      <c r="H83" s="10"/>
      <c r="I83" s="10"/>
      <c r="J83" s="10"/>
      <c r="K83" s="10"/>
      <c r="L83" s="10"/>
      <c r="M83" s="10"/>
      <c r="N83" s="10"/>
      <c r="O83" s="10"/>
      <c r="P83" s="10"/>
      <c r="Q83" s="10"/>
      <c r="R83" s="10"/>
      <c r="S83" s="10"/>
      <c r="T83" s="10"/>
      <c r="U83" s="10"/>
      <c r="V83" s="10"/>
      <c r="W83" s="10"/>
      <c r="X83" s="10"/>
      <c r="Y83" s="10"/>
      <c r="Z83" s="10"/>
      <c r="AA83" s="27"/>
    </row>
    <row r="84" spans="1:27" ht="13.5" thickBot="1">
      <c r="A84" s="6"/>
      <c r="B84" s="6"/>
      <c r="C84" s="22"/>
      <c r="D84" s="22"/>
      <c r="E84" s="6"/>
      <c r="F84" s="6"/>
      <c r="G84" s="6"/>
      <c r="H84" s="6"/>
      <c r="I84" s="6"/>
      <c r="J84" s="6"/>
      <c r="K84" s="6"/>
      <c r="L84" s="6"/>
      <c r="M84" s="6"/>
      <c r="N84" s="6"/>
      <c r="O84" s="6"/>
      <c r="P84" s="6"/>
      <c r="Q84" s="6"/>
      <c r="R84" s="6"/>
      <c r="S84" s="6"/>
      <c r="T84" s="6"/>
      <c r="U84" s="6"/>
      <c r="V84" s="6"/>
      <c r="W84" s="6"/>
      <c r="X84" s="6"/>
      <c r="Y84" s="6"/>
      <c r="Z84" s="6"/>
      <c r="AA84" s="6"/>
    </row>
    <row r="85" spans="1:27" ht="12.75">
      <c r="A85" s="30" t="s">
        <v>69</v>
      </c>
      <c r="B85" s="32"/>
      <c r="C85" s="4"/>
      <c r="D85" s="4"/>
      <c r="E85" s="4"/>
      <c r="F85" s="4"/>
      <c r="G85" s="4"/>
      <c r="H85" s="4"/>
      <c r="I85" s="4"/>
      <c r="J85" s="4"/>
      <c r="K85" s="4"/>
      <c r="L85" s="4"/>
      <c r="M85" s="4"/>
      <c r="N85" s="4"/>
      <c r="O85" s="4"/>
      <c r="P85" s="4"/>
      <c r="Q85" s="4"/>
      <c r="R85" s="4"/>
      <c r="S85" s="4"/>
      <c r="T85" s="4"/>
      <c r="U85" s="4"/>
      <c r="V85" s="4"/>
      <c r="W85" s="4"/>
      <c r="X85" s="4"/>
      <c r="Y85" s="4"/>
      <c r="Z85" s="4"/>
      <c r="AA85" s="5"/>
    </row>
    <row r="86" spans="1:27" ht="12.75">
      <c r="A86" s="24">
        <v>0.0504</v>
      </c>
      <c r="B86" s="35"/>
      <c r="C86" s="6" t="s">
        <v>2</v>
      </c>
      <c r="D86" s="6" t="s">
        <v>7</v>
      </c>
      <c r="E86" s="6"/>
      <c r="F86" s="6"/>
      <c r="G86" s="6"/>
      <c r="H86" s="6"/>
      <c r="I86" s="6"/>
      <c r="J86" s="6"/>
      <c r="K86" s="6"/>
      <c r="L86" s="6"/>
      <c r="M86" s="6"/>
      <c r="N86" s="6"/>
      <c r="O86" s="6"/>
      <c r="P86" s="6"/>
      <c r="Q86" s="6"/>
      <c r="R86" s="6"/>
      <c r="S86" s="6"/>
      <c r="T86" s="6"/>
      <c r="U86" s="6"/>
      <c r="V86" s="6"/>
      <c r="W86" s="6"/>
      <c r="X86" s="6"/>
      <c r="Y86" s="6"/>
      <c r="Z86" s="6"/>
      <c r="AA86" s="7"/>
    </row>
    <row r="87" spans="1:27" ht="12.75">
      <c r="A87" s="13" t="s">
        <v>3</v>
      </c>
      <c r="B87" s="11"/>
      <c r="C87" s="11">
        <v>2007</v>
      </c>
      <c r="D87" s="11">
        <v>2008</v>
      </c>
      <c r="E87" s="11">
        <v>2009</v>
      </c>
      <c r="F87" s="11">
        <v>2010</v>
      </c>
      <c r="G87" s="11">
        <v>2011</v>
      </c>
      <c r="H87" s="84">
        <v>2012</v>
      </c>
      <c r="I87" s="11">
        <v>2013</v>
      </c>
      <c r="J87" s="11">
        <v>2014</v>
      </c>
      <c r="K87" s="11">
        <v>2015</v>
      </c>
      <c r="L87" s="11">
        <v>2016</v>
      </c>
      <c r="M87" s="11">
        <v>2017</v>
      </c>
      <c r="N87" s="11">
        <v>2018</v>
      </c>
      <c r="O87" s="11">
        <v>2019</v>
      </c>
      <c r="P87" s="11">
        <v>2020</v>
      </c>
      <c r="Q87" s="11">
        <v>2021</v>
      </c>
      <c r="R87" s="11">
        <v>2022</v>
      </c>
      <c r="S87" s="11">
        <v>2023</v>
      </c>
      <c r="T87" s="11">
        <v>2024</v>
      </c>
      <c r="U87" s="11">
        <v>2025</v>
      </c>
      <c r="V87" s="11">
        <v>2026</v>
      </c>
      <c r="W87" s="11">
        <v>2027</v>
      </c>
      <c r="X87" s="11">
        <v>2028</v>
      </c>
      <c r="Y87" s="11">
        <v>2029</v>
      </c>
      <c r="Z87" s="11">
        <v>2030</v>
      </c>
      <c r="AA87" s="11">
        <v>2031</v>
      </c>
    </row>
    <row r="88" spans="1:27" ht="12.75">
      <c r="A88" s="12" t="s">
        <v>4</v>
      </c>
      <c r="B88" s="6"/>
      <c r="C88" s="18">
        <f>$A$3*8760000*$A$4</f>
        <v>9526500</v>
      </c>
      <c r="D88" s="9"/>
      <c r="E88" s="9"/>
      <c r="F88" s="9"/>
      <c r="G88" s="9"/>
      <c r="H88" s="9"/>
      <c r="I88" s="6"/>
      <c r="J88" s="6"/>
      <c r="K88" s="6"/>
      <c r="L88" s="6"/>
      <c r="M88" s="6"/>
      <c r="N88" s="6"/>
      <c r="O88" s="6"/>
      <c r="P88" s="6"/>
      <c r="Q88" s="6"/>
      <c r="R88" s="6"/>
      <c r="S88" s="6"/>
      <c r="T88" s="6"/>
      <c r="U88" s="6"/>
      <c r="V88" s="6"/>
      <c r="W88" s="6"/>
      <c r="X88" s="6"/>
      <c r="Y88" s="6"/>
      <c r="Z88" s="6"/>
      <c r="AA88" s="7"/>
    </row>
    <row r="89" spans="1:27" ht="12.75">
      <c r="A89" s="12" t="s">
        <v>5</v>
      </c>
      <c r="B89" s="6"/>
      <c r="C89" s="18">
        <f>A86*8760000*$A$4</f>
        <v>3200904</v>
      </c>
      <c r="D89" s="18">
        <f>C89/(1+$A$5)</f>
        <v>3107673.786407767</v>
      </c>
      <c r="E89" s="18">
        <f>D89/(1+$A$5)</f>
        <v>3017159.015929871</v>
      </c>
      <c r="F89" s="18">
        <f>E89/(1+$A$5)</f>
        <v>2929280.597990166</v>
      </c>
      <c r="G89" s="18">
        <f>F89/(1+$A$5)</f>
        <v>2843961.74562152</v>
      </c>
      <c r="H89" s="83">
        <f>G89*0.225/(1+$A$5)</f>
        <v>621253.7793833418</v>
      </c>
      <c r="I89" s="18">
        <f aca="true" t="shared" si="14" ref="I89:AA89">H89/(1+$A$5)</f>
        <v>603159.0091100405</v>
      </c>
      <c r="J89" s="18">
        <f t="shared" si="14"/>
        <v>585591.2709806218</v>
      </c>
      <c r="K89" s="18">
        <f t="shared" si="14"/>
        <v>568535.214544293</v>
      </c>
      <c r="L89" s="18">
        <f t="shared" si="14"/>
        <v>551975.9364507699</v>
      </c>
      <c r="M89" s="18">
        <f t="shared" si="14"/>
        <v>535898.967427932</v>
      </c>
      <c r="N89" s="18">
        <f t="shared" si="14"/>
        <v>520290.25963876885</v>
      </c>
      <c r="O89" s="18">
        <f t="shared" si="14"/>
        <v>505136.17440657166</v>
      </c>
      <c r="P89" s="18">
        <f t="shared" si="14"/>
        <v>490423.4702976424</v>
      </c>
      <c r="Q89" s="18">
        <f t="shared" si="14"/>
        <v>476139.2915511091</v>
      </c>
      <c r="R89" s="18">
        <f t="shared" si="14"/>
        <v>462271.156845737</v>
      </c>
      <c r="S89" s="18">
        <f t="shared" si="14"/>
        <v>448806.94839391945</v>
      </c>
      <c r="T89" s="18">
        <f t="shared" si="14"/>
        <v>435734.9013533198</v>
      </c>
      <c r="U89" s="18">
        <f t="shared" si="14"/>
        <v>423043.5935469124</v>
      </c>
      <c r="V89" s="18">
        <f t="shared" si="14"/>
        <v>410721.93548243924</v>
      </c>
      <c r="W89" s="18">
        <f t="shared" si="14"/>
        <v>398759.16066256235</v>
      </c>
      <c r="X89" s="18">
        <f t="shared" si="14"/>
        <v>387144.816177245</v>
      </c>
      <c r="Y89" s="18">
        <f t="shared" si="14"/>
        <v>375868.75357014075</v>
      </c>
      <c r="Z89" s="18">
        <f t="shared" si="14"/>
        <v>364921.1199710104</v>
      </c>
      <c r="AA89" s="18">
        <f t="shared" si="14"/>
        <v>354292.3494864179</v>
      </c>
    </row>
    <row r="90" spans="1:27" ht="12.75">
      <c r="A90" s="12" t="s">
        <v>9</v>
      </c>
      <c r="B90" s="6"/>
      <c r="C90" s="18">
        <v>0</v>
      </c>
      <c r="D90" s="18">
        <v>0</v>
      </c>
      <c r="E90" s="18">
        <v>0</v>
      </c>
      <c r="F90" s="18">
        <v>0</v>
      </c>
      <c r="G90" s="18">
        <v>0</v>
      </c>
      <c r="H90" s="18">
        <f aca="true" t="shared" si="15" ref="H90:AA90">H89+G90</f>
        <v>621253.7793833418</v>
      </c>
      <c r="I90" s="18">
        <f t="shared" si="15"/>
        <v>1224412.7884933823</v>
      </c>
      <c r="J90" s="18">
        <f t="shared" si="15"/>
        <v>1810004.059474004</v>
      </c>
      <c r="K90" s="18">
        <f t="shared" si="15"/>
        <v>2378539.274018297</v>
      </c>
      <c r="L90" s="18">
        <f t="shared" si="15"/>
        <v>2930515.210469067</v>
      </c>
      <c r="M90" s="18">
        <f t="shared" si="15"/>
        <v>3466414.177896999</v>
      </c>
      <c r="N90" s="18">
        <f t="shared" si="15"/>
        <v>3986704.4375357674</v>
      </c>
      <c r="O90" s="18">
        <f t="shared" si="15"/>
        <v>4491840.611942339</v>
      </c>
      <c r="P90" s="18">
        <f t="shared" si="15"/>
        <v>4982264.082239981</v>
      </c>
      <c r="Q90" s="18">
        <f t="shared" si="15"/>
        <v>5458403.37379109</v>
      </c>
      <c r="R90" s="18">
        <f t="shared" si="15"/>
        <v>5920674.530636827</v>
      </c>
      <c r="S90" s="18">
        <f t="shared" si="15"/>
        <v>6369481.479030747</v>
      </c>
      <c r="T90" s="18">
        <f t="shared" si="15"/>
        <v>6805216.380384067</v>
      </c>
      <c r="U90" s="18">
        <f t="shared" si="15"/>
        <v>7228259.973930979</v>
      </c>
      <c r="V90" s="18">
        <f t="shared" si="15"/>
        <v>7638981.909413419</v>
      </c>
      <c r="W90" s="18">
        <f t="shared" si="15"/>
        <v>8037741.070075981</v>
      </c>
      <c r="X90" s="18">
        <f t="shared" si="15"/>
        <v>8424885.886253227</v>
      </c>
      <c r="Y90" s="18">
        <f t="shared" si="15"/>
        <v>8800754.639823368</v>
      </c>
      <c r="Z90" s="18">
        <f t="shared" si="15"/>
        <v>9165675.759794379</v>
      </c>
      <c r="AA90" s="21">
        <f t="shared" si="15"/>
        <v>9519968.109280797</v>
      </c>
    </row>
    <row r="91" spans="1:27" ht="12.75">
      <c r="A91" s="8"/>
      <c r="B91" s="6"/>
      <c r="C91" s="6"/>
      <c r="D91" s="6"/>
      <c r="E91" s="6"/>
      <c r="F91" s="6"/>
      <c r="G91" s="6"/>
      <c r="H91" s="6"/>
      <c r="I91" s="6"/>
      <c r="J91" s="6"/>
      <c r="K91" s="6"/>
      <c r="L91" s="6"/>
      <c r="M91" s="6"/>
      <c r="N91" s="6"/>
      <c r="O91" s="6"/>
      <c r="P91" s="6"/>
      <c r="Q91" s="6"/>
      <c r="R91" s="6"/>
      <c r="S91" s="6"/>
      <c r="T91" s="6"/>
      <c r="U91" s="6"/>
      <c r="V91" s="6"/>
      <c r="W91" s="6"/>
      <c r="X91" s="6"/>
      <c r="Y91" s="6"/>
      <c r="Z91" s="6"/>
      <c r="AA91" s="7"/>
    </row>
    <row r="92" spans="1:27" ht="12.75">
      <c r="A92" s="8"/>
      <c r="B92" s="6"/>
      <c r="C92" s="29" t="s">
        <v>6</v>
      </c>
      <c r="D92" s="6" t="s">
        <v>45</v>
      </c>
      <c r="E92" s="6"/>
      <c r="F92" s="6"/>
      <c r="G92" s="6"/>
      <c r="H92" s="6"/>
      <c r="I92" s="6"/>
      <c r="J92" s="6"/>
      <c r="K92" s="6"/>
      <c r="L92" s="6"/>
      <c r="M92" s="6"/>
      <c r="N92" s="6"/>
      <c r="O92" s="6"/>
      <c r="P92" s="6"/>
      <c r="Q92" s="6"/>
      <c r="R92" s="6"/>
      <c r="S92" s="6"/>
      <c r="T92" s="6"/>
      <c r="U92" s="6"/>
      <c r="V92" s="6"/>
      <c r="W92" s="6"/>
      <c r="X92" s="6"/>
      <c r="Y92" s="6"/>
      <c r="Z92" s="6"/>
      <c r="AA92" s="7"/>
    </row>
    <row r="93" spans="1:27" ht="12.75">
      <c r="A93" s="8" t="s">
        <v>11</v>
      </c>
      <c r="B93" s="6"/>
      <c r="C93" s="21">
        <f>C88</f>
        <v>9526500</v>
      </c>
      <c r="D93" s="21">
        <f>C88</f>
        <v>9526500</v>
      </c>
      <c r="E93" s="6"/>
      <c r="F93" s="6"/>
      <c r="G93" s="6"/>
      <c r="H93" s="6"/>
      <c r="I93" s="6"/>
      <c r="J93" s="6"/>
      <c r="K93" s="18"/>
      <c r="L93" s="6"/>
      <c r="M93" s="6"/>
      <c r="N93" s="6"/>
      <c r="O93" s="6"/>
      <c r="P93" s="6"/>
      <c r="Q93" s="6"/>
      <c r="R93" s="6"/>
      <c r="S93" s="6"/>
      <c r="T93" s="6"/>
      <c r="U93" s="6"/>
      <c r="V93" s="6"/>
      <c r="W93" s="6"/>
      <c r="X93" s="6"/>
      <c r="Y93" s="6"/>
      <c r="Z93" s="6"/>
      <c r="AA93" s="7"/>
    </row>
    <row r="94" spans="1:27" ht="13.5" thickBot="1">
      <c r="A94" s="8" t="s">
        <v>10</v>
      </c>
      <c r="B94" s="6"/>
      <c r="C94" s="21">
        <v>0</v>
      </c>
      <c r="D94" s="18">
        <f>SUM(H89:AB89)</f>
        <v>9519968.109280797</v>
      </c>
      <c r="E94" s="6"/>
      <c r="F94" s="6"/>
      <c r="G94" s="6"/>
      <c r="H94" s="6"/>
      <c r="I94" s="6"/>
      <c r="J94" s="6"/>
      <c r="K94" s="6"/>
      <c r="L94" s="6"/>
      <c r="M94" s="6"/>
      <c r="N94" s="6"/>
      <c r="O94" s="6"/>
      <c r="P94" s="6"/>
      <c r="Q94" s="6"/>
      <c r="R94" s="6"/>
      <c r="S94" s="6"/>
      <c r="T94" s="6"/>
      <c r="U94" s="6"/>
      <c r="V94" s="6"/>
      <c r="W94" s="6"/>
      <c r="X94" s="6"/>
      <c r="Y94" s="6"/>
      <c r="Z94" s="6"/>
      <c r="AA94" s="7"/>
    </row>
    <row r="95" spans="1:27" ht="13.5" thickBot="1">
      <c r="A95" s="26"/>
      <c r="B95" s="26"/>
      <c r="C95" s="20">
        <f>C93-C94</f>
        <v>9526500</v>
      </c>
      <c r="D95" s="20">
        <f>D93-D94</f>
        <v>6531.890719203278</v>
      </c>
      <c r="E95" s="10"/>
      <c r="F95" s="10"/>
      <c r="G95" s="10"/>
      <c r="H95" s="10"/>
      <c r="I95" s="10"/>
      <c r="J95" s="10"/>
      <c r="K95" s="10"/>
      <c r="L95" s="10"/>
      <c r="M95" s="10"/>
      <c r="N95" s="10"/>
      <c r="O95" s="10"/>
      <c r="P95" s="10"/>
      <c r="Q95" s="10"/>
      <c r="R95" s="10"/>
      <c r="S95" s="10"/>
      <c r="T95" s="10"/>
      <c r="U95" s="10"/>
      <c r="V95" s="10"/>
      <c r="W95" s="10"/>
      <c r="X95" s="10"/>
      <c r="Y95" s="10"/>
      <c r="Z95" s="10"/>
      <c r="AA95" s="27"/>
    </row>
    <row r="96" spans="1:27" ht="12.75">
      <c r="A96" s="6"/>
      <c r="B96" s="6"/>
      <c r="C96" s="22"/>
      <c r="D96" s="22"/>
      <c r="E96" s="6"/>
      <c r="F96" s="6"/>
      <c r="G96" s="6"/>
      <c r="H96" s="6"/>
      <c r="I96" s="6"/>
      <c r="J96" s="6"/>
      <c r="K96" s="6"/>
      <c r="L96" s="6"/>
      <c r="M96" s="6"/>
      <c r="N96" s="6"/>
      <c r="O96" s="6"/>
      <c r="P96" s="6"/>
      <c r="Q96" s="6"/>
      <c r="R96" s="6"/>
      <c r="S96" s="6"/>
      <c r="T96" s="6"/>
      <c r="U96" s="6"/>
      <c r="V96" s="6"/>
      <c r="W96" s="6"/>
      <c r="X96" s="6"/>
      <c r="Y96" s="6"/>
      <c r="Z96" s="6"/>
      <c r="AA96" s="6"/>
    </row>
    <row r="97" spans="1:27" ht="12.75">
      <c r="A97" s="6"/>
      <c r="B97" s="6"/>
      <c r="C97" s="86"/>
      <c r="D97" s="22"/>
      <c r="E97" s="6"/>
      <c r="F97" s="6"/>
      <c r="G97" s="6"/>
      <c r="H97" s="6"/>
      <c r="I97" s="6"/>
      <c r="J97" s="6"/>
      <c r="K97" s="6"/>
      <c r="L97" s="6"/>
      <c r="M97" s="6"/>
      <c r="N97" s="6"/>
      <c r="O97" s="6"/>
      <c r="P97" s="6"/>
      <c r="Q97" s="6"/>
      <c r="R97" s="6"/>
      <c r="S97" s="6"/>
      <c r="T97" s="6"/>
      <c r="U97" s="6"/>
      <c r="V97" s="6"/>
      <c r="W97" s="6"/>
      <c r="X97" s="6"/>
      <c r="Y97" s="6"/>
      <c r="Z97" s="6"/>
      <c r="AA97" s="6"/>
    </row>
    <row r="98" spans="1:27" ht="12.75">
      <c r="A98" s="6"/>
      <c r="B98" s="6"/>
      <c r="C98" s="86"/>
      <c r="D98" s="22"/>
      <c r="E98" s="6"/>
      <c r="F98" s="6"/>
      <c r="G98" s="6"/>
      <c r="H98" s="6"/>
      <c r="I98" s="6"/>
      <c r="J98" s="6"/>
      <c r="K98" s="6"/>
      <c r="L98" s="6"/>
      <c r="M98" s="6"/>
      <c r="N98" s="6"/>
      <c r="O98" s="6"/>
      <c r="P98" s="6"/>
      <c r="Q98" s="6"/>
      <c r="R98" s="6"/>
      <c r="S98" s="6"/>
      <c r="T98" s="6"/>
      <c r="U98" s="6"/>
      <c r="V98" s="6"/>
      <c r="W98" s="6"/>
      <c r="X98" s="6"/>
      <c r="Y98" s="6"/>
      <c r="Z98" s="6"/>
      <c r="AA98" s="6"/>
    </row>
    <row r="99" spans="1:27" ht="12.75">
      <c r="A99" s="6"/>
      <c r="B99" s="6" t="s">
        <v>52</v>
      </c>
      <c r="C99" s="86"/>
      <c r="D99" s="22"/>
      <c r="E99" s="6"/>
      <c r="F99" s="6"/>
      <c r="G99" s="6"/>
      <c r="H99" s="6"/>
      <c r="I99" s="6"/>
      <c r="J99" s="6"/>
      <c r="K99" s="6"/>
      <c r="L99" s="6"/>
      <c r="M99" s="6"/>
      <c r="N99" s="6"/>
      <c r="O99" s="6"/>
      <c r="P99" s="6"/>
      <c r="Q99" s="6"/>
      <c r="R99" s="6"/>
      <c r="S99" s="6"/>
      <c r="T99" s="6"/>
      <c r="U99" s="6"/>
      <c r="V99" s="6"/>
      <c r="W99" s="6"/>
      <c r="X99" s="6"/>
      <c r="Y99" s="6"/>
      <c r="Z99" s="6"/>
      <c r="AA99" s="6"/>
    </row>
    <row r="100" spans="1:27" ht="12.75">
      <c r="A100" s="6"/>
      <c r="B100" s="6"/>
      <c r="C100" s="22"/>
      <c r="D100" s="22"/>
      <c r="E100" s="6"/>
      <c r="F100" s="6"/>
      <c r="G100" s="6"/>
      <c r="H100" s="6"/>
      <c r="I100" s="6"/>
      <c r="J100" s="6"/>
      <c r="K100" s="6"/>
      <c r="L100" s="6"/>
      <c r="M100" s="6"/>
      <c r="N100" s="6"/>
      <c r="O100" s="6"/>
      <c r="P100" s="6"/>
      <c r="Q100" s="6"/>
      <c r="R100" s="6"/>
      <c r="S100" s="6"/>
      <c r="T100" s="6"/>
      <c r="U100" s="6"/>
      <c r="V100" s="6"/>
      <c r="W100" s="6"/>
      <c r="X100" s="6"/>
      <c r="Y100" s="6"/>
      <c r="Z100" s="6"/>
      <c r="AA100" s="6"/>
    </row>
    <row r="101" spans="1:27" ht="25.5">
      <c r="A101" s="6"/>
      <c r="B101" s="6"/>
      <c r="D101" s="85" t="s">
        <v>53</v>
      </c>
      <c r="E101" s="85" t="s">
        <v>54</v>
      </c>
      <c r="F101" s="6"/>
      <c r="G101" s="6"/>
      <c r="H101" s="6"/>
      <c r="I101" s="6"/>
      <c r="J101" s="6"/>
      <c r="K101" s="6"/>
      <c r="L101" s="6"/>
      <c r="M101" s="6"/>
      <c r="N101" s="6"/>
      <c r="O101" s="6"/>
      <c r="P101" s="6"/>
      <c r="Q101" s="6"/>
      <c r="R101" s="6"/>
      <c r="S101" s="6"/>
      <c r="T101" s="6"/>
      <c r="U101" s="6"/>
      <c r="V101" s="6"/>
      <c r="W101" s="6"/>
      <c r="X101" s="6"/>
      <c r="Y101" s="6"/>
      <c r="Z101" s="6"/>
      <c r="AA101" s="6"/>
    </row>
    <row r="102" spans="1:27" ht="12.75">
      <c r="A102" s="6"/>
      <c r="C102" s="87" t="s">
        <v>47</v>
      </c>
      <c r="D102" s="88">
        <f>$A$11*1000</f>
        <v>13.25</v>
      </c>
      <c r="E102" s="88">
        <f>$A$55*1000</f>
        <v>22.700000000000003</v>
      </c>
      <c r="F102" s="6"/>
      <c r="G102" s="6"/>
      <c r="H102" s="6"/>
      <c r="I102" s="6"/>
      <c r="J102" s="6"/>
      <c r="K102" s="6"/>
      <c r="L102" s="6"/>
      <c r="M102" s="6"/>
      <c r="N102" s="6"/>
      <c r="O102" s="6"/>
      <c r="P102" s="6"/>
      <c r="Q102" s="6"/>
      <c r="R102" s="6"/>
      <c r="S102" s="6"/>
      <c r="T102" s="6"/>
      <c r="U102" s="6"/>
      <c r="V102" s="6"/>
      <c r="W102" s="6"/>
      <c r="X102" s="6"/>
      <c r="Y102" s="6"/>
      <c r="Z102" s="6"/>
      <c r="AA102" s="6"/>
    </row>
    <row r="103" spans="1:27" ht="12.75">
      <c r="A103" s="6"/>
      <c r="C103" s="87" t="s">
        <v>55</v>
      </c>
      <c r="D103" s="88">
        <f>$A$33*1000</f>
        <v>18.700000000000003</v>
      </c>
      <c r="E103" s="88">
        <f>$A$74*1000</f>
        <v>45.400000000000006</v>
      </c>
      <c r="F103" s="6"/>
      <c r="G103" s="6"/>
      <c r="H103" s="6"/>
      <c r="I103" s="6"/>
      <c r="J103" s="6"/>
      <c r="K103" s="6"/>
      <c r="L103" s="6"/>
      <c r="M103" s="6"/>
      <c r="N103" s="6"/>
      <c r="O103" s="6"/>
      <c r="P103" s="6"/>
      <c r="Q103" s="6"/>
      <c r="R103" s="6"/>
      <c r="S103" s="6"/>
      <c r="T103" s="6"/>
      <c r="U103" s="6"/>
      <c r="V103" s="6"/>
      <c r="W103" s="6"/>
      <c r="X103" s="6"/>
      <c r="Y103" s="6"/>
      <c r="Z103" s="6"/>
      <c r="AA103" s="6"/>
    </row>
    <row r="104" spans="1:27" ht="12.75">
      <c r="A104" s="6"/>
      <c r="C104" s="87" t="s">
        <v>64</v>
      </c>
      <c r="D104" s="88">
        <f>$A$22*1000</f>
        <v>14.059999999999999</v>
      </c>
      <c r="E104" s="88">
        <f>$A$62*1000</f>
        <v>25.22</v>
      </c>
      <c r="F104" s="6"/>
      <c r="G104" s="6"/>
      <c r="H104" s="6"/>
      <c r="I104" s="6"/>
      <c r="J104" s="6"/>
      <c r="K104" s="6"/>
      <c r="L104" s="6"/>
      <c r="M104" s="6"/>
      <c r="N104" s="6"/>
      <c r="O104" s="6"/>
      <c r="P104" s="6"/>
      <c r="Q104" s="6"/>
      <c r="R104" s="6"/>
      <c r="S104" s="6"/>
      <c r="T104" s="6"/>
      <c r="U104" s="6"/>
      <c r="V104" s="6"/>
      <c r="W104" s="6"/>
      <c r="X104" s="6"/>
      <c r="Y104" s="6"/>
      <c r="Z104" s="6"/>
      <c r="AA104" s="6"/>
    </row>
    <row r="105" spans="1:27" ht="12.75">
      <c r="A105" s="6"/>
      <c r="C105" s="87" t="s">
        <v>70</v>
      </c>
      <c r="D105" s="88">
        <f>$A$44*1000</f>
        <v>19.5</v>
      </c>
      <c r="E105" s="88">
        <f>$A$86*1000</f>
        <v>50.4</v>
      </c>
      <c r="F105" s="6"/>
      <c r="G105" s="6"/>
      <c r="H105" s="6"/>
      <c r="I105" s="6"/>
      <c r="J105" s="6"/>
      <c r="K105" s="6"/>
      <c r="L105" s="6"/>
      <c r="M105" s="6"/>
      <c r="N105" s="6"/>
      <c r="O105" s="6"/>
      <c r="P105" s="6"/>
      <c r="Q105" s="6"/>
      <c r="R105" s="6"/>
      <c r="S105" s="6"/>
      <c r="T105" s="6"/>
      <c r="U105" s="6"/>
      <c r="V105" s="6"/>
      <c r="W105" s="6"/>
      <c r="X105" s="6"/>
      <c r="Y105" s="6"/>
      <c r="Z105" s="6"/>
      <c r="AA105" s="6"/>
    </row>
    <row r="106" spans="1:27" ht="12.75">
      <c r="A106" s="6"/>
      <c r="B106" s="6"/>
      <c r="C106" s="22"/>
      <c r="D106" s="22"/>
      <c r="E106" s="6"/>
      <c r="F106" s="6"/>
      <c r="G106" s="6"/>
      <c r="H106" s="6"/>
      <c r="I106" s="6"/>
      <c r="J106" s="6"/>
      <c r="K106" s="6"/>
      <c r="L106" s="6"/>
      <c r="M106" s="6"/>
      <c r="N106" s="6"/>
      <c r="O106" s="6"/>
      <c r="P106" s="6"/>
      <c r="Q106" s="6"/>
      <c r="R106" s="6"/>
      <c r="S106" s="6"/>
      <c r="T106" s="6"/>
      <c r="U106" s="6"/>
      <c r="V106" s="6"/>
      <c r="W106" s="6"/>
      <c r="X106" s="6"/>
      <c r="Y106" s="6"/>
      <c r="Z106" s="6"/>
      <c r="AA106" s="6"/>
    </row>
    <row r="107" spans="1:27" ht="12.75">
      <c r="A107" s="6"/>
      <c r="B107" s="6"/>
      <c r="C107" s="22"/>
      <c r="D107" s="22"/>
      <c r="E107" s="6"/>
      <c r="F107" s="6"/>
      <c r="G107" s="6"/>
      <c r="H107" s="6"/>
      <c r="I107" s="6"/>
      <c r="J107" s="6"/>
      <c r="K107" s="6"/>
      <c r="L107" s="6"/>
      <c r="M107" s="6"/>
      <c r="N107" s="6"/>
      <c r="O107" s="6"/>
      <c r="P107" s="6"/>
      <c r="Q107" s="6"/>
      <c r="R107" s="6"/>
      <c r="S107" s="6"/>
      <c r="T107" s="6"/>
      <c r="U107" s="6"/>
      <c r="V107" s="6"/>
      <c r="W107" s="6"/>
      <c r="X107" s="6"/>
      <c r="Y107" s="6"/>
      <c r="Z107" s="6"/>
      <c r="AA107" s="6"/>
    </row>
    <row r="108" spans="1:27" ht="12.75">
      <c r="A108" s="6"/>
      <c r="B108" s="6"/>
      <c r="C108" s="22"/>
      <c r="D108" s="22"/>
      <c r="E108" s="6"/>
      <c r="F108" s="6"/>
      <c r="G108" s="6"/>
      <c r="H108" s="6"/>
      <c r="I108" s="6"/>
      <c r="J108" s="6"/>
      <c r="K108" s="6"/>
      <c r="L108" s="6"/>
      <c r="M108" s="6"/>
      <c r="N108" s="6"/>
      <c r="O108" s="6"/>
      <c r="P108" s="6"/>
      <c r="Q108" s="6"/>
      <c r="R108" s="6"/>
      <c r="S108" s="6"/>
      <c r="T108" s="6"/>
      <c r="U108" s="6"/>
      <c r="V108" s="6"/>
      <c r="W108" s="6"/>
      <c r="X108" s="6"/>
      <c r="Y108" s="6"/>
      <c r="Z108" s="6"/>
      <c r="AA108" s="6"/>
    </row>
    <row r="114" spans="1:27" ht="12.75">
      <c r="A114" s="16"/>
      <c r="B114" s="16"/>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row>
  </sheetData>
  <printOptions/>
  <pageMargins left="0.75" right="0.75" top="1" bottom="1" header="0.5" footer="0.5"/>
  <pageSetup horizontalDpi="600" verticalDpi="600" orientation="landscape" paperSize="5" scale="86" r:id="rId1"/>
  <headerFooter alignWithMargins="0">
    <oddHeader>&amp;CRegional Dialogue Workshop
Seattle City Light Handout
September 11, 2006</oddHead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1:D35"/>
  <sheetViews>
    <sheetView workbookViewId="0" topLeftCell="A1">
      <selection activeCell="A1" sqref="A1:IV16384"/>
    </sheetView>
  </sheetViews>
  <sheetFormatPr defaultColWidth="9.140625" defaultRowHeight="12.75"/>
  <cols>
    <col min="1" max="1" width="49.57421875" style="89" customWidth="1"/>
    <col min="2" max="2" width="12.00390625" style="89" customWidth="1"/>
    <col min="3" max="3" width="14.140625" style="89" customWidth="1"/>
    <col min="4" max="4" width="11.8515625" style="89" customWidth="1"/>
    <col min="5" max="16384" width="9.140625" style="89" customWidth="1"/>
  </cols>
  <sheetData>
    <row r="1" ht="15">
      <c r="A1" s="91" t="s">
        <v>105</v>
      </c>
    </row>
    <row r="2" ht="15">
      <c r="A2" s="89" t="s">
        <v>104</v>
      </c>
    </row>
    <row r="3" ht="15">
      <c r="A3" s="89" t="s">
        <v>106</v>
      </c>
    </row>
    <row r="4" ht="15">
      <c r="A4" s="89" t="s">
        <v>120</v>
      </c>
    </row>
    <row r="5" spans="2:4" ht="31.5">
      <c r="B5" s="169" t="s">
        <v>75</v>
      </c>
      <c r="C5" s="170" t="s">
        <v>74</v>
      </c>
      <c r="D5" s="169" t="s">
        <v>76</v>
      </c>
    </row>
    <row r="6" spans="1:4" ht="15">
      <c r="A6" s="180" t="s">
        <v>77</v>
      </c>
      <c r="B6" s="157">
        <v>500</v>
      </c>
      <c r="C6" s="157">
        <v>6900</v>
      </c>
      <c r="D6" s="157">
        <v>7400</v>
      </c>
    </row>
    <row r="7" spans="1:4" ht="15">
      <c r="A7" s="180" t="s">
        <v>78</v>
      </c>
      <c r="B7" s="157">
        <v>36</v>
      </c>
      <c r="C7" s="157">
        <v>250</v>
      </c>
      <c r="D7" s="157">
        <f>SUM(B7:C7)</f>
        <v>286</v>
      </c>
    </row>
    <row r="8" spans="1:4" ht="15">
      <c r="A8" s="180" t="s">
        <v>81</v>
      </c>
      <c r="B8" s="158">
        <f>B7/B6</f>
        <v>0.072</v>
      </c>
      <c r="C8" s="158">
        <f>C7/C6</f>
        <v>0.036231884057971016</v>
      </c>
      <c r="D8" s="157"/>
    </row>
    <row r="9" spans="2:4" ht="15">
      <c r="B9" s="158"/>
      <c r="C9" s="158"/>
      <c r="D9" s="157"/>
    </row>
    <row r="10" spans="1:4" ht="15.75">
      <c r="A10" s="154" t="s">
        <v>84</v>
      </c>
      <c r="B10" s="159"/>
      <c r="C10" s="159"/>
      <c r="D10" s="159"/>
    </row>
    <row r="11" spans="1:4" ht="15">
      <c r="A11" s="155" t="s">
        <v>80</v>
      </c>
      <c r="B11" s="157">
        <f>SUM(B6:B7)</f>
        <v>536</v>
      </c>
      <c r="C11" s="157">
        <f>SUM(C6:C7)</f>
        <v>7150</v>
      </c>
      <c r="D11" s="157">
        <f>SUM(B11:C11)</f>
        <v>7686</v>
      </c>
    </row>
    <row r="12" spans="1:4" ht="15">
      <c r="A12" s="155" t="s">
        <v>79</v>
      </c>
      <c r="B12" s="160">
        <f>(D6/D11)*B11</f>
        <v>516.0551652354931</v>
      </c>
      <c r="C12" s="160">
        <f>(D6/D11)*C11</f>
        <v>6883.944834764507</v>
      </c>
      <c r="D12" s="160">
        <f>SUM(B12:C12)</f>
        <v>7400</v>
      </c>
    </row>
    <row r="13" spans="1:4" ht="15">
      <c r="A13" s="156" t="s">
        <v>123</v>
      </c>
      <c r="B13" s="161">
        <f>(B12-B6)/B7</f>
        <v>0.44597681209702955</v>
      </c>
      <c r="C13" s="161">
        <f>(C12-C6)/C7</f>
        <v>-0.06422066094197362</v>
      </c>
      <c r="D13" s="168"/>
    </row>
    <row r="14" spans="2:4" ht="15">
      <c r="B14" s="160"/>
      <c r="C14" s="160"/>
      <c r="D14" s="160"/>
    </row>
    <row r="15" spans="1:4" ht="15.75">
      <c r="A15" s="154" t="s">
        <v>82</v>
      </c>
      <c r="B15" s="159"/>
      <c r="C15" s="159"/>
      <c r="D15" s="159"/>
    </row>
    <row r="16" spans="1:4" ht="15">
      <c r="A16" s="155" t="s">
        <v>80</v>
      </c>
      <c r="B16" s="157">
        <f>B6+0.5*B7</f>
        <v>518</v>
      </c>
      <c r="C16" s="157">
        <f>C6+0.5*C7</f>
        <v>7025</v>
      </c>
      <c r="D16" s="157">
        <f>SUM(B16:C16)</f>
        <v>7543</v>
      </c>
    </row>
    <row r="17" spans="1:4" ht="15">
      <c r="A17" s="155" t="s">
        <v>79</v>
      </c>
      <c r="B17" s="160">
        <f>(D6/D16)*B16</f>
        <v>508.1797693225507</v>
      </c>
      <c r="C17" s="160">
        <f>(D6/D16)*C16</f>
        <v>6891.820230677449</v>
      </c>
      <c r="D17" s="160">
        <f>SUM(B17:C17)</f>
        <v>7400</v>
      </c>
    </row>
    <row r="18" spans="1:4" ht="15">
      <c r="A18" s="156" t="s">
        <v>123</v>
      </c>
      <c r="B18" s="161">
        <f>(B17-B6)/B7</f>
        <v>0.22721581451529793</v>
      </c>
      <c r="C18" s="161">
        <f>(C17-C6)/C7</f>
        <v>-0.03271907729020313</v>
      </c>
      <c r="D18" s="168"/>
    </row>
    <row r="19" spans="2:4" ht="15.75" thickBot="1">
      <c r="B19" s="162"/>
      <c r="C19" s="162"/>
      <c r="D19" s="172"/>
    </row>
    <row r="20" spans="1:4" ht="15.75">
      <c r="A20" s="181" t="s">
        <v>85</v>
      </c>
      <c r="B20" s="163"/>
      <c r="C20" s="174"/>
      <c r="D20" s="152"/>
    </row>
    <row r="21" spans="1:4" ht="15">
      <c r="A21" s="151" t="s">
        <v>86</v>
      </c>
      <c r="B21" s="164">
        <f>B12</f>
        <v>516.0551652354931</v>
      </c>
      <c r="C21" s="175">
        <f>C12</f>
        <v>6883.944834764507</v>
      </c>
      <c r="D21" s="152"/>
    </row>
    <row r="22" spans="1:4" ht="15">
      <c r="A22" s="151" t="s">
        <v>87</v>
      </c>
      <c r="B22" s="164">
        <f>B17</f>
        <v>508.1797693225507</v>
      </c>
      <c r="C22" s="175">
        <f>C17</f>
        <v>6891.820230677449</v>
      </c>
      <c r="D22" s="152"/>
    </row>
    <row r="23" spans="1:4" ht="15">
      <c r="A23" s="151" t="s">
        <v>88</v>
      </c>
      <c r="B23" s="164">
        <f>B21-B22</f>
        <v>7.875395912942338</v>
      </c>
      <c r="C23" s="175">
        <f>C21-C22</f>
        <v>-7.875395912942622</v>
      </c>
      <c r="D23" s="152"/>
    </row>
    <row r="24" spans="1:4" ht="16.5" thickBot="1">
      <c r="A24" s="153" t="s">
        <v>89</v>
      </c>
      <c r="B24" s="165">
        <f>B23/B7</f>
        <v>0.21876099758173162</v>
      </c>
      <c r="C24" s="176"/>
      <c r="D24" s="152"/>
    </row>
    <row r="25" spans="2:4" ht="15">
      <c r="B25" s="157"/>
      <c r="C25" s="157"/>
      <c r="D25" s="156"/>
    </row>
    <row r="26" spans="1:4" ht="15.75">
      <c r="A26" s="154" t="s">
        <v>83</v>
      </c>
      <c r="B26" s="159"/>
      <c r="C26" s="159"/>
      <c r="D26" s="159"/>
    </row>
    <row r="27" spans="1:4" ht="15">
      <c r="A27" s="155" t="s">
        <v>80</v>
      </c>
      <c r="B27" s="157">
        <f>B11</f>
        <v>536</v>
      </c>
      <c r="C27" s="157">
        <f>C16</f>
        <v>7025</v>
      </c>
      <c r="D27" s="157">
        <f>SUM(B27:C27)</f>
        <v>7561</v>
      </c>
    </row>
    <row r="28" spans="1:4" ht="15">
      <c r="A28" s="155" t="s">
        <v>79</v>
      </c>
      <c r="B28" s="160">
        <f>(D6/D27)*B27</f>
        <v>524.5866948816293</v>
      </c>
      <c r="C28" s="160">
        <f>(D6/D27)*C27</f>
        <v>6875.41330511837</v>
      </c>
      <c r="D28" s="157">
        <f>SUM(B28:C28)</f>
        <v>7399.999999999999</v>
      </c>
    </row>
    <row r="29" spans="1:4" ht="15">
      <c r="A29" s="156" t="s">
        <v>123</v>
      </c>
      <c r="B29" s="161">
        <f>(B28-B6)/B7</f>
        <v>0.6829637467119262</v>
      </c>
      <c r="C29" s="161">
        <f>(C28-C6)/C7</f>
        <v>-0.09834677952652054</v>
      </c>
      <c r="D29" s="171"/>
    </row>
    <row r="30" spans="2:4" ht="15.75" thickBot="1">
      <c r="B30" s="157"/>
      <c r="C30" s="157"/>
      <c r="D30" s="182"/>
    </row>
    <row r="31" spans="1:4" ht="15.75">
      <c r="A31" s="181" t="s">
        <v>90</v>
      </c>
      <c r="B31" s="166"/>
      <c r="C31" s="177"/>
      <c r="D31" s="151"/>
    </row>
    <row r="32" spans="1:4" ht="15">
      <c r="A32" s="151" t="s">
        <v>91</v>
      </c>
      <c r="B32" s="160">
        <f>B28</f>
        <v>524.5866948816293</v>
      </c>
      <c r="C32" s="173">
        <f>C28</f>
        <v>6875.41330511837</v>
      </c>
      <c r="D32" s="151"/>
    </row>
    <row r="33" spans="1:4" ht="15">
      <c r="A33" s="151" t="s">
        <v>87</v>
      </c>
      <c r="B33" s="160">
        <f>B17</f>
        <v>508.1797693225507</v>
      </c>
      <c r="C33" s="173">
        <f>C17</f>
        <v>6891.820230677449</v>
      </c>
      <c r="D33" s="151"/>
    </row>
    <row r="34" spans="1:4" ht="15">
      <c r="A34" s="151" t="s">
        <v>88</v>
      </c>
      <c r="B34" s="167">
        <f>B32-B33</f>
        <v>16.406925559078616</v>
      </c>
      <c r="C34" s="178">
        <f>C32-C33</f>
        <v>-16.406925559079355</v>
      </c>
      <c r="D34" s="151"/>
    </row>
    <row r="35" spans="1:4" ht="16.5" thickBot="1">
      <c r="A35" s="153" t="s">
        <v>89</v>
      </c>
      <c r="B35" s="165">
        <f>B34/B7</f>
        <v>0.45574793219662824</v>
      </c>
      <c r="C35" s="179"/>
      <c r="D35" s="151"/>
    </row>
  </sheetData>
  <printOptions horizontalCentered="1" verticalCentered="1"/>
  <pageMargins left="0.75" right="0.75" top="1" bottom="1" header="0.5" footer="0.5"/>
  <pageSetup horizontalDpi="600" verticalDpi="600" orientation="portrait" r:id="rId1"/>
  <headerFooter alignWithMargins="0">
    <oddHeader>&amp;CRegional Dialogue Workshop
Seattle City Light Handout
September 11, 2006</oddHeader>
  </headerFooter>
</worksheet>
</file>

<file path=xl/worksheets/sheet4.xml><?xml version="1.0" encoding="utf-8"?>
<worksheet xmlns="http://schemas.openxmlformats.org/spreadsheetml/2006/main" xmlns:r="http://schemas.openxmlformats.org/officeDocument/2006/relationships">
  <dimension ref="A2:D48"/>
  <sheetViews>
    <sheetView workbookViewId="0" topLeftCell="A1">
      <selection activeCell="A46" sqref="A1:IV16384"/>
    </sheetView>
  </sheetViews>
  <sheetFormatPr defaultColWidth="9.140625" defaultRowHeight="12.75"/>
  <cols>
    <col min="1" max="1" width="54.140625" style="0" customWidth="1"/>
    <col min="2" max="2" width="11.140625" style="0" customWidth="1"/>
    <col min="3" max="3" width="14.140625" style="0" customWidth="1"/>
    <col min="4" max="4" width="11.8515625" style="0" customWidth="1"/>
  </cols>
  <sheetData>
    <row r="2" ht="12.75">
      <c r="A2" s="1" t="s">
        <v>118</v>
      </c>
    </row>
    <row r="3" ht="12.75">
      <c r="A3" t="s">
        <v>73</v>
      </c>
    </row>
    <row r="4" ht="12.75">
      <c r="A4" t="s">
        <v>119</v>
      </c>
    </row>
    <row r="5" spans="2:4" ht="12.75">
      <c r="B5" s="145" t="s">
        <v>75</v>
      </c>
      <c r="C5" s="145" t="s">
        <v>74</v>
      </c>
      <c r="D5" s="145" t="s">
        <v>76</v>
      </c>
    </row>
    <row r="6" spans="1:4" ht="12.75">
      <c r="A6" t="s">
        <v>77</v>
      </c>
      <c r="B6">
        <v>500</v>
      </c>
      <c r="C6">
        <v>6900</v>
      </c>
      <c r="D6">
        <v>7400</v>
      </c>
    </row>
    <row r="7" spans="1:4" ht="12.75">
      <c r="A7" t="s">
        <v>78</v>
      </c>
      <c r="B7">
        <v>36</v>
      </c>
      <c r="C7">
        <v>250</v>
      </c>
      <c r="D7">
        <f>SUM(B7:C7)</f>
        <v>286</v>
      </c>
    </row>
    <row r="8" spans="1:3" ht="12.75">
      <c r="A8" t="s">
        <v>81</v>
      </c>
      <c r="B8" s="80">
        <f>B7/B6</f>
        <v>0.072</v>
      </c>
      <c r="C8" s="80">
        <f>C7/C6</f>
        <v>0.036231884057971016</v>
      </c>
    </row>
    <row r="9" spans="2:3" ht="12.75">
      <c r="B9" s="80"/>
      <c r="C9" s="80"/>
    </row>
    <row r="10" ht="12.75">
      <c r="A10" s="2" t="s">
        <v>84</v>
      </c>
    </row>
    <row r="11" spans="1:4" ht="12.75">
      <c r="A11" t="s">
        <v>80</v>
      </c>
      <c r="B11">
        <f>SUM(B6:B7)</f>
        <v>536</v>
      </c>
      <c r="C11">
        <f>SUM(C6:C7)</f>
        <v>7150</v>
      </c>
      <c r="D11">
        <f>SUM(B11:C11)</f>
        <v>7686</v>
      </c>
    </row>
    <row r="12" spans="1:4" ht="12.75">
      <c r="A12" t="s">
        <v>79</v>
      </c>
      <c r="B12" s="61">
        <f>(D6/D11)*B11</f>
        <v>516.0551652354931</v>
      </c>
      <c r="C12" s="61">
        <f>(D6/D11)*C11</f>
        <v>6883.944834764507</v>
      </c>
      <c r="D12" s="61">
        <f>SUM(B12:C12)</f>
        <v>7400</v>
      </c>
    </row>
    <row r="13" spans="1:4" ht="12.75">
      <c r="A13" t="s">
        <v>123</v>
      </c>
      <c r="B13" s="147">
        <f>(B12-B6)/B7</f>
        <v>0.44597681209702955</v>
      </c>
      <c r="C13" s="147">
        <f>(C12-C6)/C7</f>
        <v>-0.06422066094197362</v>
      </c>
      <c r="D13" s="61"/>
    </row>
    <row r="14" spans="2:4" ht="12.75">
      <c r="B14" s="61"/>
      <c r="C14" s="61"/>
      <c r="D14" s="61"/>
    </row>
    <row r="15" ht="12.75">
      <c r="A15" s="2" t="s">
        <v>82</v>
      </c>
    </row>
    <row r="16" spans="1:4" ht="12.75">
      <c r="A16" t="s">
        <v>80</v>
      </c>
      <c r="B16">
        <f>B6+0.5*B7</f>
        <v>518</v>
      </c>
      <c r="C16">
        <f>C6+0.5*C7</f>
        <v>7025</v>
      </c>
      <c r="D16">
        <f>SUM(B16:C16)</f>
        <v>7543</v>
      </c>
    </row>
    <row r="17" spans="1:4" ht="12.75">
      <c r="A17" t="s">
        <v>79</v>
      </c>
      <c r="B17" s="61">
        <f>(D6/D16)*B16</f>
        <v>508.1797693225507</v>
      </c>
      <c r="C17" s="61">
        <f>(D6/D16)*C16</f>
        <v>6891.820230677449</v>
      </c>
      <c r="D17" s="61">
        <f>SUM(B17:C17)</f>
        <v>7400</v>
      </c>
    </row>
    <row r="18" spans="1:4" ht="12.75">
      <c r="A18" t="s">
        <v>123</v>
      </c>
      <c r="B18" s="147">
        <f>(B17-B6)/B7</f>
        <v>0.22721581451529793</v>
      </c>
      <c r="C18" s="147">
        <f>(C17-C6)/C7</f>
        <v>-0.03271907729020313</v>
      </c>
      <c r="D18" s="61"/>
    </row>
    <row r="19" spans="2:4" ht="12.75">
      <c r="B19" s="147"/>
      <c r="C19" s="147"/>
      <c r="D19" s="61"/>
    </row>
    <row r="20" spans="1:4" ht="12.75">
      <c r="A20" s="2" t="s">
        <v>85</v>
      </c>
      <c r="B20" s="147"/>
      <c r="C20" s="147"/>
      <c r="D20" s="61"/>
    </row>
    <row r="21" spans="1:4" ht="12.75">
      <c r="A21" s="144" t="s">
        <v>86</v>
      </c>
      <c r="B21" s="148">
        <f>B12</f>
        <v>516.0551652354931</v>
      </c>
      <c r="C21" s="147"/>
      <c r="D21" s="61"/>
    </row>
    <row r="22" spans="1:4" ht="12.75">
      <c r="A22" s="144" t="s">
        <v>87</v>
      </c>
      <c r="B22" s="148">
        <f>B17</f>
        <v>508.1797693225507</v>
      </c>
      <c r="C22" s="147"/>
      <c r="D22" s="61"/>
    </row>
    <row r="23" spans="1:4" ht="12.75">
      <c r="A23" t="s">
        <v>88</v>
      </c>
      <c r="B23" s="148">
        <f>B21-B22</f>
        <v>7.875395912942338</v>
      </c>
      <c r="C23" s="147"/>
      <c r="D23" s="61"/>
    </row>
    <row r="24" spans="1:4" ht="12.75">
      <c r="A24" t="s">
        <v>89</v>
      </c>
      <c r="B24" s="80">
        <f>B23/B7</f>
        <v>0.21876099758173162</v>
      </c>
      <c r="C24" s="147"/>
      <c r="D24" s="61"/>
    </row>
    <row r="26" ht="12.75">
      <c r="A26" s="2" t="s">
        <v>99</v>
      </c>
    </row>
    <row r="27" spans="1:4" ht="12.75">
      <c r="A27" t="s">
        <v>80</v>
      </c>
      <c r="B27">
        <f>B16</f>
        <v>518</v>
      </c>
      <c r="C27">
        <f>C11</f>
        <v>7150</v>
      </c>
      <c r="D27">
        <f>SUM(B27:C27)</f>
        <v>7668</v>
      </c>
    </row>
    <row r="28" spans="1:4" ht="12.75">
      <c r="A28" t="s">
        <v>79</v>
      </c>
      <c r="B28" s="61">
        <f>(D6/D27)*B27</f>
        <v>499.89567031820553</v>
      </c>
      <c r="C28" s="61">
        <f>(D6/D27)*C27</f>
        <v>6900.104329681794</v>
      </c>
      <c r="D28">
        <f>SUM(B28:C28)</f>
        <v>7400</v>
      </c>
    </row>
    <row r="29" spans="1:3" ht="12.75">
      <c r="A29" t="s">
        <v>123</v>
      </c>
      <c r="B29" s="147">
        <f>(B28-B6)/B7</f>
        <v>-0.002898046716512997</v>
      </c>
      <c r="C29" s="147">
        <f>(C28-C6)/C7</f>
        <v>0.0004173187271771894</v>
      </c>
    </row>
    <row r="31" ht="12.75">
      <c r="A31" s="2" t="s">
        <v>90</v>
      </c>
    </row>
    <row r="32" spans="1:2" ht="12.75">
      <c r="A32" s="144" t="s">
        <v>93</v>
      </c>
      <c r="B32" s="61">
        <f>B12</f>
        <v>516.0551652354931</v>
      </c>
    </row>
    <row r="33" spans="1:2" ht="12.75">
      <c r="A33" s="144" t="s">
        <v>98</v>
      </c>
      <c r="B33" s="61">
        <f>B28</f>
        <v>499.89567031820553</v>
      </c>
    </row>
    <row r="34" spans="1:2" ht="12.75">
      <c r="A34" t="s">
        <v>88</v>
      </c>
      <c r="B34" s="150">
        <f>B32-B33</f>
        <v>16.15949491728753</v>
      </c>
    </row>
    <row r="35" spans="1:2" ht="12.75">
      <c r="A35" t="s">
        <v>89</v>
      </c>
      <c r="B35" s="183">
        <f>B34/B7</f>
        <v>0.44887485881354255</v>
      </c>
    </row>
    <row r="39" ht="12.75">
      <c r="A39" s="2" t="s">
        <v>124</v>
      </c>
    </row>
    <row r="40" spans="1:4" ht="12.75">
      <c r="A40" t="s">
        <v>94</v>
      </c>
      <c r="B40">
        <f>B16</f>
        <v>518</v>
      </c>
      <c r="C40">
        <f>C11</f>
        <v>7150</v>
      </c>
      <c r="D40">
        <f>SUM(B40:C40)</f>
        <v>7668</v>
      </c>
    </row>
    <row r="41" spans="1:4" ht="12.75">
      <c r="A41" t="s">
        <v>95</v>
      </c>
      <c r="B41" s="61">
        <f>(D6/D40)*B40</f>
        <v>499.89567031820553</v>
      </c>
      <c r="C41" s="61">
        <f>(D6/D40)*C40</f>
        <v>6900.104329681794</v>
      </c>
      <c r="D41">
        <f>SUM(B41:C41)</f>
        <v>7400</v>
      </c>
    </row>
    <row r="42" spans="1:3" ht="12.75">
      <c r="A42" t="s">
        <v>125</v>
      </c>
      <c r="B42" s="149">
        <f>(B41-B6)/B7</f>
        <v>-0.002898046716512997</v>
      </c>
      <c r="C42" s="149">
        <f>(C41-C6)/C7</f>
        <v>0.0004173187271771894</v>
      </c>
    </row>
    <row r="44" ht="12.75">
      <c r="A44" s="2" t="s">
        <v>96</v>
      </c>
    </row>
    <row r="45" spans="1:2" ht="12.75">
      <c r="A45" s="144" t="s">
        <v>93</v>
      </c>
      <c r="B45" s="61">
        <f>B12</f>
        <v>516.0551652354931</v>
      </c>
    </row>
    <row r="46" spans="1:2" ht="12.75">
      <c r="A46" s="144" t="s">
        <v>126</v>
      </c>
      <c r="B46" s="61">
        <f>B41</f>
        <v>499.89567031820553</v>
      </c>
    </row>
    <row r="47" spans="1:2" ht="12.75">
      <c r="A47" t="s">
        <v>88</v>
      </c>
      <c r="B47" s="150">
        <f>B45-B46</f>
        <v>16.15949491728753</v>
      </c>
    </row>
    <row r="48" spans="1:2" ht="12.75">
      <c r="A48" t="s">
        <v>89</v>
      </c>
      <c r="B48" s="80">
        <f>B47/B7</f>
        <v>0.44887485881354255</v>
      </c>
    </row>
  </sheetData>
  <printOptions/>
  <pageMargins left="0.75" right="0.75" top="1" bottom="1" header="0.5" footer="0.5"/>
  <pageSetup horizontalDpi="600" verticalDpi="600" orientation="portrait" r:id="rId1"/>
  <headerFooter alignWithMargins="0">
    <oddHeader>&amp;CRegional Dialogue Workshop
Seattle City Light Handout
September 11, 2006</oddHeader>
  </headerFooter>
</worksheet>
</file>

<file path=xl/worksheets/sheet5.xml><?xml version="1.0" encoding="utf-8"?>
<worksheet xmlns="http://schemas.openxmlformats.org/spreadsheetml/2006/main" xmlns:r="http://schemas.openxmlformats.org/officeDocument/2006/relationships">
  <dimension ref="A2:D48"/>
  <sheetViews>
    <sheetView workbookViewId="0" topLeftCell="A1">
      <selection activeCell="A46" sqref="A1:IV16384"/>
    </sheetView>
  </sheetViews>
  <sheetFormatPr defaultColWidth="9.140625" defaultRowHeight="12.75"/>
  <cols>
    <col min="1" max="1" width="54.140625" style="0" customWidth="1"/>
    <col min="2" max="2" width="11.140625" style="0" customWidth="1"/>
    <col min="3" max="3" width="14.140625" style="0" customWidth="1"/>
    <col min="4" max="4" width="11.8515625" style="0" customWidth="1"/>
  </cols>
  <sheetData>
    <row r="2" ht="12.75">
      <c r="A2" s="1" t="s">
        <v>118</v>
      </c>
    </row>
    <row r="3" ht="12.75">
      <c r="A3" t="s">
        <v>73</v>
      </c>
    </row>
    <row r="4" ht="12.75">
      <c r="A4" t="s">
        <v>121</v>
      </c>
    </row>
    <row r="5" spans="2:4" ht="12.75">
      <c r="B5" s="145" t="s">
        <v>75</v>
      </c>
      <c r="C5" s="145" t="s">
        <v>74</v>
      </c>
      <c r="D5" s="145" t="s">
        <v>76</v>
      </c>
    </row>
    <row r="6" spans="1:4" ht="12.75">
      <c r="A6" t="s">
        <v>77</v>
      </c>
      <c r="B6">
        <v>500</v>
      </c>
      <c r="C6">
        <v>6900</v>
      </c>
      <c r="D6">
        <v>7400</v>
      </c>
    </row>
    <row r="7" spans="1:4" ht="12.75">
      <c r="A7" t="s">
        <v>78</v>
      </c>
      <c r="B7">
        <v>36</v>
      </c>
      <c r="C7">
        <v>250</v>
      </c>
      <c r="D7">
        <f>SUM(B7:C7)</f>
        <v>286</v>
      </c>
    </row>
    <row r="8" spans="1:3" ht="12.75">
      <c r="A8" t="s">
        <v>81</v>
      </c>
      <c r="B8" s="80">
        <f>B7/B6</f>
        <v>0.072</v>
      </c>
      <c r="C8" s="80">
        <f>C7/C6</f>
        <v>0.036231884057971016</v>
      </c>
    </row>
    <row r="9" spans="2:3" ht="12.75">
      <c r="B9" s="80"/>
      <c r="C9" s="80"/>
    </row>
    <row r="10" ht="12.75">
      <c r="A10" s="2" t="s">
        <v>100</v>
      </c>
    </row>
    <row r="11" spans="1:4" ht="12.75">
      <c r="A11" t="s">
        <v>80</v>
      </c>
      <c r="B11">
        <f>SUM(B6:B7)</f>
        <v>536</v>
      </c>
      <c r="C11">
        <f>C6+(0.5*C7)+(0.5*0.5*C7)</f>
        <v>7087.5</v>
      </c>
      <c r="D11">
        <f>SUM(B11:C11)</f>
        <v>7623.5</v>
      </c>
    </row>
    <row r="12" spans="1:4" ht="12.75">
      <c r="A12" t="s">
        <v>79</v>
      </c>
      <c r="B12" s="61">
        <f>(D6/D11)*B11</f>
        <v>520.2859578933561</v>
      </c>
      <c r="C12" s="61">
        <f>(D6/D11)*C11</f>
        <v>6879.714042106644</v>
      </c>
      <c r="D12" s="61">
        <f>SUM(B12:C12)</f>
        <v>7400</v>
      </c>
    </row>
    <row r="13" spans="1:4" ht="12.75">
      <c r="A13" t="s">
        <v>123</v>
      </c>
      <c r="B13" s="147">
        <f>(B12-B6)/B7</f>
        <v>0.5634988303710031</v>
      </c>
      <c r="C13" s="147">
        <f>(C12-C6)/C7</f>
        <v>-0.08114383157342309</v>
      </c>
      <c r="D13" s="61"/>
    </row>
    <row r="14" spans="2:4" ht="12.75">
      <c r="B14" s="61"/>
      <c r="C14" s="61"/>
      <c r="D14" s="61"/>
    </row>
    <row r="15" ht="12.75">
      <c r="A15" s="2" t="s">
        <v>127</v>
      </c>
    </row>
    <row r="16" spans="1:4" ht="12.75">
      <c r="A16" t="s">
        <v>80</v>
      </c>
      <c r="B16">
        <f>B6+0.5*B7</f>
        <v>518</v>
      </c>
      <c r="C16">
        <f>C6+(0.5*C7)+(0.5*0.5*C7)</f>
        <v>7087.5</v>
      </c>
      <c r="D16">
        <f>SUM(B16:C16)</f>
        <v>7605.5</v>
      </c>
    </row>
    <row r="17" spans="1:4" ht="12.75">
      <c r="A17" t="s">
        <v>79</v>
      </c>
      <c r="B17" s="61">
        <f>(D6/D16)*B16</f>
        <v>504.0036815462494</v>
      </c>
      <c r="C17" s="61">
        <f>(D6/D16)*C16</f>
        <v>6895.996318453751</v>
      </c>
      <c r="D17" s="61">
        <f>SUM(B17:C17)</f>
        <v>7400</v>
      </c>
    </row>
    <row r="18" spans="1:4" ht="12.75">
      <c r="A18" t="s">
        <v>123</v>
      </c>
      <c r="B18" s="147">
        <f>(B17-B6)/B7</f>
        <v>0.11121337628470623</v>
      </c>
      <c r="C18" s="147">
        <f>(C17-C6)/C7</f>
        <v>-0.016014726184996105</v>
      </c>
      <c r="D18" s="61"/>
    </row>
    <row r="19" spans="2:4" ht="12.75">
      <c r="B19" s="147"/>
      <c r="C19" s="147"/>
      <c r="D19" s="61"/>
    </row>
    <row r="20" spans="1:4" ht="12.75">
      <c r="A20" s="2" t="s">
        <v>101</v>
      </c>
      <c r="B20" s="147"/>
      <c r="C20" s="147"/>
      <c r="D20" s="61"/>
    </row>
    <row r="21" spans="1:4" ht="12.75">
      <c r="A21" s="144" t="s">
        <v>102</v>
      </c>
      <c r="B21" s="148">
        <f>B12</f>
        <v>520.2859578933561</v>
      </c>
      <c r="C21" s="147"/>
      <c r="D21" s="61"/>
    </row>
    <row r="22" spans="1:4" ht="12.75">
      <c r="A22" s="144" t="s">
        <v>103</v>
      </c>
      <c r="B22" s="148">
        <f>B17</f>
        <v>504.0036815462494</v>
      </c>
      <c r="C22" s="147"/>
      <c r="D22" s="61"/>
    </row>
    <row r="23" spans="1:4" ht="12.75">
      <c r="A23" t="s">
        <v>88</v>
      </c>
      <c r="B23" s="148">
        <f>B21-B22</f>
        <v>16.282276347106688</v>
      </c>
      <c r="C23" s="147"/>
      <c r="D23" s="61"/>
    </row>
    <row r="24" spans="1:4" ht="12.75">
      <c r="A24" t="s">
        <v>89</v>
      </c>
      <c r="B24" s="80">
        <f>B23/B7</f>
        <v>0.4522854540862969</v>
      </c>
      <c r="C24" s="147"/>
      <c r="D24" s="61"/>
    </row>
    <row r="26" ht="12.75">
      <c r="A26" s="2" t="s">
        <v>99</v>
      </c>
    </row>
    <row r="27" spans="1:4" ht="12.75">
      <c r="A27" t="s">
        <v>80</v>
      </c>
      <c r="B27">
        <f>B16</f>
        <v>518</v>
      </c>
      <c r="C27">
        <f>C11</f>
        <v>7087.5</v>
      </c>
      <c r="D27">
        <f>SUM(B27:C27)</f>
        <v>7605.5</v>
      </c>
    </row>
    <row r="28" spans="1:4" ht="12.75">
      <c r="A28" t="s">
        <v>79</v>
      </c>
      <c r="B28" s="61">
        <f>(D6/D27)*B27</f>
        <v>504.0036815462494</v>
      </c>
      <c r="C28" s="61">
        <f>(D6/D27)*C27</f>
        <v>6895.996318453751</v>
      </c>
      <c r="D28">
        <f>SUM(B28:C28)</f>
        <v>7400</v>
      </c>
    </row>
    <row r="29" spans="1:3" ht="12.75">
      <c r="A29" t="s">
        <v>123</v>
      </c>
      <c r="B29" s="147">
        <f>(B28-B6)/B7</f>
        <v>0.11121337628470623</v>
      </c>
      <c r="C29" s="147">
        <f>(C28-C6)/C7</f>
        <v>-0.016014726184996105</v>
      </c>
    </row>
    <row r="31" ht="12.75">
      <c r="A31" s="2" t="s">
        <v>90</v>
      </c>
    </row>
    <row r="32" spans="1:2" ht="12.75">
      <c r="A32" s="144" t="s">
        <v>93</v>
      </c>
      <c r="B32" s="61">
        <f>B12</f>
        <v>520.2859578933561</v>
      </c>
    </row>
    <row r="33" spans="1:2" ht="12.75">
      <c r="A33" s="144" t="s">
        <v>98</v>
      </c>
      <c r="B33" s="61">
        <f>B28</f>
        <v>504.0036815462494</v>
      </c>
    </row>
    <row r="34" spans="1:2" ht="12.75">
      <c r="A34" t="s">
        <v>88</v>
      </c>
      <c r="B34" s="150">
        <f>B32-B33</f>
        <v>16.282276347106688</v>
      </c>
    </row>
    <row r="35" spans="1:2" ht="12.75">
      <c r="A35" t="s">
        <v>89</v>
      </c>
      <c r="B35" s="80">
        <f>B34/B7</f>
        <v>0.4522854540862969</v>
      </c>
    </row>
    <row r="39" ht="12.75">
      <c r="A39" s="2" t="s">
        <v>124</v>
      </c>
    </row>
    <row r="40" spans="1:4" ht="12.75">
      <c r="A40" t="s">
        <v>94</v>
      </c>
      <c r="B40">
        <f>B16</f>
        <v>518</v>
      </c>
      <c r="C40">
        <f>C11</f>
        <v>7087.5</v>
      </c>
      <c r="D40">
        <f>SUM(B40:C40)</f>
        <v>7605.5</v>
      </c>
    </row>
    <row r="41" spans="1:4" ht="12.75">
      <c r="A41" t="s">
        <v>95</v>
      </c>
      <c r="B41" s="61">
        <f>(D6/D40)*B40</f>
        <v>504.0036815462494</v>
      </c>
      <c r="C41" s="61">
        <f>(D6/D40)*C40</f>
        <v>6895.996318453751</v>
      </c>
      <c r="D41">
        <f>SUM(B41:C41)</f>
        <v>7400</v>
      </c>
    </row>
    <row r="42" spans="1:3" ht="12.75">
      <c r="A42" t="s">
        <v>125</v>
      </c>
      <c r="B42" s="149">
        <f>(B41-B6)/B7</f>
        <v>0.11121337628470623</v>
      </c>
      <c r="C42" s="149">
        <f>(C41-C6)/C7</f>
        <v>-0.016014726184996105</v>
      </c>
    </row>
    <row r="44" ht="12.75">
      <c r="A44" s="2" t="s">
        <v>96</v>
      </c>
    </row>
    <row r="45" spans="1:2" ht="12.75">
      <c r="A45" s="144" t="s">
        <v>93</v>
      </c>
      <c r="B45" s="61">
        <f>B12</f>
        <v>520.2859578933561</v>
      </c>
    </row>
    <row r="46" spans="1:2" ht="12.75">
      <c r="A46" s="144" t="s">
        <v>126</v>
      </c>
      <c r="B46" s="61">
        <f>B41</f>
        <v>504.0036815462494</v>
      </c>
    </row>
    <row r="47" spans="1:2" ht="12.75">
      <c r="A47" t="s">
        <v>88</v>
      </c>
      <c r="B47" s="150">
        <f>B45-B46</f>
        <v>16.282276347106688</v>
      </c>
    </row>
    <row r="48" spans="1:2" ht="12.75">
      <c r="A48" t="s">
        <v>89</v>
      </c>
      <c r="B48" s="80">
        <f>B47/B7</f>
        <v>0.4522854540862969</v>
      </c>
    </row>
  </sheetData>
  <printOptions/>
  <pageMargins left="0.75" right="0.75" top="1" bottom="1" header="0.5" footer="0.5"/>
  <pageSetup horizontalDpi="600" verticalDpi="600" orientation="portrait" r:id="rId1"/>
  <headerFooter alignWithMargins="0">
    <oddHeader>&amp;CRegional Dialogue Workshop
Seattle City Light Handout
September 11, 2006</oddHeader>
  </headerFooter>
</worksheet>
</file>

<file path=xl/worksheets/sheet6.xml><?xml version="1.0" encoding="utf-8"?>
<worksheet xmlns="http://schemas.openxmlformats.org/spreadsheetml/2006/main" xmlns:r="http://schemas.openxmlformats.org/officeDocument/2006/relationships">
  <dimension ref="A2:D35"/>
  <sheetViews>
    <sheetView workbookViewId="0" topLeftCell="A1">
      <selection activeCell="A13" sqref="A1:IV16384"/>
    </sheetView>
  </sheetViews>
  <sheetFormatPr defaultColWidth="9.140625" defaultRowHeight="12.75"/>
  <cols>
    <col min="1" max="1" width="49.57421875" style="0" customWidth="1"/>
    <col min="2" max="2" width="12.00390625" style="0" customWidth="1"/>
    <col min="3" max="3" width="14.140625" style="0" customWidth="1"/>
    <col min="4" max="4" width="11.8515625" style="0" customWidth="1"/>
  </cols>
  <sheetData>
    <row r="2" ht="12.75">
      <c r="A2" s="1" t="s">
        <v>118</v>
      </c>
    </row>
    <row r="3" ht="12.75">
      <c r="A3" t="s">
        <v>73</v>
      </c>
    </row>
    <row r="4" ht="12.75">
      <c r="A4" t="s">
        <v>122</v>
      </c>
    </row>
    <row r="5" spans="2:4" ht="12.75">
      <c r="B5" s="145" t="s">
        <v>75</v>
      </c>
      <c r="C5" s="145" t="s">
        <v>74</v>
      </c>
      <c r="D5" s="145" t="s">
        <v>76</v>
      </c>
    </row>
    <row r="6" spans="1:4" ht="12.75">
      <c r="A6" t="s">
        <v>77</v>
      </c>
      <c r="B6">
        <v>424</v>
      </c>
      <c r="C6">
        <f>D6-B6</f>
        <v>6976</v>
      </c>
      <c r="D6">
        <v>7400</v>
      </c>
    </row>
    <row r="7" spans="1:4" ht="12.75">
      <c r="A7" t="s">
        <v>78</v>
      </c>
      <c r="B7">
        <v>26</v>
      </c>
      <c r="C7">
        <v>260</v>
      </c>
      <c r="D7">
        <f>SUM(B7:C7)</f>
        <v>286</v>
      </c>
    </row>
    <row r="8" spans="1:3" ht="12.75">
      <c r="A8" t="s">
        <v>81</v>
      </c>
      <c r="B8" s="80">
        <f>B7/B6</f>
        <v>0.06132075471698113</v>
      </c>
      <c r="C8" s="80">
        <f>C7/C6</f>
        <v>0.03727064220183486</v>
      </c>
    </row>
    <row r="9" spans="2:3" ht="12.75">
      <c r="B9" s="80"/>
      <c r="C9" s="80"/>
    </row>
    <row r="10" ht="12.75">
      <c r="A10" s="2" t="s">
        <v>84</v>
      </c>
    </row>
    <row r="11" spans="1:4" ht="12.75">
      <c r="A11" t="s">
        <v>80</v>
      </c>
      <c r="B11">
        <f>SUM(B6:B7)</f>
        <v>450</v>
      </c>
      <c r="C11">
        <f>SUM(C6:C7)</f>
        <v>7236</v>
      </c>
      <c r="D11">
        <f>SUM(B11:C11)</f>
        <v>7686</v>
      </c>
    </row>
    <row r="12" spans="1:4" ht="12.75">
      <c r="A12" t="s">
        <v>79</v>
      </c>
      <c r="B12" s="61">
        <f>(D6/D11)*B11</f>
        <v>433.25526932084307</v>
      </c>
      <c r="C12" s="61">
        <f>(D6/D11)*C11</f>
        <v>6966.744730679157</v>
      </c>
      <c r="D12" s="61">
        <f>SUM(B12:C12)</f>
        <v>7400</v>
      </c>
    </row>
    <row r="13" spans="1:4" ht="12.75">
      <c r="A13" t="s">
        <v>123</v>
      </c>
      <c r="B13" s="147">
        <f>(B12-B6)/B7</f>
        <v>0.3559718969555027</v>
      </c>
      <c r="C13" s="147">
        <f>(C12-C6)/C7</f>
        <v>-0.03559718969554874</v>
      </c>
      <c r="D13" s="61"/>
    </row>
    <row r="14" spans="2:4" ht="12.75">
      <c r="B14" s="61"/>
      <c r="C14" s="61"/>
      <c r="D14" s="61"/>
    </row>
    <row r="15" ht="12.75">
      <c r="A15" s="2" t="s">
        <v>82</v>
      </c>
    </row>
    <row r="16" spans="1:4" ht="12.75">
      <c r="A16" t="s">
        <v>80</v>
      </c>
      <c r="B16">
        <f>B6+0.5*B7</f>
        <v>437</v>
      </c>
      <c r="C16">
        <f>C6+0.5*C7</f>
        <v>7106</v>
      </c>
      <c r="D16">
        <f>SUM(B16:C16)</f>
        <v>7543</v>
      </c>
    </row>
    <row r="17" spans="1:4" ht="12.75">
      <c r="A17" t="s">
        <v>79</v>
      </c>
      <c r="B17" s="61">
        <f>(D6/D16)*B16</f>
        <v>428.7153652392947</v>
      </c>
      <c r="C17" s="61">
        <f>(D6/D16)*C16</f>
        <v>6971.284634760706</v>
      </c>
      <c r="D17" s="61">
        <f>SUM(B17:C17)</f>
        <v>7400</v>
      </c>
    </row>
    <row r="18" spans="1:4" ht="12.75">
      <c r="A18" t="s">
        <v>123</v>
      </c>
      <c r="B18" s="147">
        <f>(B17-B6)/B7</f>
        <v>0.18136020151133564</v>
      </c>
      <c r="C18" s="147">
        <f>(C17-C6)/C7</f>
        <v>-0.01813602015113247</v>
      </c>
      <c r="D18" s="61"/>
    </row>
    <row r="19" spans="2:4" ht="12.75">
      <c r="B19" s="147"/>
      <c r="C19" s="147"/>
      <c r="D19" s="61"/>
    </row>
    <row r="20" spans="1:4" ht="12.75">
      <c r="A20" s="2" t="s">
        <v>85</v>
      </c>
      <c r="B20" s="147"/>
      <c r="C20" s="147"/>
      <c r="D20" s="61"/>
    </row>
    <row r="21" spans="1:4" ht="12.75">
      <c r="A21" s="144" t="s">
        <v>86</v>
      </c>
      <c r="B21" s="148">
        <f>B12</f>
        <v>433.25526932084307</v>
      </c>
      <c r="C21" s="147"/>
      <c r="D21" s="61"/>
    </row>
    <row r="22" spans="1:4" ht="12.75">
      <c r="A22" s="144" t="s">
        <v>87</v>
      </c>
      <c r="B22" s="148">
        <f>B17</f>
        <v>428.7153652392947</v>
      </c>
      <c r="C22" s="147"/>
      <c r="D22" s="61"/>
    </row>
    <row r="23" spans="1:4" ht="12.75">
      <c r="A23" t="s">
        <v>88</v>
      </c>
      <c r="B23" s="148">
        <f>B21-B22</f>
        <v>4.539904081548343</v>
      </c>
      <c r="C23" s="147"/>
      <c r="D23" s="61"/>
    </row>
    <row r="24" spans="1:4" ht="12.75">
      <c r="A24" t="s">
        <v>89</v>
      </c>
      <c r="B24" s="80">
        <f>B23/B7</f>
        <v>0.17461169544416705</v>
      </c>
      <c r="C24" s="147"/>
      <c r="D24" s="61"/>
    </row>
    <row r="26" ht="12.75">
      <c r="A26" s="2" t="s">
        <v>83</v>
      </c>
    </row>
    <row r="27" spans="1:4" ht="12.75">
      <c r="A27" t="s">
        <v>80</v>
      </c>
      <c r="B27">
        <f>B11</f>
        <v>450</v>
      </c>
      <c r="C27">
        <f>C16</f>
        <v>7106</v>
      </c>
      <c r="D27">
        <f>SUM(B27:C27)</f>
        <v>7556</v>
      </c>
    </row>
    <row r="28" spans="1:4" ht="12.75">
      <c r="A28" t="s">
        <v>79</v>
      </c>
      <c r="B28" s="61">
        <f>(D6/D27)*B27</f>
        <v>440.70937003705666</v>
      </c>
      <c r="C28" s="61">
        <f>(D6/D27)*C27</f>
        <v>6959.290629962943</v>
      </c>
      <c r="D28">
        <f>SUM(B28:C28)</f>
        <v>7400</v>
      </c>
    </row>
    <row r="29" spans="1:3" ht="12.75">
      <c r="A29" t="s">
        <v>123</v>
      </c>
      <c r="B29" s="147">
        <f>(B28-B6)/B7</f>
        <v>0.642668078348333</v>
      </c>
      <c r="C29" s="147">
        <f>(C28-C6)/C7</f>
        <v>-0.06426680783483439</v>
      </c>
    </row>
    <row r="31" ht="12.75">
      <c r="A31" s="2" t="s">
        <v>90</v>
      </c>
    </row>
    <row r="32" spans="1:2" ht="12.75">
      <c r="A32" s="144" t="s">
        <v>91</v>
      </c>
      <c r="B32" s="61">
        <f>B28</f>
        <v>440.70937003705666</v>
      </c>
    </row>
    <row r="33" spans="1:2" ht="12.75">
      <c r="A33" s="144" t="s">
        <v>87</v>
      </c>
      <c r="B33" s="61">
        <f>B17</f>
        <v>428.7153652392947</v>
      </c>
    </row>
    <row r="34" spans="1:2" ht="12.75">
      <c r="A34" t="s">
        <v>88</v>
      </c>
      <c r="B34" s="148">
        <f>B32-B33</f>
        <v>11.994004797761932</v>
      </c>
    </row>
    <row r="35" spans="1:2" ht="12.75">
      <c r="A35" t="s">
        <v>89</v>
      </c>
      <c r="B35" s="80">
        <f>B34/B7</f>
        <v>0.46130787683699737</v>
      </c>
    </row>
  </sheetData>
  <printOptions/>
  <pageMargins left="0.75" right="0.75" top="1" bottom="1" header="0.5" footer="0.5"/>
  <pageSetup horizontalDpi="600" verticalDpi="600" orientation="portrait" r:id="rId1"/>
  <headerFooter alignWithMargins="0">
    <oddHeader>&amp;CRegional Dialogue Workshop
Seattle City Light Handout
September 11, 2006</oddHeader>
  </headerFooter>
</worksheet>
</file>

<file path=xl/worksheets/sheet7.xml><?xml version="1.0" encoding="utf-8"?>
<worksheet xmlns="http://schemas.openxmlformats.org/spreadsheetml/2006/main" xmlns:r="http://schemas.openxmlformats.org/officeDocument/2006/relationships">
  <dimension ref="A2:D48"/>
  <sheetViews>
    <sheetView workbookViewId="0" topLeftCell="A1">
      <selection activeCell="A46" sqref="A1:IV16384"/>
    </sheetView>
  </sheetViews>
  <sheetFormatPr defaultColWidth="9.140625" defaultRowHeight="12.75"/>
  <cols>
    <col min="1" max="1" width="49.57421875" style="0" customWidth="1"/>
    <col min="2" max="2" width="12.00390625" style="0" customWidth="1"/>
    <col min="3" max="3" width="14.140625" style="0" customWidth="1"/>
    <col min="4" max="4" width="11.8515625" style="0" customWidth="1"/>
  </cols>
  <sheetData>
    <row r="2" ht="12.75">
      <c r="A2" s="1" t="s">
        <v>92</v>
      </c>
    </row>
    <row r="3" ht="12.75">
      <c r="A3" t="s">
        <v>73</v>
      </c>
    </row>
    <row r="5" spans="2:4" ht="12.75">
      <c r="B5" s="145" t="s">
        <v>75</v>
      </c>
      <c r="C5" s="145" t="s">
        <v>74</v>
      </c>
      <c r="D5" s="145" t="s">
        <v>76</v>
      </c>
    </row>
    <row r="6" spans="1:4" ht="12.75">
      <c r="A6" t="s">
        <v>77</v>
      </c>
      <c r="B6">
        <v>500</v>
      </c>
      <c r="C6">
        <v>6900</v>
      </c>
      <c r="D6">
        <v>7400</v>
      </c>
    </row>
    <row r="7" spans="1:4" ht="12.75">
      <c r="A7" t="s">
        <v>78</v>
      </c>
      <c r="B7">
        <v>36</v>
      </c>
      <c r="C7">
        <v>250</v>
      </c>
      <c r="D7">
        <f>SUM(B7:C7)</f>
        <v>286</v>
      </c>
    </row>
    <row r="8" spans="1:3" ht="12.75">
      <c r="A8" t="s">
        <v>81</v>
      </c>
      <c r="B8" s="80">
        <f>B7/B6</f>
        <v>0.072</v>
      </c>
      <c r="C8" s="80">
        <f>C7/C6</f>
        <v>0.036231884057971016</v>
      </c>
    </row>
    <row r="9" spans="2:3" ht="12.75">
      <c r="B9" s="80"/>
      <c r="C9" s="80"/>
    </row>
    <row r="10" ht="12.75">
      <c r="A10" s="2" t="s">
        <v>84</v>
      </c>
    </row>
    <row r="11" spans="1:4" ht="12.75">
      <c r="A11" t="s">
        <v>80</v>
      </c>
      <c r="B11">
        <f>SUM(B6:B7)</f>
        <v>536</v>
      </c>
      <c r="C11">
        <f>SUM(C6:C7)</f>
        <v>7150</v>
      </c>
      <c r="D11">
        <f>SUM(B11:C11)</f>
        <v>7686</v>
      </c>
    </row>
    <row r="12" spans="1:4" ht="12.75">
      <c r="A12" t="s">
        <v>79</v>
      </c>
      <c r="B12" s="61">
        <f>(D6/D11)*B11</f>
        <v>516.0551652354931</v>
      </c>
      <c r="C12" s="61">
        <f>(D6/D11)*C11</f>
        <v>6883.944834764507</v>
      </c>
      <c r="D12" s="61">
        <f>SUM(B12:C12)</f>
        <v>7400</v>
      </c>
    </row>
    <row r="13" spans="1:4" ht="12.75">
      <c r="A13" t="s">
        <v>123</v>
      </c>
      <c r="B13" s="147">
        <f>(B12-B6)/B7</f>
        <v>0.44597681209702955</v>
      </c>
      <c r="C13" s="147">
        <f>(C12-C6)/C7</f>
        <v>-0.06422066094197362</v>
      </c>
      <c r="D13" s="61"/>
    </row>
    <row r="14" spans="2:4" ht="12.75">
      <c r="B14" s="61"/>
      <c r="C14" s="61"/>
      <c r="D14" s="61"/>
    </row>
    <row r="15" ht="12.75">
      <c r="A15" s="2" t="s">
        <v>97</v>
      </c>
    </row>
    <row r="16" spans="1:4" ht="12.75">
      <c r="A16" t="s">
        <v>80</v>
      </c>
      <c r="B16">
        <f>B6+0.75*B7</f>
        <v>527</v>
      </c>
      <c r="C16">
        <f>C6+0.75*C7</f>
        <v>7087.5</v>
      </c>
      <c r="D16">
        <f>SUM(B16:C16)</f>
        <v>7614.5</v>
      </c>
    </row>
    <row r="17" spans="1:4" ht="12.75">
      <c r="A17" t="s">
        <v>79</v>
      </c>
      <c r="B17" s="61">
        <f>(D6/D16)*B16</f>
        <v>512.1544421826778</v>
      </c>
      <c r="C17" s="61">
        <f>(D6/D16)*C16</f>
        <v>6887.845557817322</v>
      </c>
      <c r="D17" s="61">
        <f>SUM(B17:C17)</f>
        <v>7399.999999999999</v>
      </c>
    </row>
    <row r="18" spans="1:4" ht="12.75">
      <c r="A18" t="s">
        <v>123</v>
      </c>
      <c r="B18" s="147">
        <f>(B17-B6)/B7</f>
        <v>0.33762339396327296</v>
      </c>
      <c r="C18" s="147">
        <f>(C17-C6)/C7</f>
        <v>-0.04861776873071358</v>
      </c>
      <c r="D18" s="61"/>
    </row>
    <row r="19" spans="2:4" ht="12.75">
      <c r="B19" s="147"/>
      <c r="C19" s="147"/>
      <c r="D19" s="61"/>
    </row>
    <row r="20" spans="1:4" ht="12.75">
      <c r="A20" s="2" t="s">
        <v>85</v>
      </c>
      <c r="B20" s="147"/>
      <c r="C20" s="147"/>
      <c r="D20" s="61"/>
    </row>
    <row r="21" spans="1:4" ht="12.75">
      <c r="A21" s="144" t="s">
        <v>86</v>
      </c>
      <c r="B21" s="148">
        <f>B12</f>
        <v>516.0551652354931</v>
      </c>
      <c r="C21" s="147"/>
      <c r="D21" s="61"/>
    </row>
    <row r="22" spans="1:4" ht="12.75">
      <c r="A22" s="144" t="s">
        <v>87</v>
      </c>
      <c r="B22" s="148">
        <f>B17</f>
        <v>512.1544421826778</v>
      </c>
      <c r="C22" s="147"/>
      <c r="D22" s="61"/>
    </row>
    <row r="23" spans="1:4" ht="12.75">
      <c r="A23" t="s">
        <v>88</v>
      </c>
      <c r="B23" s="148">
        <f>B21-B22</f>
        <v>3.9007230528152377</v>
      </c>
      <c r="C23" s="147"/>
      <c r="D23" s="61"/>
    </row>
    <row r="24" spans="1:4" ht="12.75">
      <c r="A24" t="s">
        <v>89</v>
      </c>
      <c r="B24" s="80">
        <f>B23/B7</f>
        <v>0.1083534181337566</v>
      </c>
      <c r="C24" s="147"/>
      <c r="D24" s="61"/>
    </row>
    <row r="26" ht="12.75">
      <c r="A26" s="2" t="s">
        <v>83</v>
      </c>
    </row>
    <row r="27" spans="1:4" ht="12.75">
      <c r="A27" t="s">
        <v>80</v>
      </c>
      <c r="B27">
        <f>B11</f>
        <v>536</v>
      </c>
      <c r="C27">
        <f>C16</f>
        <v>7087.5</v>
      </c>
      <c r="D27">
        <f>SUM(B27:C27)</f>
        <v>7623.5</v>
      </c>
    </row>
    <row r="28" spans="1:4" ht="12.75">
      <c r="A28" t="s">
        <v>79</v>
      </c>
      <c r="B28" s="61">
        <f>(D6/D27)*B27</f>
        <v>520.2859578933561</v>
      </c>
      <c r="C28" s="61">
        <f>(D6/D27)*C27</f>
        <v>6879.714042106644</v>
      </c>
      <c r="D28">
        <f>SUM(B28:C28)</f>
        <v>7400</v>
      </c>
    </row>
    <row r="29" spans="1:3" ht="12.75">
      <c r="A29" t="s">
        <v>123</v>
      </c>
      <c r="B29" s="147">
        <f>(B28-B6)/B7</f>
        <v>0.5634988303710031</v>
      </c>
      <c r="C29" s="147">
        <f>(C28-C6)/C7</f>
        <v>-0.08114383157342309</v>
      </c>
    </row>
    <row r="31" ht="12.75">
      <c r="A31" s="2" t="s">
        <v>90</v>
      </c>
    </row>
    <row r="32" spans="1:2" ht="12.75">
      <c r="A32" s="144" t="s">
        <v>91</v>
      </c>
      <c r="B32" s="61">
        <f>B28</f>
        <v>520.2859578933561</v>
      </c>
    </row>
    <row r="33" spans="1:2" ht="12.75">
      <c r="A33" s="144" t="s">
        <v>87</v>
      </c>
      <c r="B33" s="61">
        <f>B17</f>
        <v>512.1544421826778</v>
      </c>
    </row>
    <row r="34" spans="1:2" ht="12.75">
      <c r="A34" t="s">
        <v>88</v>
      </c>
      <c r="B34" s="150">
        <f>B32-B33</f>
        <v>8.131515710678286</v>
      </c>
    </row>
    <row r="35" spans="1:2" ht="12.75">
      <c r="A35" t="s">
        <v>89</v>
      </c>
      <c r="B35" s="80">
        <f>B34/B7</f>
        <v>0.22587543640773017</v>
      </c>
    </row>
    <row r="39" ht="12.75">
      <c r="A39" s="2" t="s">
        <v>124</v>
      </c>
    </row>
    <row r="40" spans="1:4" ht="12.75">
      <c r="A40" t="s">
        <v>94</v>
      </c>
      <c r="B40">
        <f>B16</f>
        <v>527</v>
      </c>
      <c r="C40">
        <f>C11</f>
        <v>7150</v>
      </c>
      <c r="D40">
        <f>SUM(B40:C40)</f>
        <v>7677</v>
      </c>
    </row>
    <row r="41" spans="1:4" ht="12.75">
      <c r="A41" t="s">
        <v>95</v>
      </c>
      <c r="B41" s="61">
        <f>(D6/D40)*B40</f>
        <v>507.9848899309626</v>
      </c>
      <c r="C41" s="61">
        <f>(D6/D40)*C40</f>
        <v>6892.015110069037</v>
      </c>
      <c r="D41">
        <f>SUM(B41:C41)</f>
        <v>7400</v>
      </c>
    </row>
    <row r="42" spans="1:3" ht="12.75">
      <c r="A42" t="s">
        <v>125</v>
      </c>
      <c r="B42" s="149">
        <f>(B41-B6)/B7</f>
        <v>0.2218024980822943</v>
      </c>
      <c r="C42" s="149">
        <f>(C41-C6)/C7</f>
        <v>-0.03193955972385083</v>
      </c>
    </row>
    <row r="44" ht="12.75">
      <c r="A44" s="2" t="s">
        <v>96</v>
      </c>
    </row>
    <row r="45" spans="1:2" ht="12.75">
      <c r="A45" s="144" t="s">
        <v>93</v>
      </c>
      <c r="B45" s="61">
        <f>B12</f>
        <v>516.0551652354931</v>
      </c>
    </row>
    <row r="46" spans="1:2" ht="12.75">
      <c r="A46" s="144" t="s">
        <v>126</v>
      </c>
      <c r="B46" s="61">
        <f>B41</f>
        <v>507.9848899309626</v>
      </c>
    </row>
    <row r="47" spans="1:2" ht="12.75">
      <c r="A47" t="s">
        <v>88</v>
      </c>
      <c r="B47" s="150">
        <f>B45-B46</f>
        <v>8.070275304530469</v>
      </c>
    </row>
    <row r="48" spans="1:2" ht="12.75">
      <c r="A48" t="s">
        <v>89</v>
      </c>
      <c r="B48" s="80">
        <f>B47/B7</f>
        <v>0.22417431401473525</v>
      </c>
    </row>
  </sheetData>
  <printOptions/>
  <pageMargins left="0.75" right="0.75" top="1" bottom="1" header="0.5" footer="0.5"/>
  <pageSetup horizontalDpi="600" verticalDpi="600" orientation="portrait" r:id="rId1"/>
  <headerFooter alignWithMargins="0">
    <oddHeader>&amp;CRegional Dialogue Workshop
Seattle City Light Handout
September 11, 2006</oddHeader>
  </headerFooter>
</worksheet>
</file>

<file path=xl/worksheets/sheet8.xml><?xml version="1.0" encoding="utf-8"?>
<worksheet xmlns="http://schemas.openxmlformats.org/spreadsheetml/2006/main" xmlns:r="http://schemas.openxmlformats.org/officeDocument/2006/relationships">
  <dimension ref="A1:N33"/>
  <sheetViews>
    <sheetView zoomScale="80" zoomScaleNormal="80" workbookViewId="0" topLeftCell="A1">
      <selection activeCell="H51" sqref="H51"/>
    </sheetView>
  </sheetViews>
  <sheetFormatPr defaultColWidth="9.140625" defaultRowHeight="12.75"/>
  <cols>
    <col min="1" max="1" width="17.00390625" style="0" customWidth="1"/>
    <col min="4" max="4" width="10.00390625" style="0" customWidth="1"/>
    <col min="9" max="9" width="9.7109375" style="0" customWidth="1"/>
    <col min="10" max="10" width="9.28125" style="0" bestFit="1" customWidth="1"/>
  </cols>
  <sheetData>
    <row r="1" ht="12.75">
      <c r="A1" t="s">
        <v>14</v>
      </c>
    </row>
    <row r="2" ht="12.75">
      <c r="A2" t="s">
        <v>15</v>
      </c>
    </row>
    <row r="3" ht="12.75">
      <c r="A3" t="s">
        <v>16</v>
      </c>
    </row>
    <row r="5" ht="12.75">
      <c r="A5" t="s">
        <v>17</v>
      </c>
    </row>
    <row r="7" spans="3:14" ht="12.75">
      <c r="C7" s="37"/>
      <c r="F7" s="37"/>
      <c r="H7" s="37"/>
      <c r="I7" s="37"/>
      <c r="J7" s="37"/>
      <c r="L7" s="37"/>
      <c r="N7" s="37"/>
    </row>
    <row r="8" spans="2:14" s="2" customFormat="1" ht="12.75">
      <c r="B8" s="2" t="s">
        <v>18</v>
      </c>
      <c r="C8" s="38"/>
      <c r="F8" s="38"/>
      <c r="H8" s="38"/>
      <c r="I8" s="38"/>
      <c r="J8" s="38"/>
      <c r="L8" s="38"/>
      <c r="M8" s="39"/>
      <c r="N8" s="40"/>
    </row>
    <row r="9" spans="2:14" ht="63.75">
      <c r="B9" s="25" t="s">
        <v>19</v>
      </c>
      <c r="C9" s="41" t="s">
        <v>20</v>
      </c>
      <c r="D9" s="25" t="s">
        <v>21</v>
      </c>
      <c r="E9" s="25" t="s">
        <v>22</v>
      </c>
      <c r="F9" s="41" t="s">
        <v>23</v>
      </c>
      <c r="G9" s="42" t="s">
        <v>24</v>
      </c>
      <c r="H9" s="43" t="s">
        <v>25</v>
      </c>
      <c r="I9" s="42" t="s">
        <v>63</v>
      </c>
      <c r="J9" s="43" t="s">
        <v>25</v>
      </c>
      <c r="K9" s="25" t="s">
        <v>26</v>
      </c>
      <c r="L9" s="41" t="s">
        <v>27</v>
      </c>
      <c r="M9" s="44" t="s">
        <v>28</v>
      </c>
      <c r="N9" s="45" t="s">
        <v>27</v>
      </c>
    </row>
    <row r="10" spans="2:14" ht="12.75">
      <c r="B10" s="25"/>
      <c r="C10" s="41"/>
      <c r="D10" s="25"/>
      <c r="E10" s="25"/>
      <c r="F10" s="41"/>
      <c r="G10" s="42"/>
      <c r="H10" s="43"/>
      <c r="I10" s="42"/>
      <c r="J10" s="43"/>
      <c r="K10" s="25"/>
      <c r="L10" s="41"/>
      <c r="M10" s="44"/>
      <c r="N10" s="45"/>
    </row>
    <row r="11" spans="1:14" ht="12.75">
      <c r="A11" t="s">
        <v>29</v>
      </c>
      <c r="B11" s="25"/>
      <c r="C11" s="41"/>
      <c r="D11" s="25"/>
      <c r="E11" s="25"/>
      <c r="F11" s="41"/>
      <c r="G11" s="42"/>
      <c r="H11" s="43"/>
      <c r="I11" s="42"/>
      <c r="J11" s="43"/>
      <c r="K11" s="25"/>
      <c r="L11" s="41"/>
      <c r="M11" s="44"/>
      <c r="N11" s="45"/>
    </row>
    <row r="12" spans="1:14" ht="12.75">
      <c r="A12" s="16" t="s">
        <v>30</v>
      </c>
      <c r="B12" s="25"/>
      <c r="C12" s="41"/>
      <c r="D12" s="25"/>
      <c r="E12" s="25"/>
      <c r="F12" s="46">
        <f>F17</f>
        <v>458.9498876338908</v>
      </c>
      <c r="G12" s="42"/>
      <c r="H12" s="47">
        <f>H17</f>
        <v>463.73884520075063</v>
      </c>
      <c r="I12" s="42"/>
      <c r="J12" s="47">
        <f>H17</f>
        <v>463.73884520075063</v>
      </c>
      <c r="K12" s="25"/>
      <c r="L12" s="46">
        <f>L17</f>
        <v>466.06771554079467</v>
      </c>
      <c r="M12" s="44"/>
      <c r="N12" s="48">
        <f>N17</f>
        <v>468.3544303797469</v>
      </c>
    </row>
    <row r="13" spans="1:14" ht="12.75">
      <c r="A13" s="16" t="s">
        <v>31</v>
      </c>
      <c r="C13" s="49"/>
      <c r="F13" s="49">
        <f>N17</f>
        <v>468.3544303797469</v>
      </c>
      <c r="G13" s="50"/>
      <c r="H13" s="51">
        <f>N17</f>
        <v>468.3544303797469</v>
      </c>
      <c r="I13" s="50"/>
      <c r="J13" s="51">
        <f>J17</f>
        <v>476.13600617689957</v>
      </c>
      <c r="L13" s="49">
        <f>N17</f>
        <v>468.3544303797469</v>
      </c>
      <c r="M13" s="52"/>
      <c r="N13" s="53">
        <f>N17</f>
        <v>468.3544303797469</v>
      </c>
    </row>
    <row r="14" spans="1:14" ht="12.75">
      <c r="A14" s="16" t="s">
        <v>32</v>
      </c>
      <c r="C14" s="49"/>
      <c r="F14" s="49">
        <f>F12-F13</f>
        <v>-9.404542745856077</v>
      </c>
      <c r="G14" s="50"/>
      <c r="H14" s="54">
        <f>H12-H13</f>
        <v>-4.615585178996241</v>
      </c>
      <c r="I14" s="50"/>
      <c r="J14" s="54">
        <f>J12-J13</f>
        <v>-12.397160976148939</v>
      </c>
      <c r="L14" s="49">
        <f>L12-L13</f>
        <v>-2.286714838952207</v>
      </c>
      <c r="M14" s="52"/>
      <c r="N14" s="49">
        <f>N12-N13</f>
        <v>0</v>
      </c>
    </row>
    <row r="15" spans="1:14" ht="12.75">
      <c r="A15" s="16" t="s">
        <v>33</v>
      </c>
      <c r="C15" s="49"/>
      <c r="F15" s="55">
        <f>F14/D17</f>
        <v>-0.33856353885081875</v>
      </c>
      <c r="G15" s="50"/>
      <c r="H15" s="55">
        <f>H14/D17</f>
        <v>-0.1661610664438647</v>
      </c>
      <c r="I15" s="50"/>
      <c r="J15" s="55">
        <f>J14/D17</f>
        <v>-0.4462977951413618</v>
      </c>
      <c r="L15" s="56">
        <f>L14/D17</f>
        <v>-0.08232173420227945</v>
      </c>
      <c r="M15" s="52"/>
      <c r="N15" s="57">
        <f>N14/F17</f>
        <v>0</v>
      </c>
    </row>
    <row r="16" spans="3:14" ht="12.75">
      <c r="C16" s="49"/>
      <c r="F16" s="49"/>
      <c r="G16" s="50"/>
      <c r="H16" s="58"/>
      <c r="I16" s="50"/>
      <c r="J16" s="58">
        <f>J15/0.5</f>
        <v>-0.8925955902827236</v>
      </c>
      <c r="L16" s="37"/>
      <c r="M16" s="52"/>
      <c r="N16" s="59"/>
    </row>
    <row r="17" spans="1:14" ht="12.75">
      <c r="A17" t="s">
        <v>34</v>
      </c>
      <c r="B17">
        <v>500</v>
      </c>
      <c r="C17" s="49">
        <f>B17/B29*B31</f>
        <v>468.3544303797469</v>
      </c>
      <c r="D17" s="60">
        <f>200*(B17/(B17+B20))</f>
        <v>27.77777777777778</v>
      </c>
      <c r="E17" s="61">
        <f>B17-D17</f>
        <v>472.22222222222223</v>
      </c>
      <c r="F17" s="49">
        <f>E17/E29*B31</f>
        <v>458.9498876338908</v>
      </c>
      <c r="G17" s="62">
        <f>D17/2+E17</f>
        <v>486.11111111111114</v>
      </c>
      <c r="H17" s="51">
        <f>G17/G29*B31</f>
        <v>463.73884520075063</v>
      </c>
      <c r="I17" s="62">
        <f>D17+E17</f>
        <v>500</v>
      </c>
      <c r="J17" s="51">
        <f>I17/I29*B31</f>
        <v>476.13600617689957</v>
      </c>
      <c r="K17" s="61">
        <f>0.75*D17+E17</f>
        <v>493.05555555555554</v>
      </c>
      <c r="L17" s="49">
        <f>K17/K29*B31</f>
        <v>466.06771554079467</v>
      </c>
      <c r="M17" s="52">
        <f>D17+E17</f>
        <v>500</v>
      </c>
      <c r="N17" s="53">
        <f>M17/B29*B31</f>
        <v>468.3544303797469</v>
      </c>
    </row>
    <row r="18" spans="1:14" ht="12.75">
      <c r="A18" s="16" t="s">
        <v>35</v>
      </c>
      <c r="C18" s="49">
        <f>C17</f>
        <v>468.3544303797469</v>
      </c>
      <c r="D18" s="63">
        <f>D17/B17</f>
        <v>0.05555555555555556</v>
      </c>
      <c r="E18" s="109"/>
      <c r="F18" s="49">
        <f>F17</f>
        <v>458.9498876338908</v>
      </c>
      <c r="G18" s="50"/>
      <c r="H18" s="51">
        <f>H17</f>
        <v>463.73884520075063</v>
      </c>
      <c r="I18" s="50"/>
      <c r="J18" s="51">
        <f>J17</f>
        <v>476.13600617689957</v>
      </c>
      <c r="L18" s="49">
        <f>L17</f>
        <v>466.06771554079467</v>
      </c>
      <c r="M18" s="52"/>
      <c r="N18" s="53">
        <f>N17</f>
        <v>468.3544303797469</v>
      </c>
    </row>
    <row r="19" spans="1:14" ht="12.75">
      <c r="A19" s="64" t="s">
        <v>36</v>
      </c>
      <c r="C19" s="65">
        <f>B17-C18</f>
        <v>31.645569620253127</v>
      </c>
      <c r="F19" s="65">
        <f>E17-F18</f>
        <v>13.272334588331432</v>
      </c>
      <c r="G19" s="50"/>
      <c r="H19" s="66">
        <f>E17-H18</f>
        <v>8.483377021471597</v>
      </c>
      <c r="I19" s="50"/>
      <c r="J19" s="66">
        <f>E17-J18</f>
        <v>-3.913783954677342</v>
      </c>
      <c r="L19" s="65">
        <f>E17-L18</f>
        <v>6.154506681427563</v>
      </c>
      <c r="M19" s="52"/>
      <c r="N19" s="53">
        <f>E17-N18</f>
        <v>3.8677918424753557</v>
      </c>
    </row>
    <row r="20" spans="1:14" ht="12.75">
      <c r="A20" t="s">
        <v>37</v>
      </c>
      <c r="B20">
        <f>3600-B17</f>
        <v>3100</v>
      </c>
      <c r="C20" s="49">
        <f>B20/B29*B31</f>
        <v>2903.7974683544303</v>
      </c>
      <c r="D20" s="67">
        <f>200-D17</f>
        <v>172.22222222222223</v>
      </c>
      <c r="E20" s="61">
        <f>B20-D20</f>
        <v>2927.777777777778</v>
      </c>
      <c r="F20" s="49">
        <f>E20/E29*B31</f>
        <v>2845.4893033301228</v>
      </c>
      <c r="G20" s="62">
        <f>D20/2+E20</f>
        <v>3013.888888888889</v>
      </c>
      <c r="H20" s="51">
        <f>G20/G29*B31</f>
        <v>2875.1808402446536</v>
      </c>
      <c r="I20" s="62">
        <f>D20/2+E20</f>
        <v>3013.888888888889</v>
      </c>
      <c r="J20" s="51">
        <f>I20/I29*B31</f>
        <v>2870.042037232978</v>
      </c>
      <c r="K20" s="61">
        <f>0.75*D20+E20</f>
        <v>3056.9444444444443</v>
      </c>
      <c r="L20" s="49">
        <f>K20/K29*B31</f>
        <v>2889.619836352927</v>
      </c>
      <c r="M20" s="52">
        <f>D20+E20</f>
        <v>3100</v>
      </c>
      <c r="N20" s="53">
        <f>M20/B29*B31</f>
        <v>2903.7974683544303</v>
      </c>
    </row>
    <row r="21" spans="1:14" ht="12.75">
      <c r="A21" s="16" t="s">
        <v>35</v>
      </c>
      <c r="C21" s="49">
        <f>C20</f>
        <v>2903.7974683544303</v>
      </c>
      <c r="D21" s="63">
        <f>D20/B20</f>
        <v>0.05555555555555556</v>
      </c>
      <c r="F21" s="49">
        <f>F20</f>
        <v>2845.4893033301228</v>
      </c>
      <c r="G21" s="50"/>
      <c r="H21" s="51">
        <f>H20</f>
        <v>2875.1808402446536</v>
      </c>
      <c r="I21" s="50"/>
      <c r="J21" s="51">
        <f>J20</f>
        <v>2870.042037232978</v>
      </c>
      <c r="K21" s="61"/>
      <c r="L21" s="49">
        <f>L20</f>
        <v>2889.619836352927</v>
      </c>
      <c r="M21" s="52"/>
      <c r="N21" s="53">
        <f>N20</f>
        <v>2903.7974683544303</v>
      </c>
    </row>
    <row r="22" spans="1:14" ht="12.75">
      <c r="A22" s="64" t="s">
        <v>36</v>
      </c>
      <c r="B22" s="68"/>
      <c r="C22" s="65">
        <f>B20-C21</f>
        <v>196.2025316455697</v>
      </c>
      <c r="D22" s="68"/>
      <c r="E22" s="68"/>
      <c r="F22" s="65">
        <f>E20-F21</f>
        <v>82.28847444765506</v>
      </c>
      <c r="G22" s="50"/>
      <c r="H22" s="66">
        <f>E20-H21</f>
        <v>52.59693753312422</v>
      </c>
      <c r="I22" s="50"/>
      <c r="J22" s="66">
        <f>E20-J21</f>
        <v>57.73574054479968</v>
      </c>
      <c r="K22" s="69"/>
      <c r="L22" s="65">
        <f>E20-L21</f>
        <v>38.15794142485083</v>
      </c>
      <c r="M22" s="52"/>
      <c r="N22" s="53">
        <f>E20-N21</f>
        <v>23.980309423347535</v>
      </c>
    </row>
    <row r="23" spans="1:14" ht="12.75">
      <c r="A23" t="s">
        <v>38</v>
      </c>
      <c r="B23">
        <v>2800</v>
      </c>
      <c r="C23" s="49">
        <f>B23/B29*B31</f>
        <v>2622.784810126582</v>
      </c>
      <c r="D23" s="70">
        <v>56</v>
      </c>
      <c r="E23">
        <f>B23-D23</f>
        <v>2744</v>
      </c>
      <c r="F23" s="49">
        <f>E23/E29*B31</f>
        <v>2666.8768058838978</v>
      </c>
      <c r="G23" s="50">
        <f>D23/2+E23</f>
        <v>2772</v>
      </c>
      <c r="H23" s="51">
        <f>G23/G29*B31</f>
        <v>2644.4243908727603</v>
      </c>
      <c r="I23" s="50">
        <f>D23/2+E23</f>
        <v>2772</v>
      </c>
      <c r="J23" s="51">
        <f>I23/I29*B31</f>
        <v>2639.698018244731</v>
      </c>
      <c r="K23" s="61">
        <f>0.75*D23+E23</f>
        <v>2786</v>
      </c>
      <c r="L23" s="49">
        <f>K23/K29*B31</f>
        <v>2633.505780162228</v>
      </c>
      <c r="M23" s="52">
        <f>E23+D23</f>
        <v>2800</v>
      </c>
      <c r="N23" s="53">
        <f>M23/B29*B31</f>
        <v>2622.784810126582</v>
      </c>
    </row>
    <row r="24" spans="1:14" ht="12.75">
      <c r="A24" s="16" t="s">
        <v>35</v>
      </c>
      <c r="C24" s="49">
        <f>C23</f>
        <v>2622.784810126582</v>
      </c>
      <c r="D24" s="63">
        <f>D23/B23</f>
        <v>0.02</v>
      </c>
      <c r="F24" s="49">
        <f>F23</f>
        <v>2666.8768058838978</v>
      </c>
      <c r="G24" s="50"/>
      <c r="H24" s="51">
        <f>H23</f>
        <v>2644.4243908727603</v>
      </c>
      <c r="I24" s="50"/>
      <c r="J24" s="51">
        <f>J23</f>
        <v>2639.698018244731</v>
      </c>
      <c r="K24" s="61"/>
      <c r="L24" s="49">
        <f>L23</f>
        <v>2633.505780162228</v>
      </c>
      <c r="M24" s="52"/>
      <c r="N24" s="53">
        <f>N23</f>
        <v>2622.784810126582</v>
      </c>
    </row>
    <row r="25" spans="1:14" ht="12.75">
      <c r="A25" s="64" t="s">
        <v>36</v>
      </c>
      <c r="B25" s="68"/>
      <c r="C25" s="65">
        <f>B23-C24</f>
        <v>177.21518987341778</v>
      </c>
      <c r="D25" s="68"/>
      <c r="E25" s="68"/>
      <c r="F25" s="65">
        <f>E23-F24</f>
        <v>77.12319411610224</v>
      </c>
      <c r="G25" s="50"/>
      <c r="H25" s="66">
        <f>E23-H24</f>
        <v>99.57560912723966</v>
      </c>
      <c r="I25" s="50"/>
      <c r="J25" s="66">
        <f>E23-J24</f>
        <v>104.30198175526903</v>
      </c>
      <c r="K25" s="69"/>
      <c r="L25" s="65">
        <f>E23-L24</f>
        <v>110.4942198377721</v>
      </c>
      <c r="M25" s="52"/>
      <c r="N25" s="53">
        <f>E23-N24</f>
        <v>121.21518987341778</v>
      </c>
    </row>
    <row r="26" spans="1:14" ht="12.75">
      <c r="A26" t="s">
        <v>39</v>
      </c>
      <c r="B26">
        <v>1500</v>
      </c>
      <c r="C26" s="49">
        <f>B26/B29*B31</f>
        <v>1405.0632911392406</v>
      </c>
      <c r="D26" s="70">
        <v>30</v>
      </c>
      <c r="E26">
        <f>B26-D26</f>
        <v>1470</v>
      </c>
      <c r="F26" s="49">
        <f>E26/E29*B31</f>
        <v>1428.6840031520883</v>
      </c>
      <c r="G26" s="50">
        <f>D26/2+E26</f>
        <v>1485</v>
      </c>
      <c r="H26" s="51">
        <f>G26/G29*B31</f>
        <v>1416.6559236818357</v>
      </c>
      <c r="I26" s="50">
        <f>D26/2+E26</f>
        <v>1485</v>
      </c>
      <c r="J26" s="51">
        <f>I26/I29*B31</f>
        <v>1414.1239383453917</v>
      </c>
      <c r="K26" s="61">
        <f>0.75*D26+E26</f>
        <v>1492.5</v>
      </c>
      <c r="L26" s="49">
        <f>K26/K29*B31</f>
        <v>1410.8066679440506</v>
      </c>
      <c r="M26" s="52">
        <f>E26+D26</f>
        <v>1500</v>
      </c>
      <c r="N26" s="53">
        <f>M26/B29*B31</f>
        <v>1405.0632911392406</v>
      </c>
    </row>
    <row r="27" spans="1:14" ht="12.75">
      <c r="A27" s="16" t="s">
        <v>35</v>
      </c>
      <c r="C27" s="49">
        <f>C26</f>
        <v>1405.0632911392406</v>
      </c>
      <c r="D27" s="63">
        <f>D26/B26</f>
        <v>0.02</v>
      </c>
      <c r="F27" s="49">
        <f>F26</f>
        <v>1428.6840031520883</v>
      </c>
      <c r="G27" s="50"/>
      <c r="H27" s="51">
        <f>H26</f>
        <v>1416.6559236818357</v>
      </c>
      <c r="I27" s="50"/>
      <c r="J27" s="51">
        <f>J26</f>
        <v>1414.1239383453917</v>
      </c>
      <c r="K27" s="61"/>
      <c r="L27" s="49">
        <f>L26</f>
        <v>1410.8066679440506</v>
      </c>
      <c r="M27" s="52"/>
      <c r="N27" s="53">
        <f>N26</f>
        <v>1405.0632911392406</v>
      </c>
    </row>
    <row r="28" spans="1:14" ht="12.75">
      <c r="A28" s="64" t="s">
        <v>36</v>
      </c>
      <c r="B28" s="68"/>
      <c r="C28" s="65">
        <f>B26-C27</f>
        <v>94.93670886075938</v>
      </c>
      <c r="D28" s="68"/>
      <c r="E28" s="68"/>
      <c r="F28" s="65">
        <f>E26-F26</f>
        <v>41.31599684791172</v>
      </c>
      <c r="G28" s="50"/>
      <c r="H28" s="66">
        <f>E26-H27</f>
        <v>53.3440763181643</v>
      </c>
      <c r="I28" s="50"/>
      <c r="J28" s="66">
        <f>E26-J27</f>
        <v>55.87606165460829</v>
      </c>
      <c r="K28" s="69"/>
      <c r="L28" s="65">
        <f>E26-L27</f>
        <v>59.19333205594944</v>
      </c>
      <c r="M28" s="52"/>
      <c r="N28" s="53">
        <f>E26-N27</f>
        <v>64.93670886075938</v>
      </c>
    </row>
    <row r="29" spans="1:14" ht="12.75">
      <c r="A29" s="16" t="s">
        <v>40</v>
      </c>
      <c r="B29">
        <f>SUM(B17:B26)</f>
        <v>7900</v>
      </c>
      <c r="C29" s="71">
        <f>C26+C23+C20+C17</f>
        <v>7400.000000000001</v>
      </c>
      <c r="D29" s="72">
        <f>SUM(D17:D26)</f>
        <v>286.13111111111107</v>
      </c>
      <c r="E29" s="61">
        <f>SUM(E17:E26)</f>
        <v>7614</v>
      </c>
      <c r="F29" s="71">
        <f>F26+F23+F20+F17</f>
        <v>7400</v>
      </c>
      <c r="G29" s="62">
        <f>SUM(G17:G28)</f>
        <v>7757</v>
      </c>
      <c r="H29" s="73">
        <f>H26+H23+H20+H17</f>
        <v>7400</v>
      </c>
      <c r="I29" s="62">
        <f>SUM(I17:I28)</f>
        <v>7770.888888888889</v>
      </c>
      <c r="J29" s="73">
        <f>J26+J23+J20+J17</f>
        <v>7400</v>
      </c>
      <c r="K29" s="61">
        <f>SUM(K17:K26)</f>
        <v>7828.5</v>
      </c>
      <c r="L29" s="71">
        <f>L26+L23+L20+L17</f>
        <v>7400.000000000001</v>
      </c>
      <c r="M29" s="52"/>
      <c r="N29" s="74">
        <f>N26+N23+N20+N17</f>
        <v>7400.000000000001</v>
      </c>
    </row>
    <row r="30" spans="1:14" ht="12.75">
      <c r="A30" s="75" t="s">
        <v>41</v>
      </c>
      <c r="B30" s="75"/>
      <c r="C30" s="76">
        <f>C28+C25+C22+C19</f>
        <v>500</v>
      </c>
      <c r="D30" s="63">
        <f>D29/B29</f>
        <v>0.03621912798874824</v>
      </c>
      <c r="E30" s="75"/>
      <c r="F30" s="76">
        <f>F28+F25+F22+F19</f>
        <v>214.00000000000045</v>
      </c>
      <c r="G30" s="77"/>
      <c r="H30" s="76">
        <f>H28+H25+H22+H19</f>
        <v>213.99999999999977</v>
      </c>
      <c r="I30" s="77"/>
      <c r="J30" s="76">
        <f>J28+J25+J22+J19</f>
        <v>213.99999999999966</v>
      </c>
      <c r="K30" s="75"/>
      <c r="L30" s="76">
        <f>L28+L25+L22+L19</f>
        <v>213.99999999999994</v>
      </c>
      <c r="M30" s="52"/>
      <c r="N30" s="53">
        <f>N28+N25+N22+N19</f>
        <v>214.00000000000006</v>
      </c>
    </row>
    <row r="31" spans="1:14" ht="12.75">
      <c r="A31" t="s">
        <v>42</v>
      </c>
      <c r="B31" s="2">
        <v>7400</v>
      </c>
      <c r="C31" s="37"/>
      <c r="F31" s="37"/>
      <c r="G31" s="78"/>
      <c r="H31" s="79"/>
      <c r="I31" s="79"/>
      <c r="J31" s="79"/>
      <c r="L31" s="37"/>
      <c r="M31" s="52"/>
      <c r="N31" s="59"/>
    </row>
    <row r="32" spans="2:10" ht="12.75">
      <c r="B32" s="80">
        <f>B31/B29</f>
        <v>0.9367088607594937</v>
      </c>
      <c r="E32" s="80">
        <f>B31/E29</f>
        <v>0.9718938796952982</v>
      </c>
      <c r="G32" s="80">
        <f>B31/G29</f>
        <v>0.9539770529844012</v>
      </c>
      <c r="H32" s="78"/>
      <c r="I32" s="78"/>
      <c r="J32" s="78"/>
    </row>
    <row r="33" ht="12.75">
      <c r="A33" t="s">
        <v>43</v>
      </c>
    </row>
  </sheetData>
  <printOptions/>
  <pageMargins left="0.75" right="0.75" top="1" bottom="1" header="0.5" footer="0.5"/>
  <pageSetup horizontalDpi="600" verticalDpi="600" orientation="landscape" r:id="rId1"/>
  <headerFooter alignWithMargins="0">
    <oddHeader>&amp;CRegional Dialogue Workshop
Seattle City Light Handout
September 11, 2006</oddHeader>
    <oddFooter>&amp;C&amp;F</oddFooter>
  </headerFooter>
</worksheet>
</file>

<file path=xl/worksheets/sheet9.xml><?xml version="1.0" encoding="utf-8"?>
<worksheet xmlns="http://schemas.openxmlformats.org/spreadsheetml/2006/main" xmlns:r="http://schemas.openxmlformats.org/officeDocument/2006/relationships">
  <dimension ref="A1:P33"/>
  <sheetViews>
    <sheetView workbookViewId="0" topLeftCell="A1">
      <selection activeCell="D9" sqref="A1:IV16384"/>
    </sheetView>
  </sheetViews>
  <sheetFormatPr defaultColWidth="9.140625" defaultRowHeight="12.75"/>
  <cols>
    <col min="1" max="1" width="17.00390625" style="0" customWidth="1"/>
    <col min="4" max="4" width="10.00390625" style="0" customWidth="1"/>
    <col min="9" max="9" width="9.7109375" style="0" customWidth="1"/>
    <col min="10" max="10" width="9.57421875" style="0" bestFit="1" customWidth="1"/>
    <col min="14" max="14" width="10.28125" style="0" bestFit="1" customWidth="1"/>
  </cols>
  <sheetData>
    <row r="1" ht="12.75">
      <c r="A1" t="s">
        <v>14</v>
      </c>
    </row>
    <row r="2" ht="12.75">
      <c r="A2" t="s">
        <v>15</v>
      </c>
    </row>
    <row r="3" ht="12.75">
      <c r="A3" t="s">
        <v>16</v>
      </c>
    </row>
    <row r="5" ht="12.75">
      <c r="A5" t="s">
        <v>17</v>
      </c>
    </row>
    <row r="7" spans="3:16" ht="12.75">
      <c r="C7" s="37"/>
      <c r="F7" s="37"/>
      <c r="H7" s="37"/>
      <c r="I7" s="37"/>
      <c r="J7" s="37"/>
      <c r="L7" s="37"/>
      <c r="M7" s="37"/>
      <c r="N7" s="37"/>
      <c r="P7" s="37"/>
    </row>
    <row r="8" spans="2:16" s="2" customFormat="1" ht="12.75">
      <c r="B8" s="2" t="s">
        <v>18</v>
      </c>
      <c r="C8" s="38"/>
      <c r="F8" s="38"/>
      <c r="H8" s="38"/>
      <c r="I8" s="38"/>
      <c r="J8" s="38"/>
      <c r="L8" s="38"/>
      <c r="M8" s="38"/>
      <c r="N8" s="38"/>
      <c r="O8" s="39"/>
      <c r="P8" s="40"/>
    </row>
    <row r="9" spans="2:16" ht="63.75">
      <c r="B9" s="25" t="s">
        <v>19</v>
      </c>
      <c r="C9" s="41" t="s">
        <v>20</v>
      </c>
      <c r="D9" s="25" t="s">
        <v>21</v>
      </c>
      <c r="E9" s="25" t="s">
        <v>22</v>
      </c>
      <c r="F9" s="41" t="s">
        <v>23</v>
      </c>
      <c r="G9" s="110" t="s">
        <v>24</v>
      </c>
      <c r="H9" s="111" t="s">
        <v>25</v>
      </c>
      <c r="I9" s="110" t="s">
        <v>63</v>
      </c>
      <c r="J9" s="111" t="s">
        <v>25</v>
      </c>
      <c r="K9" s="136" t="s">
        <v>26</v>
      </c>
      <c r="L9" s="127" t="s">
        <v>27</v>
      </c>
      <c r="M9" s="110" t="s">
        <v>67</v>
      </c>
      <c r="N9" s="111" t="s">
        <v>25</v>
      </c>
      <c r="O9" s="44" t="s">
        <v>28</v>
      </c>
      <c r="P9" s="45" t="s">
        <v>27</v>
      </c>
    </row>
    <row r="10" spans="2:16" ht="12.75">
      <c r="B10" s="25"/>
      <c r="C10" s="41"/>
      <c r="D10" s="25"/>
      <c r="E10" s="25"/>
      <c r="F10" s="41"/>
      <c r="G10" s="112"/>
      <c r="H10" s="113"/>
      <c r="I10" s="112"/>
      <c r="J10" s="113"/>
      <c r="K10" s="137"/>
      <c r="L10" s="129"/>
      <c r="M10" s="128"/>
      <c r="N10" s="129"/>
      <c r="O10" s="44"/>
      <c r="P10" s="45"/>
    </row>
    <row r="11" spans="1:16" ht="12.75">
      <c r="A11" t="s">
        <v>29</v>
      </c>
      <c r="B11" s="25"/>
      <c r="C11" s="41"/>
      <c r="D11" s="25"/>
      <c r="E11" s="25"/>
      <c r="F11" s="41"/>
      <c r="G11" s="112"/>
      <c r="H11" s="113"/>
      <c r="I11" s="112"/>
      <c r="J11" s="113"/>
      <c r="K11" s="137"/>
      <c r="L11" s="129"/>
      <c r="M11" s="128"/>
      <c r="N11" s="129"/>
      <c r="O11" s="44"/>
      <c r="P11" s="45"/>
    </row>
    <row r="12" spans="1:16" ht="12.75">
      <c r="A12" s="16" t="s">
        <v>30</v>
      </c>
      <c r="B12" s="25"/>
      <c r="C12" s="41"/>
      <c r="D12" s="25"/>
      <c r="E12" s="25"/>
      <c r="F12" s="46">
        <f>F17</f>
        <v>424.32298589934055</v>
      </c>
      <c r="G12" s="112"/>
      <c r="H12" s="114">
        <f>H17</f>
        <v>428.9123764064098</v>
      </c>
      <c r="I12" s="112"/>
      <c r="J12" s="114">
        <f>H17</f>
        <v>428.9123764064098</v>
      </c>
      <c r="K12" s="137"/>
      <c r="L12" s="130">
        <f>L17</f>
        <v>431.1326684742328</v>
      </c>
      <c r="M12" s="137"/>
      <c r="N12" s="130">
        <f>L17</f>
        <v>431.1326684742328</v>
      </c>
      <c r="O12" s="44"/>
      <c r="P12" s="48">
        <f>P17</f>
        <v>433.3116460637605</v>
      </c>
    </row>
    <row r="13" spans="1:16" ht="12.75">
      <c r="A13" s="16" t="s">
        <v>31</v>
      </c>
      <c r="C13" s="49"/>
      <c r="F13" s="49">
        <f>P17</f>
        <v>433.3116460637605</v>
      </c>
      <c r="G13" s="115"/>
      <c r="H13" s="116">
        <f>P17</f>
        <v>433.3116460637605</v>
      </c>
      <c r="I13" s="115"/>
      <c r="J13" s="116">
        <f>J17</f>
        <v>440.77603812117087</v>
      </c>
      <c r="K13" s="138"/>
      <c r="L13" s="131">
        <f>P17</f>
        <v>433.3116460637605</v>
      </c>
      <c r="M13" s="138"/>
      <c r="N13" s="131">
        <f>N17</f>
        <v>437.011970490912</v>
      </c>
      <c r="O13" s="52"/>
      <c r="P13" s="53">
        <f>P17</f>
        <v>433.3116460637605</v>
      </c>
    </row>
    <row r="14" spans="1:16" ht="12.75">
      <c r="A14" s="16" t="s">
        <v>32</v>
      </c>
      <c r="C14" s="49"/>
      <c r="F14" s="49">
        <f>F12-F13</f>
        <v>-8.988660164419969</v>
      </c>
      <c r="G14" s="115"/>
      <c r="H14" s="146">
        <f>H12-H13</f>
        <v>-4.399269657350715</v>
      </c>
      <c r="I14" s="115"/>
      <c r="J14" s="117">
        <f>J12-J13</f>
        <v>-11.863661714761065</v>
      </c>
      <c r="K14" s="138"/>
      <c r="L14" s="131">
        <f>L12-L13</f>
        <v>-2.178977589527733</v>
      </c>
      <c r="M14" s="138"/>
      <c r="N14" s="142">
        <f>N12-N13</f>
        <v>-5.879302016679219</v>
      </c>
      <c r="O14" s="52"/>
      <c r="P14" s="49">
        <f>P12-P13</f>
        <v>0</v>
      </c>
    </row>
    <row r="15" spans="1:16" ht="12.75">
      <c r="A15" s="16" t="s">
        <v>33</v>
      </c>
      <c r="C15" s="49"/>
      <c r="F15" s="55">
        <f>F14/D17</f>
        <v>-0.3495590063941099</v>
      </c>
      <c r="G15" s="115"/>
      <c r="H15" s="118">
        <f>H14/D17</f>
        <v>-0.17108270889697225</v>
      </c>
      <c r="I15" s="115"/>
      <c r="J15" s="118">
        <f>J14/D17</f>
        <v>-0.4613646222407081</v>
      </c>
      <c r="K15" s="138"/>
      <c r="L15" s="132">
        <f>L14/D17</f>
        <v>-0.08473801737052296</v>
      </c>
      <c r="M15" s="138"/>
      <c r="N15" s="118">
        <f>N14/D17</f>
        <v>-0.22863952287085854</v>
      </c>
      <c r="O15" s="52"/>
      <c r="P15" s="57">
        <f>P14/F17</f>
        <v>0</v>
      </c>
    </row>
    <row r="16" spans="3:16" ht="12.75">
      <c r="C16" s="49"/>
      <c r="F16" s="49"/>
      <c r="G16" s="115"/>
      <c r="H16" s="119"/>
      <c r="I16" s="115"/>
      <c r="J16" s="126">
        <f>(J17-H17)/(I17-G17)</f>
        <v>0.9227292444814138</v>
      </c>
      <c r="K16" s="138"/>
      <c r="L16" s="133"/>
      <c r="M16" s="138"/>
      <c r="N16" s="133"/>
      <c r="O16" s="52"/>
      <c r="P16" s="59"/>
    </row>
    <row r="17" spans="1:16" ht="12.75">
      <c r="A17" t="s">
        <v>34</v>
      </c>
      <c r="B17">
        <v>450</v>
      </c>
      <c r="C17" s="49">
        <f>B17/B29*B31</f>
        <v>433.3116460637605</v>
      </c>
      <c r="D17" s="60">
        <f>200*(B17/(B17+B20))</f>
        <v>25.71428571428571</v>
      </c>
      <c r="E17" s="61">
        <f>B17-D17</f>
        <v>424.2857142857143</v>
      </c>
      <c r="F17" s="49">
        <f>E17/E29*B31</f>
        <v>424.32298589934055</v>
      </c>
      <c r="G17" s="120">
        <f>D17/2+E17</f>
        <v>437.1428571428571</v>
      </c>
      <c r="H17" s="116">
        <f>G17/G29*B31</f>
        <v>428.9123764064098</v>
      </c>
      <c r="I17" s="120">
        <f>D17+E17</f>
        <v>450</v>
      </c>
      <c r="J17" s="116">
        <f>I17/I29*B31</f>
        <v>440.77603812117087</v>
      </c>
      <c r="K17" s="139">
        <f>0.75*D17+E17</f>
        <v>443.57142857142856</v>
      </c>
      <c r="L17" s="131">
        <f>K17/K29*B31</f>
        <v>431.1326684742328</v>
      </c>
      <c r="M17" s="139">
        <f>D17+E17</f>
        <v>450</v>
      </c>
      <c r="N17" s="131">
        <f>M17/M29*B31</f>
        <v>437.011970490912</v>
      </c>
      <c r="O17" s="52">
        <f>D17+E17</f>
        <v>450</v>
      </c>
      <c r="P17" s="53">
        <f>O17/B29*B31</f>
        <v>433.3116460637605</v>
      </c>
    </row>
    <row r="18" spans="1:16" ht="12.75">
      <c r="A18" s="16" t="s">
        <v>35</v>
      </c>
      <c r="C18" s="49">
        <f>C17</f>
        <v>433.3116460637605</v>
      </c>
      <c r="D18" s="63">
        <f>D17/B17</f>
        <v>0.057142857142857134</v>
      </c>
      <c r="E18" s="143">
        <f>(433-424)/D17</f>
        <v>0.35000000000000003</v>
      </c>
      <c r="F18" s="49">
        <f>F17</f>
        <v>424.32298589934055</v>
      </c>
      <c r="G18" s="115"/>
      <c r="H18" s="116">
        <f>H17</f>
        <v>428.9123764064098</v>
      </c>
      <c r="I18" s="115"/>
      <c r="J18" s="116">
        <f>J17</f>
        <v>440.77603812117087</v>
      </c>
      <c r="K18" s="138"/>
      <c r="L18" s="131">
        <f>L17</f>
        <v>431.1326684742328</v>
      </c>
      <c r="M18" s="138"/>
      <c r="N18" s="131">
        <f>N17</f>
        <v>437.011970490912</v>
      </c>
      <c r="O18" s="52"/>
      <c r="P18" s="53">
        <f>P17</f>
        <v>433.3116460637605</v>
      </c>
    </row>
    <row r="19" spans="1:16" ht="12.75">
      <c r="A19" s="64" t="s">
        <v>36</v>
      </c>
      <c r="C19" s="65">
        <f>B17-C18</f>
        <v>16.68835393623948</v>
      </c>
      <c r="F19" s="65">
        <f>E17-F18</f>
        <v>-0.03727161362627385</v>
      </c>
      <c r="G19" s="115"/>
      <c r="H19" s="121">
        <f>E17-H18</f>
        <v>-4.626662120695528</v>
      </c>
      <c r="I19" s="115"/>
      <c r="J19" s="121">
        <f>G17-J18</f>
        <v>-3.63318097831376</v>
      </c>
      <c r="K19" s="138"/>
      <c r="L19" s="134">
        <f>E17-L18</f>
        <v>-6.8469541885185095</v>
      </c>
      <c r="M19" s="138"/>
      <c r="N19" s="134">
        <f>E17-N18</f>
        <v>-12.726256205197728</v>
      </c>
      <c r="O19" s="52"/>
      <c r="P19" s="53">
        <f>E17-P18</f>
        <v>-9.025931778046242</v>
      </c>
    </row>
    <row r="20" spans="1:16" ht="12.75">
      <c r="A20" t="s">
        <v>37</v>
      </c>
      <c r="B20">
        <f>3500-B17</f>
        <v>3050</v>
      </c>
      <c r="C20" s="49">
        <f>B20/B29*B31</f>
        <v>2936.8900455432663</v>
      </c>
      <c r="D20" s="67">
        <f>200-D17</f>
        <v>174.28571428571428</v>
      </c>
      <c r="E20" s="61">
        <f>B20-D20</f>
        <v>2875.714285714286</v>
      </c>
      <c r="F20" s="49">
        <f>E20/E29*B31</f>
        <v>2875.966904428864</v>
      </c>
      <c r="G20" s="120">
        <f>D20/2+E20</f>
        <v>2962.857142857143</v>
      </c>
      <c r="H20" s="116">
        <f>G20/G29*B31</f>
        <v>2907.072773421223</v>
      </c>
      <c r="I20" s="120">
        <f>D20/2+E20</f>
        <v>2962.857142857143</v>
      </c>
      <c r="J20" s="116">
        <f>I20/I29*B31</f>
        <v>2902.1254065501853</v>
      </c>
      <c r="K20" s="139">
        <f>0.75*D20+E20</f>
        <v>3006.4285714285716</v>
      </c>
      <c r="L20" s="131">
        <f>K20/K29*B31</f>
        <v>2922.1214196586893</v>
      </c>
      <c r="M20" s="139">
        <f>0.75*D20+E20</f>
        <v>3006.4285714285716</v>
      </c>
      <c r="N20" s="131">
        <f>M20/M29*B31</f>
        <v>2919.65616475595</v>
      </c>
      <c r="O20" s="52">
        <f>D20+E20</f>
        <v>3050</v>
      </c>
      <c r="P20" s="53">
        <f>O20/B29*B31</f>
        <v>2936.8900455432663</v>
      </c>
    </row>
    <row r="21" spans="1:16" ht="12.75">
      <c r="A21" s="16" t="s">
        <v>35</v>
      </c>
      <c r="C21" s="49">
        <f>C20</f>
        <v>2936.8900455432663</v>
      </c>
      <c r="D21" s="63">
        <f>D20/B20</f>
        <v>0.05714285714285714</v>
      </c>
      <c r="F21" s="49">
        <f>F20</f>
        <v>2875.966904428864</v>
      </c>
      <c r="G21" s="115"/>
      <c r="H21" s="116">
        <f>H20</f>
        <v>2907.072773421223</v>
      </c>
      <c r="I21" s="115"/>
      <c r="J21" s="116">
        <f>J20</f>
        <v>2902.1254065501853</v>
      </c>
      <c r="K21" s="139"/>
      <c r="L21" s="131">
        <f>L20</f>
        <v>2922.1214196586893</v>
      </c>
      <c r="M21" s="139"/>
      <c r="N21" s="131">
        <f>N20</f>
        <v>2919.65616475595</v>
      </c>
      <c r="O21" s="52"/>
      <c r="P21" s="53">
        <f>P20</f>
        <v>2936.8900455432663</v>
      </c>
    </row>
    <row r="22" spans="1:16" ht="12.75">
      <c r="A22" s="64" t="s">
        <v>36</v>
      </c>
      <c r="B22" s="68"/>
      <c r="C22" s="65">
        <f>B20-C21</f>
        <v>113.1099544567337</v>
      </c>
      <c r="D22" s="68"/>
      <c r="E22" s="68"/>
      <c r="F22" s="65">
        <f>E20-F21</f>
        <v>-0.2526187145781478</v>
      </c>
      <c r="G22" s="115"/>
      <c r="H22" s="121">
        <f>E20-H21</f>
        <v>-31.358487706937012</v>
      </c>
      <c r="I22" s="115"/>
      <c r="J22" s="121">
        <f>G20-J21</f>
        <v>60.73173630695783</v>
      </c>
      <c r="K22" s="140"/>
      <c r="L22" s="134">
        <f>E20-L21</f>
        <v>-46.40713394440354</v>
      </c>
      <c r="M22" s="140"/>
      <c r="N22" s="134">
        <f>E20-N21</f>
        <v>-43.94187904166438</v>
      </c>
      <c r="O22" s="52"/>
      <c r="P22" s="53">
        <f>E20-P21</f>
        <v>-61.17575982898052</v>
      </c>
    </row>
    <row r="23" spans="1:16" ht="12.75">
      <c r="A23" t="s">
        <v>38</v>
      </c>
      <c r="B23">
        <v>2700</v>
      </c>
      <c r="C23" s="49">
        <f>B23/B29*B31</f>
        <v>2599.8698763825632</v>
      </c>
      <c r="D23" s="70">
        <v>56</v>
      </c>
      <c r="E23">
        <f>B23-D23</f>
        <v>2644</v>
      </c>
      <c r="F23" s="49">
        <f>E23/E29*B31</f>
        <v>2644.2322636447793</v>
      </c>
      <c r="G23" s="115">
        <f>D23/2+E23</f>
        <v>2672</v>
      </c>
      <c r="H23" s="116">
        <f>G23/G29*B31</f>
        <v>2621.6918589233624</v>
      </c>
      <c r="I23" s="115">
        <f>D23/2+E23</f>
        <v>2672</v>
      </c>
      <c r="J23" s="116">
        <f>I23/I29*B31</f>
        <v>2617.230164132819</v>
      </c>
      <c r="K23" s="139">
        <f>0.75*D23+E23</f>
        <v>2686</v>
      </c>
      <c r="L23" s="131">
        <f>K23/K29*B31</f>
        <v>2610.6784002101526</v>
      </c>
      <c r="M23" s="139">
        <f>0.75*D23+E23</f>
        <v>2686</v>
      </c>
      <c r="N23" s="131">
        <f>M23/M29*B31</f>
        <v>2608.475894974644</v>
      </c>
      <c r="O23" s="52">
        <f>E23+D23</f>
        <v>2700</v>
      </c>
      <c r="P23" s="53">
        <f>O23/B29*B31</f>
        <v>2599.8698763825632</v>
      </c>
    </row>
    <row r="24" spans="1:16" ht="12.75">
      <c r="A24" s="16" t="s">
        <v>35</v>
      </c>
      <c r="C24" s="49">
        <f>C23</f>
        <v>2599.8698763825632</v>
      </c>
      <c r="D24" s="63">
        <f>D23/B23</f>
        <v>0.02074074074074074</v>
      </c>
      <c r="F24" s="49">
        <f>F23</f>
        <v>2644.2322636447793</v>
      </c>
      <c r="G24" s="122"/>
      <c r="H24" s="116">
        <f>H23</f>
        <v>2621.6918589233624</v>
      </c>
      <c r="I24" s="115"/>
      <c r="J24" s="116">
        <f>J23</f>
        <v>2617.230164132819</v>
      </c>
      <c r="K24" s="139"/>
      <c r="L24" s="131">
        <f>L23</f>
        <v>2610.6784002101526</v>
      </c>
      <c r="M24" s="139"/>
      <c r="N24" s="131">
        <f>N23</f>
        <v>2608.475894974644</v>
      </c>
      <c r="O24" s="52"/>
      <c r="P24" s="53">
        <f>P23</f>
        <v>2599.8698763825632</v>
      </c>
    </row>
    <row r="25" spans="1:16" ht="12.75">
      <c r="A25" s="64" t="s">
        <v>36</v>
      </c>
      <c r="B25" s="68"/>
      <c r="C25" s="65">
        <f>B23-C24</f>
        <v>100.13012361743677</v>
      </c>
      <c r="D25" s="68"/>
      <c r="E25" s="68"/>
      <c r="F25" s="65">
        <f>E23-F24</f>
        <v>-0.23226364477932293</v>
      </c>
      <c r="G25" s="115"/>
      <c r="H25" s="121">
        <f>E23-H24</f>
        <v>22.30814107663764</v>
      </c>
      <c r="I25" s="115"/>
      <c r="J25" s="121">
        <f>G23-J24</f>
        <v>54.76983586718097</v>
      </c>
      <c r="K25" s="140"/>
      <c r="L25" s="134">
        <f>E23-L24</f>
        <v>33.32159978984737</v>
      </c>
      <c r="M25" s="140"/>
      <c r="N25" s="134">
        <f>E23-N24</f>
        <v>35.52410502535622</v>
      </c>
      <c r="O25" s="52"/>
      <c r="P25" s="53">
        <f>E23-P24</f>
        <v>44.130123617436766</v>
      </c>
    </row>
    <row r="26" spans="1:16" ht="12.75">
      <c r="A26" t="s">
        <v>39</v>
      </c>
      <c r="B26">
        <v>1485</v>
      </c>
      <c r="C26" s="49">
        <f>B26/B29*B31</f>
        <v>1429.9284320104098</v>
      </c>
      <c r="D26" s="70">
        <v>30</v>
      </c>
      <c r="E26">
        <f>B26-D26</f>
        <v>1455</v>
      </c>
      <c r="F26" s="49">
        <f>E26/E29*B31</f>
        <v>1455.1278152810721</v>
      </c>
      <c r="G26" s="115">
        <f>D26/2+E26</f>
        <v>1470</v>
      </c>
      <c r="H26" s="116">
        <f>G26/G29*B31</f>
        <v>1442.3229912490056</v>
      </c>
      <c r="I26" s="115">
        <f>D26/2+E26</f>
        <v>1470</v>
      </c>
      <c r="J26" s="116">
        <f>I26/I29*B31</f>
        <v>1439.8683911958246</v>
      </c>
      <c r="K26" s="139">
        <f>0.75*D26+E26</f>
        <v>1477.5</v>
      </c>
      <c r="L26" s="131">
        <f>K26/K29*B31</f>
        <v>1436.0675116569253</v>
      </c>
      <c r="M26" s="139">
        <f>0.75*D26+E26</f>
        <v>1477.5</v>
      </c>
      <c r="N26" s="131">
        <f>M26/M29*B31</f>
        <v>1434.8559697784942</v>
      </c>
      <c r="O26" s="52">
        <f>E26+D26</f>
        <v>1485</v>
      </c>
      <c r="P26" s="53">
        <f>O26/B29*B31</f>
        <v>1429.9284320104098</v>
      </c>
    </row>
    <row r="27" spans="1:16" ht="12.75">
      <c r="A27" s="16" t="s">
        <v>35</v>
      </c>
      <c r="C27" s="49">
        <f>C26</f>
        <v>1429.9284320104098</v>
      </c>
      <c r="D27" s="63">
        <f>D26/B26</f>
        <v>0.020202020202020204</v>
      </c>
      <c r="F27" s="49">
        <f>F26</f>
        <v>1455.1278152810721</v>
      </c>
      <c r="G27" s="115"/>
      <c r="H27" s="116">
        <f>H26</f>
        <v>1442.3229912490056</v>
      </c>
      <c r="I27" s="115"/>
      <c r="J27" s="116">
        <f>J26</f>
        <v>1439.8683911958246</v>
      </c>
      <c r="K27" s="139"/>
      <c r="L27" s="131">
        <f>L26</f>
        <v>1436.0675116569253</v>
      </c>
      <c r="M27" s="139"/>
      <c r="N27" s="131">
        <f>N26</f>
        <v>1434.8559697784942</v>
      </c>
      <c r="O27" s="52"/>
      <c r="P27" s="53">
        <f>P26</f>
        <v>1429.9284320104098</v>
      </c>
    </row>
    <row r="28" spans="1:16" ht="12.75">
      <c r="A28" s="64" t="s">
        <v>36</v>
      </c>
      <c r="B28" s="68"/>
      <c r="C28" s="65">
        <f>B26-C27</f>
        <v>55.07156798959022</v>
      </c>
      <c r="D28" s="68"/>
      <c r="E28" s="68"/>
      <c r="F28" s="65">
        <f>E26-F26</f>
        <v>-0.1278152810721167</v>
      </c>
      <c r="G28" s="115"/>
      <c r="H28" s="121">
        <f>E26-H27</f>
        <v>12.677008750994446</v>
      </c>
      <c r="I28" s="115"/>
      <c r="J28" s="121">
        <f>G26-J27</f>
        <v>30.131608804175357</v>
      </c>
      <c r="K28" s="140"/>
      <c r="L28" s="134">
        <f>E26-L27</f>
        <v>18.932488343074738</v>
      </c>
      <c r="M28" s="140"/>
      <c r="N28" s="134">
        <f>E26-N27</f>
        <v>20.144030221505773</v>
      </c>
      <c r="O28" s="52"/>
      <c r="P28" s="53">
        <f>E26-P27</f>
        <v>25.07156798959022</v>
      </c>
    </row>
    <row r="29" spans="1:16" ht="12.75">
      <c r="A29" s="16" t="s">
        <v>40</v>
      </c>
      <c r="B29">
        <f>SUM(B17:B26)</f>
        <v>7685</v>
      </c>
      <c r="C29" s="71">
        <f>C26+C23+C20+C17</f>
        <v>7399.999999999999</v>
      </c>
      <c r="D29" s="72">
        <f>SUM(D17:D26)</f>
        <v>286.13502645502643</v>
      </c>
      <c r="E29" s="61">
        <f>SUM(E17:E26)</f>
        <v>7399.35</v>
      </c>
      <c r="F29" s="71">
        <f>F26+F23+F20+F17</f>
        <v>7399.6499692540565</v>
      </c>
      <c r="G29" s="120">
        <f>SUM(G17:G28)</f>
        <v>7542</v>
      </c>
      <c r="H29" s="123">
        <f>H26+H23+H20+H17</f>
        <v>7400</v>
      </c>
      <c r="I29" s="120">
        <f>SUM(I17:I28)</f>
        <v>7554.857142857143</v>
      </c>
      <c r="J29" s="123">
        <f>J26+J23+J20+J17</f>
        <v>7400</v>
      </c>
      <c r="K29" s="139">
        <f>SUM(K17:K26)</f>
        <v>7613.5</v>
      </c>
      <c r="L29" s="135">
        <f>L26+L23+L20+L17</f>
        <v>7400</v>
      </c>
      <c r="M29" s="139">
        <f>SUM(M17:M26)</f>
        <v>7619.928571428572</v>
      </c>
      <c r="N29" s="135">
        <f>N26+N23+N20+N17</f>
        <v>7400</v>
      </c>
      <c r="O29" s="52"/>
      <c r="P29" s="74">
        <f>P26+P23+P20+P17</f>
        <v>7399.999999999999</v>
      </c>
    </row>
    <row r="30" spans="1:16" ht="12.75">
      <c r="A30" s="75" t="s">
        <v>41</v>
      </c>
      <c r="B30" s="75"/>
      <c r="C30" s="76">
        <f>C28+C25+C22+C19</f>
        <v>285.00000000000017</v>
      </c>
      <c r="D30" s="63">
        <f>D29/B29</f>
        <v>0.03723292471763519</v>
      </c>
      <c r="E30" s="75"/>
      <c r="F30" s="76">
        <f>F28+F25+F22+F19</f>
        <v>-0.6499692540558613</v>
      </c>
      <c r="G30" s="124"/>
      <c r="H30" s="125">
        <f>H28+H25+H22+H19</f>
        <v>-1.0000000000004547</v>
      </c>
      <c r="I30" s="124"/>
      <c r="J30" s="125">
        <f>J28+J25+J22+J19</f>
        <v>142.0000000000004</v>
      </c>
      <c r="K30" s="141"/>
      <c r="L30" s="125">
        <f>L28+L25+L22+L19</f>
        <v>-0.9999999999999432</v>
      </c>
      <c r="M30" s="141"/>
      <c r="N30" s="125">
        <f>N28+N25+N22+N19</f>
        <v>-1.0000000000001137</v>
      </c>
      <c r="O30" s="52"/>
      <c r="P30" s="53">
        <f>P28+P25+P22+P19</f>
        <v>-0.9999999999997726</v>
      </c>
    </row>
    <row r="31" spans="1:16" ht="12.75">
      <c r="A31" t="s">
        <v>42</v>
      </c>
      <c r="B31" s="2">
        <v>7400</v>
      </c>
      <c r="C31" s="37"/>
      <c r="F31" s="37"/>
      <c r="G31" s="78"/>
      <c r="H31" s="79"/>
      <c r="I31" s="79"/>
      <c r="J31" s="79"/>
      <c r="L31" s="37"/>
      <c r="M31" s="37"/>
      <c r="N31" s="37"/>
      <c r="O31" s="52"/>
      <c r="P31" s="59"/>
    </row>
    <row r="32" spans="2:10" ht="12.75">
      <c r="B32" s="80">
        <f>B31/B29</f>
        <v>0.962914769030579</v>
      </c>
      <c r="E32" s="80">
        <f>B31/E29</f>
        <v>1.0000878455540012</v>
      </c>
      <c r="G32" s="80">
        <f>B31/G29</f>
        <v>0.98117210289048</v>
      </c>
      <c r="H32" s="78"/>
      <c r="I32" s="80">
        <f>B31/I29</f>
        <v>0.9795023069359352</v>
      </c>
      <c r="J32" s="78"/>
    </row>
    <row r="33" ht="12.75">
      <c r="A33" t="s">
        <v>43</v>
      </c>
    </row>
  </sheetData>
  <printOptions/>
  <pageMargins left="0.75" right="0.75" top="1" bottom="1" header="0.5" footer="0.5"/>
  <pageSetup horizontalDpi="600" verticalDpi="600" orientation="landscape" r:id="rId1"/>
  <headerFooter alignWithMargins="0">
    <oddHeader>&amp;CRegional Dialogue Workshop
Seattle City Light Handout
September 11, 2006</oddHead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Seattle City Light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AtwoodG</dc:creator>
  <cp:keywords/>
  <dc:description/>
  <cp:lastModifiedBy>nmb8510</cp:lastModifiedBy>
  <cp:lastPrinted>2006-09-06T20:11:37Z</cp:lastPrinted>
  <dcterms:created xsi:type="dcterms:W3CDTF">2005-06-06T16:38:45Z</dcterms:created>
  <dcterms:modified xsi:type="dcterms:W3CDTF">2006-09-06T20:13:55Z</dcterms:modified>
  <cp:category/>
  <cp:version/>
  <cp:contentType/>
  <cp:contentStatus/>
</cp:coreProperties>
</file>