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P Results table" sheetId="1" r:id="rId1"/>
    <sheet name="WS Results table" sheetId="2" r:id="rId2"/>
    <sheet name="Calculations" sheetId="3" r:id="rId3"/>
    <sheet name="Readme" sheetId="4" r:id="rId4"/>
  </sheets>
  <definedNames>
    <definedName name="BR_Aesth">'FP Results table'!$F$17</definedName>
    <definedName name="BR_Heating">'FP Results table'!$F$16</definedName>
    <definedName name="Certified_WS_Eff">'WS Results table'!$B$6</definedName>
    <definedName name="CO_Cert_EF">'WS Results table'!$E$10</definedName>
    <definedName name="CO_Conv_EF">'WS Results table'!$D$10</definedName>
    <definedName name="Conventional_WS_Eff">'WS Results table'!$B$5</definedName>
    <definedName name="Conversion">'WS Results table'!$B$3</definedName>
    <definedName name="Cords_of_Wood_Burned_per_Woodstove">'WS Results table'!$B$2</definedName>
    <definedName name="cords_tons">'FP Results table'!$B$2</definedName>
    <definedName name="EF_CO">'FP Results table'!$F$10</definedName>
    <definedName name="EF_Dioxin">'FP Results table'!$F$19</definedName>
    <definedName name="EF_NOX">'FP Results table'!$F$12</definedName>
    <definedName name="EF_PAH">'FP Results table'!#REF!</definedName>
    <definedName name="EF_PM25">'FP Results table'!$F$14</definedName>
    <definedName name="EF_SO2">'FP Results table'!$F$11</definedName>
    <definedName name="EF_VOC">'FP Results table'!$F$13</definedName>
    <definedName name="Frac_Aesth">'FP Results table'!$B$5</definedName>
    <definedName name="Frac_Change2WoodStoves">'WS Results table'!$B$7</definedName>
    <definedName name="Frac_Heating">'FP Results table'!$B$4</definedName>
    <definedName name="NOX_Cert_EF">'WS Results table'!$E$12</definedName>
    <definedName name="NOX_Conv_EF">'WS Results table'!$D$12</definedName>
    <definedName name="Numb_FP">'FP Results table'!$B$3</definedName>
    <definedName name="NumberStoves">'WS Results table'!$B$4</definedName>
    <definedName name="PAH_Cert_EF">'WS Results table'!#REF!</definedName>
    <definedName name="PAH_Conv_EF">'WS Results table'!#REF!</definedName>
    <definedName name="PM25_Cert_EF">'WS Results table'!$E$14</definedName>
    <definedName name="PM25_Conv_EF">'WS Results table'!$D$14</definedName>
    <definedName name="SO2_Cert_EF">'WS Results table'!$E$11</definedName>
    <definedName name="SO2_Conv_EF">'WS Results table'!$D$11</definedName>
    <definedName name="VOC_Cert_EF">'WS Results table'!$E$13</definedName>
    <definedName name="VOC_Conv_EF">'WS Results table'!$D$13</definedName>
  </definedNames>
  <calcPr fullCalcOnLoad="1"/>
</workbook>
</file>

<file path=xl/sharedStrings.xml><?xml version="1.0" encoding="utf-8"?>
<sst xmlns="http://schemas.openxmlformats.org/spreadsheetml/2006/main" count="195" uniqueCount="90">
  <si>
    <t>Emission factors (lb/ton)</t>
  </si>
  <si>
    <t>SO2</t>
  </si>
  <si>
    <t>CO</t>
  </si>
  <si>
    <t>Nox</t>
  </si>
  <si>
    <t>VOC</t>
  </si>
  <si>
    <t>Conv WS</t>
  </si>
  <si>
    <t>Certified WS</t>
  </si>
  <si>
    <t>Pollutant</t>
  </si>
  <si>
    <t xml:space="preserve">Woodstove % efficiency for conventional WS = </t>
  </si>
  <si>
    <t xml:space="preserve">Woodstove % efficiency for certified WS = </t>
  </si>
  <si>
    <t>PM2.5-PRI</t>
  </si>
  <si>
    <t>NOX</t>
  </si>
  <si>
    <t xml:space="preserve">Conversion of tons to cords = </t>
  </si>
  <si>
    <t>Reference</t>
  </si>
  <si>
    <t>EIA/DOE</t>
  </si>
  <si>
    <t>AP42</t>
  </si>
  <si>
    <t>Inputs</t>
  </si>
  <si>
    <t>Parameters for Calculation of WS Changeout Benefit</t>
  </si>
  <si>
    <t xml:space="preserve">Cords of Wood Burned per Woodstove = </t>
  </si>
  <si>
    <t xml:space="preserve">Fraction of Changeout stoves to be new certified WS = </t>
  </si>
  <si>
    <t xml:space="preserve">Number of stoves changed out = </t>
  </si>
  <si>
    <t>Emission Avoided (tons)</t>
  </si>
  <si>
    <t>Total Emissions Avoided</t>
  </si>
  <si>
    <t xml:space="preserve">Assumed </t>
  </si>
  <si>
    <t>AP42 - Section 1.10</t>
  </si>
  <si>
    <t>Before Changeout</t>
  </si>
  <si>
    <t>After Changeout</t>
  </si>
  <si>
    <t>Difference</t>
  </si>
  <si>
    <t>80% assumed go to new Cert WS, 20% to gas appliances</t>
  </si>
  <si>
    <t>All the inputs to the calculator can be changed to match other data, as needed.</t>
  </si>
  <si>
    <t>Roy Huntley</t>
  </si>
  <si>
    <t>huntley.roy@epa.gov</t>
  </si>
  <si>
    <t>919 541-1060</t>
  </si>
  <si>
    <t>Input Description</t>
  </si>
  <si>
    <t>Conv Factor = AP-42; Certified EF = EPA tech report</t>
  </si>
  <si>
    <t>EPA technical report referenced is</t>
  </si>
  <si>
    <t>EPA-600/R-98-174a</t>
  </si>
  <si>
    <t>Residential Wood Combustion Technology Review, vol 1, Table 2.1-2</t>
  </si>
  <si>
    <t>Parameters for Calculation of Fireplace Changeout Benefit</t>
  </si>
  <si>
    <t xml:space="preserve"># of Fireplaces changed to gas appliances = </t>
  </si>
  <si>
    <t>Emission factors for Fireplaces(lb/ton)</t>
  </si>
  <si>
    <t>Fireplace</t>
  </si>
  <si>
    <t>AP42 - Section 1.9</t>
  </si>
  <si>
    <t>input # of FP's being converted to gas appliances</t>
  </si>
  <si>
    <t>2002 NEI documentation</t>
  </si>
  <si>
    <t>burnrate for heating (cords/unit/yr)</t>
  </si>
  <si>
    <t>burnrate for aesthetics (cords/unit/yr)</t>
  </si>
  <si>
    <t>cords/ton from EIA/DOE</t>
  </si>
  <si>
    <t xml:space="preserve">fraction FP used for heating = </t>
  </si>
  <si>
    <t>Directions for use:</t>
  </si>
  <si>
    <t>Input in cell B2 the number of fireplaces being replaced by gas units</t>
  </si>
  <si>
    <t>Input in cell B4 the fraction of fireplaces that are being used for heating purposes</t>
  </si>
  <si>
    <t xml:space="preserve">fraction FP used for aesthetics = </t>
  </si>
  <si>
    <t>This tool will assume the rest of the fireplaces are being used for aesthetics</t>
  </si>
  <si>
    <t>Excel will calculate emissions reduced in the box below</t>
  </si>
  <si>
    <t>Emission Reduction (tons)</t>
  </si>
  <si>
    <t>This calculator was updated May 21 2008 to include an estimation tool for fireplaces that are being replaced</t>
  </si>
  <si>
    <t>by gas firelogs.  This fireplace calculator assumes that the emissions from the gas firelogs are zero.</t>
  </si>
  <si>
    <t>The fireplace calculator is in the "FP Results table" worksheet.  Directions on how to use are on that worksheet.</t>
  </si>
  <si>
    <t xml:space="preserve">This calculator also estimates the amount of emissions avoided if a number of conventional woodstoves </t>
  </si>
  <si>
    <t xml:space="preserve">are replaced by EPA-certified woodstoves.  The calculator has a function where you can estimate </t>
  </si>
  <si>
    <t xml:space="preserve">the number of conventional woodstoves that get converted to gas heating units. </t>
  </si>
  <si>
    <t>Inputs to the calculations are documented.</t>
  </si>
  <si>
    <t>MARAMA report</t>
  </si>
  <si>
    <t>NEI Pollutant Code</t>
  </si>
  <si>
    <t>This calculator was further updated on July 30 2008 to include HAPs.</t>
  </si>
  <si>
    <t>MARAMA report can be found online at</t>
  </si>
  <si>
    <t>Report title; Control Analysis and Documentation for</t>
  </si>
  <si>
    <t>Residential Wood Combustion in the MANE-VU Region, August 29, 2006</t>
  </si>
  <si>
    <t>Benzene</t>
  </si>
  <si>
    <t>7-PAH</t>
  </si>
  <si>
    <t>16-PAH</t>
  </si>
  <si>
    <t>Dioxin teq</t>
  </si>
  <si>
    <t>1,3-butadiene</t>
  </si>
  <si>
    <t>Methane</t>
  </si>
  <si>
    <t>MARAMA report, Dec 19, 2006</t>
  </si>
  <si>
    <t>Full name of MARAMA report is "Task 6, Technical Memorandum 4 (Final Report), Control Analysis and Documentation</t>
  </si>
  <si>
    <t>for Residential Wood Combustion in the MANE-VU Region" Prepared for MARAMA by OMNI Environmental Services, Inc, Dec 19, 2006.</t>
  </si>
  <si>
    <t>PM10-PRI</t>
  </si>
  <si>
    <t>Acetaldehyde</t>
  </si>
  <si>
    <t>Acrolein</t>
  </si>
  <si>
    <t>Formaldehyde</t>
  </si>
  <si>
    <t>Napthalene</t>
  </si>
  <si>
    <t>Total HAPS</t>
  </si>
  <si>
    <t>75</t>
  </si>
  <si>
    <t>40</t>
  </si>
  <si>
    <t>75070</t>
  </si>
  <si>
    <t>CH4</t>
  </si>
  <si>
    <t>600</t>
  </si>
  <si>
    <t xml:space="preserve">total HAPS =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</si>
</sst>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0"/>
    <numFmt numFmtId="167" formatCode="#,##0.00000"/>
    <numFmt numFmtId="168" formatCode="#,##0.0000000"/>
    <numFmt numFmtId="169" formatCode="#,##0.0000000000"/>
    <numFmt numFmtId="170" formatCode="#,##0.0000000000000"/>
    <numFmt numFmtId="171" formatCode="#,##0.000"/>
    <numFmt numFmtId="172" formatCode="0.000000000000"/>
    <numFmt numFmtId="173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u val="single"/>
      <sz val="12"/>
      <name val="Comic Sans MS"/>
      <family val="4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8" fillId="0" borderId="0" xfId="19" applyAlignment="1">
      <alignment/>
    </xf>
    <xf numFmtId="0" fontId="6" fillId="0" borderId="0" xfId="0" applyFont="1" applyAlignment="1">
      <alignment/>
    </xf>
    <xf numFmtId="17" fontId="0" fillId="0" borderId="0" xfId="0" applyNumberFormat="1" applyAlignment="1">
      <alignment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" fontId="0" fillId="0" borderId="2" xfId="0" applyNumberFormat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2" fontId="0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11" fontId="0" fillId="0" borderId="0" xfId="0" applyNumberFormat="1" applyAlignment="1">
      <alignment/>
    </xf>
    <xf numFmtId="167" fontId="0" fillId="0" borderId="2" xfId="0" applyNumberFormat="1" applyBorder="1" applyAlignment="1" applyProtection="1">
      <alignment/>
      <protection locked="0"/>
    </xf>
    <xf numFmtId="170" fontId="0" fillId="0" borderId="2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ont="1" applyFill="1" applyBorder="1" applyAlignment="1">
      <alignment/>
    </xf>
    <xf numFmtId="167" fontId="0" fillId="0" borderId="3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71" fontId="0" fillId="0" borderId="0" xfId="0" applyNumberFormat="1" applyAlignment="1" applyProtection="1">
      <alignment/>
      <protection locked="0"/>
    </xf>
    <xf numFmtId="0" fontId="0" fillId="0" borderId="4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5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73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untley.roy@epa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B1">
      <selection activeCell="C10" sqref="C10"/>
    </sheetView>
  </sheetViews>
  <sheetFormatPr defaultColWidth="9.140625" defaultRowHeight="12.75"/>
  <cols>
    <col min="1" max="1" width="50.28125" style="18" customWidth="1"/>
    <col min="2" max="2" width="20.00390625" style="18" customWidth="1"/>
    <col min="3" max="3" width="26.7109375" style="18" customWidth="1"/>
    <col min="4" max="4" width="18.421875" style="18" customWidth="1"/>
    <col min="5" max="5" width="21.8515625" style="21" customWidth="1"/>
    <col min="6" max="6" width="9.140625" style="18" customWidth="1"/>
    <col min="7" max="7" width="16.8515625" style="18" bestFit="1" customWidth="1"/>
    <col min="8" max="16384" width="9.140625" style="18" customWidth="1"/>
  </cols>
  <sheetData>
    <row r="1" spans="1:4" ht="39">
      <c r="A1" s="15" t="s">
        <v>38</v>
      </c>
      <c r="B1" s="16" t="s">
        <v>16</v>
      </c>
      <c r="C1" s="17" t="s">
        <v>33</v>
      </c>
      <c r="D1" s="17"/>
    </row>
    <row r="2" spans="1:3" ht="12.75">
      <c r="A2" s="19" t="s">
        <v>12</v>
      </c>
      <c r="B2" s="20">
        <v>1.162</v>
      </c>
      <c r="C2" s="18" t="s">
        <v>47</v>
      </c>
    </row>
    <row r="3" spans="1:3" ht="12.75">
      <c r="A3" s="19" t="s">
        <v>39</v>
      </c>
      <c r="B3" s="20">
        <v>2500</v>
      </c>
      <c r="C3" s="18" t="s">
        <v>43</v>
      </c>
    </row>
    <row r="4" spans="1:2" ht="12.75">
      <c r="A4" s="19" t="s">
        <v>48</v>
      </c>
      <c r="B4" s="20">
        <v>0.1</v>
      </c>
    </row>
    <row r="5" spans="1:2" ht="12.75">
      <c r="A5" s="19" t="s">
        <v>52</v>
      </c>
      <c r="B5" s="25">
        <f>1-B4</f>
        <v>0.9</v>
      </c>
    </row>
    <row r="6" spans="1:2" ht="12.75">
      <c r="A6" s="19"/>
      <c r="B6" s="20"/>
    </row>
    <row r="9" spans="1:7" ht="25.5">
      <c r="A9" s="18" t="s">
        <v>49</v>
      </c>
      <c r="E9" s="21" t="s">
        <v>40</v>
      </c>
      <c r="F9" s="18" t="s">
        <v>41</v>
      </c>
      <c r="G9" s="18" t="s">
        <v>13</v>
      </c>
    </row>
    <row r="10" spans="1:7" ht="12.75">
      <c r="A10" s="18" t="s">
        <v>50</v>
      </c>
      <c r="E10" s="21" t="s">
        <v>2</v>
      </c>
      <c r="F10" s="22">
        <v>253</v>
      </c>
      <c r="G10" s="18" t="s">
        <v>42</v>
      </c>
    </row>
    <row r="11" spans="1:7" ht="12.75">
      <c r="A11" s="18" t="s">
        <v>51</v>
      </c>
      <c r="E11" s="21" t="s">
        <v>1</v>
      </c>
      <c r="F11" s="22">
        <v>0.4</v>
      </c>
      <c r="G11" s="18" t="s">
        <v>42</v>
      </c>
    </row>
    <row r="12" spans="1:7" ht="12.75">
      <c r="A12" s="18" t="s">
        <v>53</v>
      </c>
      <c r="E12" s="21" t="s">
        <v>11</v>
      </c>
      <c r="F12" s="22">
        <v>2.6</v>
      </c>
      <c r="G12" s="18" t="s">
        <v>42</v>
      </c>
    </row>
    <row r="13" spans="1:7" ht="12.75">
      <c r="A13" s="18" t="s">
        <v>54</v>
      </c>
      <c r="E13" s="21" t="s">
        <v>4</v>
      </c>
      <c r="F13" s="22">
        <v>18.9</v>
      </c>
      <c r="G13" s="18" t="s">
        <v>75</v>
      </c>
    </row>
    <row r="14" spans="5:7" ht="12.75">
      <c r="E14" s="21" t="s">
        <v>10</v>
      </c>
      <c r="F14" s="22">
        <v>34.6</v>
      </c>
      <c r="G14" s="18" t="s">
        <v>42</v>
      </c>
    </row>
    <row r="15" spans="5:7" ht="12.75">
      <c r="E15" s="21" t="s">
        <v>78</v>
      </c>
      <c r="F15" s="22">
        <v>34.6</v>
      </c>
      <c r="G15" s="18" t="s">
        <v>42</v>
      </c>
    </row>
    <row r="16" spans="5:7" ht="25.5">
      <c r="E16" s="21" t="s">
        <v>45</v>
      </c>
      <c r="F16" s="22">
        <v>0.656</v>
      </c>
      <c r="G16" s="18" t="s">
        <v>44</v>
      </c>
    </row>
    <row r="17" spans="5:7" ht="25.5">
      <c r="E17" s="21" t="s">
        <v>46</v>
      </c>
      <c r="F17" s="22">
        <v>0.069</v>
      </c>
      <c r="G17" s="18" t="s">
        <v>44</v>
      </c>
    </row>
    <row r="18" ht="12.75">
      <c r="D18" s="38" t="s">
        <v>64</v>
      </c>
    </row>
    <row r="19" spans="4:7" ht="12.75">
      <c r="D19" s="39" t="s">
        <v>88</v>
      </c>
      <c r="E19" s="31" t="s">
        <v>72</v>
      </c>
      <c r="F19" s="32">
        <v>7.86888888888889E-10</v>
      </c>
      <c r="G19" s="18" t="s">
        <v>75</v>
      </c>
    </row>
    <row r="20" spans="4:7" ht="13.5" thickBot="1">
      <c r="D20" s="40">
        <v>106990</v>
      </c>
      <c r="E20" s="31" t="s">
        <v>73</v>
      </c>
      <c r="F20">
        <v>0.15730000000000002</v>
      </c>
      <c r="G20" s="18" t="s">
        <v>75</v>
      </c>
    </row>
    <row r="21" spans="2:7" ht="16.5" thickTop="1">
      <c r="B21" s="54" t="s">
        <v>55</v>
      </c>
      <c r="C21" s="55"/>
      <c r="D21" s="41" t="s">
        <v>85</v>
      </c>
      <c r="E21" s="31" t="s">
        <v>71</v>
      </c>
      <c r="F21">
        <v>0.75</v>
      </c>
      <c r="G21" s="18" t="s">
        <v>75</v>
      </c>
    </row>
    <row r="22" spans="2:7" ht="12.75">
      <c r="B22" s="23" t="s">
        <v>7</v>
      </c>
      <c r="C22" s="24" t="s">
        <v>22</v>
      </c>
      <c r="D22" s="41" t="s">
        <v>84</v>
      </c>
      <c r="E22" s="31" t="s">
        <v>70</v>
      </c>
      <c r="F22">
        <v>0.22</v>
      </c>
      <c r="G22" s="18" t="s">
        <v>75</v>
      </c>
    </row>
    <row r="23" spans="2:7" ht="12.75">
      <c r="B23" s="23" t="s">
        <v>2</v>
      </c>
      <c r="C23" s="26">
        <f>((Frac_Heating*BR_Heating)+(Frac_Aesth*BR_Aesth))*(Numb_FP*EF_CO*cords_tons)/2000</f>
        <v>46.927515250000006</v>
      </c>
      <c r="D23" s="41" t="s">
        <v>86</v>
      </c>
      <c r="E23" s="31" t="s">
        <v>79</v>
      </c>
      <c r="F23">
        <v>1.0689311111111113</v>
      </c>
      <c r="G23" s="18" t="s">
        <v>75</v>
      </c>
    </row>
    <row r="24" spans="2:7" ht="12.75">
      <c r="B24" s="23" t="s">
        <v>1</v>
      </c>
      <c r="C24" s="26">
        <f>((Frac_Heating*BR_Heating)+(Frac_Aesth*BR_Aesth))*(Numb_FP*EF_SO2*cords_tons)/2000</f>
        <v>0.0741937</v>
      </c>
      <c r="D24" s="40">
        <v>107028</v>
      </c>
      <c r="E24" s="31" t="s">
        <v>80</v>
      </c>
      <c r="F24">
        <v>0.12339833333333333</v>
      </c>
      <c r="G24" s="18" t="s">
        <v>75</v>
      </c>
    </row>
    <row r="25" spans="2:7" ht="12.75">
      <c r="B25" s="23" t="s">
        <v>11</v>
      </c>
      <c r="C25" s="26">
        <f>((Frac_Heating*BR_Heating)+(Frac_Aesth*BR_Aesth))*(Numb_FP*EF_NOX*cords_tons)/2000</f>
        <v>0.48225904999999997</v>
      </c>
      <c r="D25" s="40">
        <v>71432</v>
      </c>
      <c r="E25" s="31" t="s">
        <v>69</v>
      </c>
      <c r="F25">
        <v>0.6857800000000001</v>
      </c>
      <c r="G25" s="18" t="s">
        <v>75</v>
      </c>
    </row>
    <row r="26" spans="2:7" ht="12.75">
      <c r="B26" s="23" t="s">
        <v>4</v>
      </c>
      <c r="C26" s="26">
        <f>((Frac_Heating*BR_Heating)+(Frac_Aesth*BR_Aesth))*(Numb_FP*EF_VOC*cords_tons)/2000</f>
        <v>3.5056523249999993</v>
      </c>
      <c r="D26" s="41">
        <v>50000</v>
      </c>
      <c r="E26" s="31" t="s">
        <v>81</v>
      </c>
      <c r="F26">
        <v>1.7933175</v>
      </c>
      <c r="G26" s="18" t="s">
        <v>75</v>
      </c>
    </row>
    <row r="27" spans="2:7" ht="12.75">
      <c r="B27" s="23" t="s">
        <v>10</v>
      </c>
      <c r="C27" s="26">
        <f>((Frac_Heating*BR_Heating)+(Frac_Aesth*BR_Aesth))*(Numb_FP*EF_PM25*cords_tons)/2000</f>
        <v>6.41775505</v>
      </c>
      <c r="D27" s="41" t="s">
        <v>87</v>
      </c>
      <c r="E27" s="31" t="s">
        <v>74</v>
      </c>
      <c r="F27">
        <v>14.413333333333334</v>
      </c>
      <c r="G27" s="18" t="s">
        <v>75</v>
      </c>
    </row>
    <row r="28" spans="2:7" ht="12.75">
      <c r="B28" s="35" t="s">
        <v>78</v>
      </c>
      <c r="C28" s="26">
        <f>((Frac_Heating*BR_Heating)+(Frac_Aesth*BR_Aesth))*(Numb_FP*F15*cords_tons)/2000</f>
        <v>6.41775505</v>
      </c>
      <c r="D28" s="42">
        <v>91203</v>
      </c>
      <c r="E28" s="31" t="s">
        <v>82</v>
      </c>
      <c r="F28">
        <v>0.26502000000000003</v>
      </c>
      <c r="G28" s="18" t="s">
        <v>75</v>
      </c>
    </row>
    <row r="29" spans="2:6" ht="12.75">
      <c r="B29" s="36" t="s">
        <v>72</v>
      </c>
      <c r="C29" s="34">
        <f aca="true" t="shared" si="0" ref="C29:C38">((Frac_Heating*BR_Heating)+(Frac_Aesth*BR_Aesth))*(Numb_FP*F19*cords_tons)/2000</f>
        <v>1.459554953888889E-10</v>
      </c>
      <c r="D29" s="39"/>
      <c r="E29" s="31"/>
      <c r="F29"/>
    </row>
    <row r="30" spans="2:6" ht="12.75">
      <c r="B30" s="36" t="s">
        <v>73</v>
      </c>
      <c r="C30" s="33">
        <f t="shared" si="0"/>
        <v>0.029176672525000006</v>
      </c>
      <c r="D30" s="39"/>
      <c r="E30" s="31"/>
      <c r="F30"/>
    </row>
    <row r="31" spans="2:6" ht="12.75">
      <c r="B31" s="36" t="s">
        <v>71</v>
      </c>
      <c r="C31" s="33">
        <f t="shared" si="0"/>
        <v>0.1391131875</v>
      </c>
      <c r="E31" s="18"/>
      <c r="F31"/>
    </row>
    <row r="32" spans="2:6" ht="12.75">
      <c r="B32" s="36" t="s">
        <v>70</v>
      </c>
      <c r="C32" s="33">
        <f t="shared" si="0"/>
        <v>0.040806535</v>
      </c>
      <c r="E32"/>
      <c r="F32"/>
    </row>
    <row r="33" spans="2:6" ht="12.75">
      <c r="B33" s="36" t="s">
        <v>79</v>
      </c>
      <c r="C33" s="33">
        <f t="shared" si="0"/>
        <v>0.19826988544611113</v>
      </c>
      <c r="E33" s="18"/>
      <c r="F33"/>
    </row>
    <row r="34" spans="2:6" ht="12.75">
      <c r="B34" s="36" t="s">
        <v>80</v>
      </c>
      <c r="C34" s="33">
        <f t="shared" si="0"/>
        <v>0.022888447309583334</v>
      </c>
      <c r="E34"/>
      <c r="F34"/>
    </row>
    <row r="35" spans="2:6" ht="12.75">
      <c r="B35" s="36" t="s">
        <v>69</v>
      </c>
      <c r="C35" s="33">
        <f t="shared" si="0"/>
        <v>0.127201388965</v>
      </c>
      <c r="E35" s="18"/>
      <c r="F35"/>
    </row>
    <row r="36" spans="2:6" ht="12.75">
      <c r="B36" s="36" t="s">
        <v>81</v>
      </c>
      <c r="C36" s="33">
        <f t="shared" si="0"/>
        <v>0.332632151499375</v>
      </c>
      <c r="E36"/>
      <c r="F36"/>
    </row>
    <row r="37" spans="2:6" ht="12.75">
      <c r="B37" s="36" t="s">
        <v>74</v>
      </c>
      <c r="C37" s="33">
        <f t="shared" si="0"/>
        <v>2.673446323333333</v>
      </c>
      <c r="E37"/>
      <c r="F37"/>
    </row>
    <row r="38" spans="2:6" ht="13.5" thickBot="1">
      <c r="B38" s="46" t="s">
        <v>82</v>
      </c>
      <c r="C38" s="37">
        <f t="shared" si="0"/>
        <v>0.049157035935</v>
      </c>
      <c r="E38"/>
      <c r="F38"/>
    </row>
    <row r="39" spans="5:6" ht="13.5" thickTop="1">
      <c r="E39"/>
      <c r="F39"/>
    </row>
    <row r="40" spans="2:6" ht="12.75">
      <c r="B40" s="18" t="s">
        <v>83</v>
      </c>
      <c r="C40" s="43">
        <f>SUM(C29+C30+C31+C32+C33+C34+C35+C36+C38)</f>
        <v>0.9392453043260249</v>
      </c>
      <c r="E40" s="18"/>
      <c r="F40"/>
    </row>
    <row r="41" spans="5:6" ht="12.75">
      <c r="E41"/>
      <c r="F41"/>
    </row>
  </sheetData>
  <sheetProtection insertColumns="0" insertRows="0"/>
  <mergeCells count="1">
    <mergeCell ref="B21:C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4">
      <selection activeCell="B16" sqref="B16"/>
    </sheetView>
  </sheetViews>
  <sheetFormatPr defaultColWidth="9.140625" defaultRowHeight="12.75"/>
  <cols>
    <col min="1" max="1" width="47.8515625" style="0" bestFit="1" customWidth="1"/>
    <col min="2" max="2" width="14.8515625" style="0" customWidth="1"/>
    <col min="3" max="3" width="24.421875" style="0" customWidth="1"/>
    <col min="5" max="5" width="13.7109375" style="0" customWidth="1"/>
    <col min="6" max="6" width="18.00390625" style="0" bestFit="1" customWidth="1"/>
    <col min="7" max="7" width="15.00390625" style="0" customWidth="1"/>
    <col min="8" max="8" width="13.421875" style="0" customWidth="1"/>
  </cols>
  <sheetData>
    <row r="1" spans="1:3" s="6" customFormat="1" ht="39">
      <c r="A1" s="5" t="s">
        <v>17</v>
      </c>
      <c r="B1" s="7" t="s">
        <v>16</v>
      </c>
      <c r="C1" s="13" t="s">
        <v>33</v>
      </c>
    </row>
    <row r="2" spans="1:3" ht="12.75">
      <c r="A2" s="2" t="s">
        <v>18</v>
      </c>
      <c r="B2" s="3">
        <v>3</v>
      </c>
      <c r="C2" t="s">
        <v>23</v>
      </c>
    </row>
    <row r="3" spans="1:3" ht="12.75">
      <c r="A3" s="2" t="s">
        <v>12</v>
      </c>
      <c r="B3" s="3">
        <v>1.162</v>
      </c>
      <c r="C3" t="s">
        <v>14</v>
      </c>
    </row>
    <row r="4" spans="1:2" ht="12.75">
      <c r="A4" s="2" t="s">
        <v>20</v>
      </c>
      <c r="B4" s="3">
        <v>5000</v>
      </c>
    </row>
    <row r="5" spans="1:3" ht="12.75">
      <c r="A5" s="2" t="s">
        <v>8</v>
      </c>
      <c r="B5" s="3">
        <v>54</v>
      </c>
      <c r="C5" t="s">
        <v>15</v>
      </c>
    </row>
    <row r="6" spans="1:3" ht="12.75">
      <c r="A6" s="2" t="s">
        <v>9</v>
      </c>
      <c r="B6" s="3">
        <v>68</v>
      </c>
      <c r="C6" t="s">
        <v>15</v>
      </c>
    </row>
    <row r="7" spans="1:3" ht="12.75">
      <c r="A7" s="2" t="s">
        <v>19</v>
      </c>
      <c r="B7" s="3">
        <v>0.8</v>
      </c>
      <c r="C7" t="s">
        <v>28</v>
      </c>
    </row>
    <row r="9" spans="2:6" ht="25.5">
      <c r="B9" s="1" t="s">
        <v>64</v>
      </c>
      <c r="C9" s="1" t="s">
        <v>0</v>
      </c>
      <c r="D9" t="s">
        <v>5</v>
      </c>
      <c r="E9" t="s">
        <v>6</v>
      </c>
      <c r="F9" t="s">
        <v>13</v>
      </c>
    </row>
    <row r="10" spans="3:6" ht="12.75">
      <c r="C10" t="s">
        <v>2</v>
      </c>
      <c r="D10" s="11">
        <v>230.8</v>
      </c>
      <c r="E10" s="11">
        <v>107</v>
      </c>
      <c r="F10" t="s">
        <v>24</v>
      </c>
    </row>
    <row r="11" spans="3:6" ht="12.75">
      <c r="C11" t="s">
        <v>1</v>
      </c>
      <c r="D11" s="11">
        <v>0.4</v>
      </c>
      <c r="E11" s="11">
        <v>0.4</v>
      </c>
      <c r="F11" t="s">
        <v>24</v>
      </c>
    </row>
    <row r="12" spans="3:6" ht="12.75">
      <c r="C12" t="s">
        <v>11</v>
      </c>
      <c r="D12" s="11">
        <v>2.8</v>
      </c>
      <c r="E12" s="11">
        <v>2</v>
      </c>
      <c r="F12" t="s">
        <v>24</v>
      </c>
    </row>
    <row r="13" spans="3:6" ht="12.75">
      <c r="C13" t="s">
        <v>4</v>
      </c>
      <c r="D13" s="11">
        <v>53</v>
      </c>
      <c r="E13" s="11">
        <v>15</v>
      </c>
      <c r="F13" t="s">
        <v>24</v>
      </c>
    </row>
    <row r="14" spans="3:6" ht="12.75">
      <c r="C14" t="s">
        <v>10</v>
      </c>
      <c r="D14" s="11">
        <v>30.6</v>
      </c>
      <c r="E14" s="11">
        <v>12</v>
      </c>
      <c r="F14" t="s">
        <v>34</v>
      </c>
    </row>
    <row r="15" spans="3:6" ht="12.75">
      <c r="C15" t="s">
        <v>78</v>
      </c>
      <c r="D15" s="11">
        <v>30.6</v>
      </c>
      <c r="E15" s="11">
        <v>12</v>
      </c>
      <c r="F15" t="s">
        <v>34</v>
      </c>
    </row>
    <row r="16" spans="1:6" ht="12.75">
      <c r="A16" s="44"/>
      <c r="B16" s="39" t="s">
        <v>88</v>
      </c>
      <c r="C16" s="31" t="s">
        <v>72</v>
      </c>
      <c r="D16">
        <v>4.603000000000001E-09</v>
      </c>
      <c r="E16">
        <v>7.94E-10</v>
      </c>
      <c r="F16" t="s">
        <v>63</v>
      </c>
    </row>
    <row r="17" spans="1:6" ht="12.75">
      <c r="A17" s="44"/>
      <c r="B17" s="40">
        <v>106990</v>
      </c>
      <c r="C17" s="31" t="s">
        <v>73</v>
      </c>
      <c r="D17" s="11">
        <v>0.4</v>
      </c>
      <c r="E17" s="11">
        <v>0.18</v>
      </c>
      <c r="F17" t="s">
        <v>24</v>
      </c>
    </row>
    <row r="18" spans="1:6" ht="12.75">
      <c r="A18" s="44"/>
      <c r="B18" s="41" t="s">
        <v>85</v>
      </c>
      <c r="C18" s="31" t="s">
        <v>71</v>
      </c>
      <c r="D18" s="11">
        <v>0.64</v>
      </c>
      <c r="E18" s="11">
        <v>0.3</v>
      </c>
      <c r="F18" t="s">
        <v>63</v>
      </c>
    </row>
    <row r="19" spans="1:6" ht="12.75">
      <c r="A19" s="44"/>
      <c r="B19" s="41" t="s">
        <v>84</v>
      </c>
      <c r="C19" s="31" t="s">
        <v>70</v>
      </c>
      <c r="D19" s="11">
        <v>0.04</v>
      </c>
      <c r="E19" s="11">
        <v>0.02</v>
      </c>
      <c r="F19" t="s">
        <v>24</v>
      </c>
    </row>
    <row r="20" spans="1:6" ht="12.75">
      <c r="A20" s="44"/>
      <c r="B20" s="41" t="s">
        <v>86</v>
      </c>
      <c r="C20" s="31" t="s">
        <v>79</v>
      </c>
      <c r="D20" s="11">
        <v>0.62</v>
      </c>
      <c r="E20" s="11">
        <v>0.54</v>
      </c>
      <c r="F20" t="s">
        <v>63</v>
      </c>
    </row>
    <row r="21" spans="1:6" ht="12.75">
      <c r="A21" s="44"/>
      <c r="B21" s="40">
        <v>107028</v>
      </c>
      <c r="C21" s="31" t="s">
        <v>80</v>
      </c>
      <c r="D21" s="11">
        <v>0.1</v>
      </c>
      <c r="E21" s="11">
        <v>0.04</v>
      </c>
      <c r="F21" t="s">
        <v>24</v>
      </c>
    </row>
    <row r="22" spans="1:6" ht="12.75">
      <c r="A22" s="44"/>
      <c r="B22" s="40">
        <v>71432</v>
      </c>
      <c r="C22" s="31" t="s">
        <v>69</v>
      </c>
      <c r="D22" s="11">
        <v>2.16</v>
      </c>
      <c r="E22" s="11">
        <v>0.96</v>
      </c>
      <c r="F22" t="s">
        <v>24</v>
      </c>
    </row>
    <row r="23" spans="1:6" ht="12.75">
      <c r="A23" s="44"/>
      <c r="B23" s="41">
        <v>50000</v>
      </c>
      <c r="C23" s="31" t="s">
        <v>81</v>
      </c>
      <c r="D23" s="11">
        <v>1.46</v>
      </c>
      <c r="E23" s="11">
        <v>0.98</v>
      </c>
      <c r="F23" t="s">
        <v>24</v>
      </c>
    </row>
    <row r="24" spans="1:6" ht="12.75">
      <c r="A24" s="44"/>
      <c r="B24" s="41" t="s">
        <v>87</v>
      </c>
      <c r="C24" s="31" t="s">
        <v>74</v>
      </c>
      <c r="D24" s="11">
        <v>64</v>
      </c>
      <c r="E24" s="11">
        <v>28.4</v>
      </c>
      <c r="F24" t="s">
        <v>24</v>
      </c>
    </row>
    <row r="25" spans="1:6" ht="12.75">
      <c r="A25" s="44"/>
      <c r="B25" s="42">
        <v>91203</v>
      </c>
      <c r="C25" s="31" t="s">
        <v>82</v>
      </c>
      <c r="D25" s="11">
        <v>0.18</v>
      </c>
      <c r="E25" s="11">
        <v>0.14</v>
      </c>
      <c r="F25" t="s">
        <v>63</v>
      </c>
    </row>
    <row r="26" spans="1:5" ht="12.75">
      <c r="A26" s="45"/>
      <c r="D26" s="11"/>
      <c r="E26" s="11"/>
    </row>
    <row r="27" ht="13.5" thickBot="1"/>
    <row r="28" spans="2:4" ht="16.5" thickTop="1">
      <c r="B28" s="56" t="s">
        <v>21</v>
      </c>
      <c r="C28" s="57"/>
      <c r="D28" s="9"/>
    </row>
    <row r="29" spans="2:6" ht="12.75">
      <c r="B29" s="47" t="s">
        <v>7</v>
      </c>
      <c r="C29" s="48" t="s">
        <v>22</v>
      </c>
      <c r="D29" s="8"/>
      <c r="F29" t="s">
        <v>35</v>
      </c>
    </row>
    <row r="30" spans="2:6" ht="12.75">
      <c r="B30" s="27" t="s">
        <v>2</v>
      </c>
      <c r="C30" s="28">
        <f>NumberStoves*Calculations!D10</f>
        <v>1419.0070588235292</v>
      </c>
      <c r="D30" s="4"/>
      <c r="F30" t="s">
        <v>37</v>
      </c>
    </row>
    <row r="31" spans="2:6" ht="12.75">
      <c r="B31" s="27" t="s">
        <v>1</v>
      </c>
      <c r="C31" s="28">
        <f>NumberStoves*Calculations!D11</f>
        <v>1.271364705882353</v>
      </c>
      <c r="D31" s="4"/>
      <c r="F31" t="s">
        <v>36</v>
      </c>
    </row>
    <row r="32" spans="1:7" ht="12.75">
      <c r="A32" s="10"/>
      <c r="B32" s="27" t="s">
        <v>11</v>
      </c>
      <c r="C32" s="28">
        <f>NumberStoves*Calculations!D12</f>
        <v>13.328823529411759</v>
      </c>
      <c r="D32" s="4"/>
      <c r="G32" s="14">
        <v>36130</v>
      </c>
    </row>
    <row r="33" spans="2:6" ht="12.75">
      <c r="B33" s="27" t="s">
        <v>4</v>
      </c>
      <c r="C33" s="28">
        <f>NumberStoves*Calculations!D13</f>
        <v>378.8461764705882</v>
      </c>
      <c r="D33" s="4"/>
      <c r="F33" t="s">
        <v>66</v>
      </c>
    </row>
    <row r="34" spans="2:4" ht="12.75">
      <c r="B34" s="27" t="s">
        <v>10</v>
      </c>
      <c r="C34" s="28">
        <f>NumberStoves*Calculations!D14</f>
        <v>200.23994117647058</v>
      </c>
      <c r="D34" s="4"/>
    </row>
    <row r="35" spans="2:6" ht="12.75">
      <c r="B35" s="36" t="s">
        <v>78</v>
      </c>
      <c r="C35" s="28">
        <f>NumberStoves*Calculations!D15</f>
        <v>200.23994117647058</v>
      </c>
      <c r="D35" s="4"/>
      <c r="F35" t="s">
        <v>67</v>
      </c>
    </row>
    <row r="36" spans="2:6" ht="12.75">
      <c r="B36" s="36" t="s">
        <v>72</v>
      </c>
      <c r="C36" s="52">
        <f>NumberStoves*Calculations!D16</f>
        <v>3.5719093941176474E-08</v>
      </c>
      <c r="F36" t="s">
        <v>68</v>
      </c>
    </row>
    <row r="37" spans="2:3" ht="12.75">
      <c r="B37" s="36" t="s">
        <v>73</v>
      </c>
      <c r="C37" s="29">
        <f>NumberStoves*Calculations!D17</f>
        <v>2.489414117647059</v>
      </c>
    </row>
    <row r="38" spans="2:3" ht="12.75">
      <c r="B38" s="36" t="s">
        <v>71</v>
      </c>
      <c r="C38" s="29">
        <f>NumberStoves*Calculations!D18</f>
        <v>3.9166235294117637</v>
      </c>
    </row>
    <row r="39" spans="2:3" ht="12.75">
      <c r="B39" s="36" t="s">
        <v>70</v>
      </c>
      <c r="C39" s="29">
        <f>NumberStoves*Calculations!D19</f>
        <v>0.23786823529411763</v>
      </c>
    </row>
    <row r="40" spans="2:3" ht="12.75">
      <c r="B40" s="36" t="s">
        <v>79</v>
      </c>
      <c r="C40" s="29">
        <f>NumberStoves*Calculations!D20</f>
        <v>2.413542352941177</v>
      </c>
    </row>
    <row r="41" spans="2:3" ht="12.75">
      <c r="B41" s="36" t="s">
        <v>80</v>
      </c>
      <c r="C41" s="29">
        <f>NumberStoves*Calculations!D21</f>
        <v>0.6500364705882354</v>
      </c>
    </row>
    <row r="42" spans="2:3" ht="12.75">
      <c r="B42" s="36" t="s">
        <v>69</v>
      </c>
      <c r="C42" s="29">
        <f>NumberStoves*Calculations!D22</f>
        <v>13.509275294117646</v>
      </c>
    </row>
    <row r="43" spans="2:3" ht="12.75">
      <c r="B43" s="36" t="s">
        <v>81</v>
      </c>
      <c r="C43" s="29">
        <f>NumberStoves*Calculations!D23</f>
        <v>7.298043529411764</v>
      </c>
    </row>
    <row r="44" spans="2:3" ht="12.75">
      <c r="B44" s="36" t="s">
        <v>74</v>
      </c>
      <c r="C44" s="28">
        <f>NumberStoves*Calculations!D24</f>
        <v>400.52089411764706</v>
      </c>
    </row>
    <row r="45" spans="2:3" ht="13.5" thickBot="1">
      <c r="B45" s="46" t="s">
        <v>82</v>
      </c>
      <c r="C45" s="30">
        <f>NumberStoves*Calculations!D25</f>
        <v>0.7935776470588233</v>
      </c>
    </row>
    <row r="46" spans="2:3" ht="13.5" thickTop="1">
      <c r="B46" s="49"/>
      <c r="C46" s="51"/>
    </row>
    <row r="47" spans="2:3" ht="12.75">
      <c r="B47" s="50" t="s">
        <v>89</v>
      </c>
      <c r="C47" s="53">
        <f>SUM(C36+C37+C38+C39+C40+C41+C42+C43+C45)</f>
        <v>31.308381212189676</v>
      </c>
    </row>
  </sheetData>
  <mergeCells count="1">
    <mergeCell ref="B28:C28"/>
  </mergeCells>
  <printOptions/>
  <pageMargins left="0.75" right="0.75" top="1" bottom="1" header="0.5" footer="0.5"/>
  <pageSetup fitToHeight="1" fitToWidth="1" horizontalDpi="600" verticalDpi="600" orientation="landscape" scale="77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9:D25"/>
  <sheetViews>
    <sheetView workbookViewId="0" topLeftCell="A1">
      <selection activeCell="D14" sqref="D14"/>
    </sheetView>
  </sheetViews>
  <sheetFormatPr defaultColWidth="9.140625" defaultRowHeight="12.75"/>
  <cols>
    <col min="1" max="1" width="14.7109375" style="0" customWidth="1"/>
    <col min="2" max="2" width="15.8515625" style="0" bestFit="1" customWidth="1"/>
    <col min="3" max="3" width="14.421875" style="0" bestFit="1" customWidth="1"/>
  </cols>
  <sheetData>
    <row r="9" spans="1:4" s="6" customFormat="1" ht="12.75">
      <c r="A9" s="6" t="s">
        <v>7</v>
      </c>
      <c r="B9" s="6" t="s">
        <v>25</v>
      </c>
      <c r="C9" s="6" t="s">
        <v>26</v>
      </c>
      <c r="D9" s="6" t="s">
        <v>27</v>
      </c>
    </row>
    <row r="10" spans="1:4" ht="12.75">
      <c r="A10" t="s">
        <v>2</v>
      </c>
      <c r="B10">
        <f>Cords_of_Wood_Burned_per_Woodstove*Conversion*CO_Conv_EF/2000</f>
        <v>0.4022844</v>
      </c>
      <c r="C10">
        <f>Cords_of_Wood_Burned_per_Woodstove*Conversion*CO_Cert_EF*Frac_Change2WoodStoves*Conventional_WS_Eff/2000/Certified_WS_Eff</f>
        <v>0.11848298823529411</v>
      </c>
      <c r="D10">
        <f>B10-C10</f>
        <v>0.28380141176470586</v>
      </c>
    </row>
    <row r="11" spans="1:4" ht="12.75">
      <c r="A11" t="s">
        <v>1</v>
      </c>
      <c r="B11">
        <f>Cords_of_Wood_Burned_per_Woodstove*Conversion*SO2_Conv_EF/2000</f>
        <v>0.0006972</v>
      </c>
      <c r="C11">
        <f>Cords_of_Wood_Burned_per_Woodstove*Conversion*SO2_Cert_EF*Frac_Change2WoodStoves*Conventional_WS_Eff/2000/Certified_WS_Eff</f>
        <v>0.00044292705882352946</v>
      </c>
      <c r="D11">
        <f>B11-C11</f>
        <v>0.0002542729411764706</v>
      </c>
    </row>
    <row r="12" spans="1:4" ht="12.75">
      <c r="A12" t="s">
        <v>3</v>
      </c>
      <c r="B12">
        <f>Cords_of_Wood_Burned_per_Woodstove*Conversion*NOX_Conv_EF/2000</f>
        <v>0.004880399999999999</v>
      </c>
      <c r="C12">
        <f>Cords_of_Wood_Burned_per_Woodstove*Conversion*NOX_Cert_EF*Frac_Change2WoodStoves*Conventional_WS_Eff/2000/Certified_WS_Eff</f>
        <v>0.0022146352941176473</v>
      </c>
      <c r="D12">
        <f>B12-C12</f>
        <v>0.002665764705882352</v>
      </c>
    </row>
    <row r="13" spans="1:4" ht="12.75">
      <c r="A13" t="s">
        <v>4</v>
      </c>
      <c r="B13">
        <f>Cords_of_Wood_Burned_per_Woodstove*Conversion*VOC_Conv_EF/2000</f>
        <v>0.09237899999999999</v>
      </c>
      <c r="C13">
        <f>Cords_of_Wood_Burned_per_Woodstove*Conversion*VOC_Cert_EF*Frac_Change2WoodStoves*Conventional_WS_Eff/2000/Certified_WS_Eff</f>
        <v>0.01660976470588235</v>
      </c>
      <c r="D13">
        <f>B13-C13</f>
        <v>0.07576923529411764</v>
      </c>
    </row>
    <row r="14" spans="1:4" ht="12.75">
      <c r="A14" t="s">
        <v>10</v>
      </c>
      <c r="B14">
        <f>Cords_of_Wood_Burned_per_Woodstove*Conversion*PM25_Conv_EF/2000</f>
        <v>0.053335799999999996</v>
      </c>
      <c r="C14">
        <f>Cords_of_Wood_Burned_per_Woodstove*Conversion*PM25_Cert_EF*Frac_Change2WoodStoves*Conventional_WS_Eff/2000/Certified_WS_Eff</f>
        <v>0.01328781176470588</v>
      </c>
      <c r="D14">
        <f aca="true" t="shared" si="0" ref="D14:D25">B14-C14</f>
        <v>0.04004798823529412</v>
      </c>
    </row>
    <row r="15" spans="1:4" ht="12.75">
      <c r="A15" t="s">
        <v>78</v>
      </c>
      <c r="B15">
        <f>Cords_of_Wood_Burned_per_Woodstove*Conversion*'WS Results table'!D15/2000</f>
        <v>0.053335799999999996</v>
      </c>
      <c r="C15">
        <f>Cords_of_Wood_Burned_per_Woodstove*Conversion*'WS Results table'!E15*Frac_Change2WoodStoves*Conventional_WS_Eff/2000/Certified_WS_Eff</f>
        <v>0.01328781176470588</v>
      </c>
      <c r="D15">
        <f t="shared" si="0"/>
        <v>0.04004798823529412</v>
      </c>
    </row>
    <row r="16" spans="1:4" ht="12.75">
      <c r="A16" s="31" t="s">
        <v>72</v>
      </c>
      <c r="B16">
        <f>Cords_of_Wood_Burned_per_Woodstove*Conversion*'WS Results table'!D16/2000</f>
        <v>8.023029E-12</v>
      </c>
      <c r="C16">
        <f>Cords_of_Wood_Burned_per_Woodstove*Conversion*'WS Results table'!E16*Frac_Change2WoodStoves*Conventional_WS_Eff/2000/Certified_WS_Eff</f>
        <v>8.792102117647057E-13</v>
      </c>
      <c r="D16">
        <f t="shared" si="0"/>
        <v>7.143818788235295E-12</v>
      </c>
    </row>
    <row r="17" spans="1:4" ht="12.75">
      <c r="A17" s="31" t="s">
        <v>73</v>
      </c>
      <c r="B17">
        <f>Cords_of_Wood_Burned_per_Woodstove*Conversion*'WS Results table'!D17/2000</f>
        <v>0.0006972</v>
      </c>
      <c r="C17">
        <f>Cords_of_Wood_Burned_per_Woodstove*Conversion*'WS Results table'!E17*Frac_Change2WoodStoves*Conventional_WS_Eff/2000/Certified_WS_Eff</f>
        <v>0.00019931717647058824</v>
      </c>
      <c r="D17">
        <f t="shared" si="0"/>
        <v>0.0004978828235294118</v>
      </c>
    </row>
    <row r="18" spans="1:4" ht="12.75">
      <c r="A18" s="31" t="s">
        <v>71</v>
      </c>
      <c r="B18">
        <f>Cords_of_Wood_Burned_per_Woodstove*Conversion*'WS Results table'!D18/2000</f>
        <v>0.0011155199999999998</v>
      </c>
      <c r="C18">
        <f>Cords_of_Wood_Burned_per_Woodstove*Conversion*'WS Results table'!E18*Frac_Change2WoodStoves*Conventional_WS_Eff/2000/Certified_WS_Eff</f>
        <v>0.00033219529411764704</v>
      </c>
      <c r="D18">
        <f t="shared" si="0"/>
        <v>0.0007833247058823527</v>
      </c>
    </row>
    <row r="19" spans="1:4" ht="12.75">
      <c r="A19" s="31" t="s">
        <v>70</v>
      </c>
      <c r="B19">
        <f>Cords_of_Wood_Burned_per_Woodstove*Conversion*'WS Results table'!D19/2000</f>
        <v>6.971999999999999E-05</v>
      </c>
      <c r="C19">
        <f>Cords_of_Wood_Burned_per_Woodstove*Conversion*'WS Results table'!E19*Frac_Change2WoodStoves*Conventional_WS_Eff/2000/Certified_WS_Eff</f>
        <v>2.2146352941176465E-05</v>
      </c>
      <c r="D19">
        <f t="shared" si="0"/>
        <v>4.757364705882353E-05</v>
      </c>
    </row>
    <row r="20" spans="1:4" ht="12.75">
      <c r="A20" s="31" t="s">
        <v>79</v>
      </c>
      <c r="B20">
        <f>Cords_of_Wood_Burned_per_Woodstove*Conversion*'WS Results table'!D20/2000</f>
        <v>0.00108066</v>
      </c>
      <c r="C20">
        <f>Cords_of_Wood_Burned_per_Woodstove*Conversion*'WS Results table'!E20*Frac_Change2WoodStoves*Conventional_WS_Eff/2000/Certified_WS_Eff</f>
        <v>0.0005979515294117646</v>
      </c>
      <c r="D20">
        <f t="shared" si="0"/>
        <v>0.00048270847058823536</v>
      </c>
    </row>
    <row r="21" spans="1:4" ht="12.75">
      <c r="A21" s="31" t="s">
        <v>80</v>
      </c>
      <c r="B21">
        <f>Cords_of_Wood_Burned_per_Woodstove*Conversion*'WS Results table'!D21/2000</f>
        <v>0.0001743</v>
      </c>
      <c r="C21">
        <f>Cords_of_Wood_Burned_per_Woodstove*Conversion*'WS Results table'!E21*Frac_Change2WoodStoves*Conventional_WS_Eff/2000/Certified_WS_Eff</f>
        <v>4.429270588235293E-05</v>
      </c>
      <c r="D21">
        <f t="shared" si="0"/>
        <v>0.00013000729411764708</v>
      </c>
    </row>
    <row r="22" spans="1:4" ht="12.75">
      <c r="A22" s="31" t="s">
        <v>69</v>
      </c>
      <c r="B22">
        <f>Cords_of_Wood_Burned_per_Woodstove*Conversion*'WS Results table'!D22/2000</f>
        <v>0.00376488</v>
      </c>
      <c r="C22">
        <f>Cords_of_Wood_Burned_per_Woodstove*Conversion*'WS Results table'!E22*Frac_Change2WoodStoves*Conventional_WS_Eff/2000/Certified_WS_Eff</f>
        <v>0.0010630249411764706</v>
      </c>
      <c r="D22">
        <f t="shared" si="0"/>
        <v>0.0027018550588235293</v>
      </c>
    </row>
    <row r="23" spans="1:4" ht="12.75">
      <c r="A23" s="31" t="s">
        <v>81</v>
      </c>
      <c r="B23">
        <f>Cords_of_Wood_Burned_per_Woodstove*Conversion*'WS Results table'!D23/2000</f>
        <v>0.00254478</v>
      </c>
      <c r="C23">
        <f>Cords_of_Wood_Burned_per_Woodstove*Conversion*'WS Results table'!E23*Frac_Change2WoodStoves*Conventional_WS_Eff/2000/Certified_WS_Eff</f>
        <v>0.0010851712941176471</v>
      </c>
      <c r="D23">
        <f t="shared" si="0"/>
        <v>0.0014596087058823528</v>
      </c>
    </row>
    <row r="24" spans="1:4" ht="12.75">
      <c r="A24" s="31" t="s">
        <v>74</v>
      </c>
      <c r="B24">
        <f>Cords_of_Wood_Burned_per_Woodstove*Conversion*'WS Results table'!D24/2000</f>
        <v>0.111552</v>
      </c>
      <c r="C24">
        <f>Cords_of_Wood_Burned_per_Woodstove*Conversion*'WS Results table'!E24*Frac_Change2WoodStoves*Conventional_WS_Eff/2000/Certified_WS_Eff</f>
        <v>0.03144782117647059</v>
      </c>
      <c r="D24">
        <f t="shared" si="0"/>
        <v>0.08010417882352941</v>
      </c>
    </row>
    <row r="25" spans="1:4" ht="12.75">
      <c r="A25" s="31" t="s">
        <v>82</v>
      </c>
      <c r="B25">
        <f>Cords_of_Wood_Burned_per_Woodstove*Conversion*'WS Results table'!D25/2000</f>
        <v>0.00031373999999999996</v>
      </c>
      <c r="C25">
        <f>Cords_of_Wood_Burned_per_Woodstove*Conversion*'WS Results table'!E25*Frac_Change2WoodStoves*Conventional_WS_Eff/2000/Certified_WS_Eff</f>
        <v>0.00015502447058823532</v>
      </c>
      <c r="D25">
        <f t="shared" si="0"/>
        <v>0.00015871552941176464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B15" sqref="B15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9" ht="12.75">
      <c r="A9" t="s">
        <v>65</v>
      </c>
    </row>
    <row r="11" ht="12.75">
      <c r="A11" t="s">
        <v>62</v>
      </c>
    </row>
    <row r="12" ht="12.75">
      <c r="A12" t="s">
        <v>29</v>
      </c>
    </row>
    <row r="14" ht="12.75">
      <c r="A14" t="s">
        <v>76</v>
      </c>
    </row>
    <row r="15" ht="12.75">
      <c r="A15" t="s">
        <v>77</v>
      </c>
    </row>
    <row r="18" ht="12.75">
      <c r="A18" t="s">
        <v>30</v>
      </c>
    </row>
    <row r="19" ht="12.75">
      <c r="A19" s="12" t="s">
        <v>31</v>
      </c>
    </row>
    <row r="20" ht="12.75">
      <c r="A20" t="s">
        <v>32</v>
      </c>
    </row>
  </sheetData>
  <hyperlinks>
    <hyperlink ref="A19" r:id="rId1" display="huntley.roy@epa.gov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Huntley</dc:creator>
  <cp:keywords/>
  <dc:description/>
  <cp:lastModifiedBy>lbrockma</cp:lastModifiedBy>
  <cp:lastPrinted>2008-08-19T17:42:02Z</cp:lastPrinted>
  <dcterms:created xsi:type="dcterms:W3CDTF">2006-11-07T15:58:32Z</dcterms:created>
  <dcterms:modified xsi:type="dcterms:W3CDTF">2008-09-17T17:07:37Z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