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20" windowHeight="8580" firstSheet="3" activeTab="4"/>
  </bookViews>
  <sheets>
    <sheet name="plate-deflections" sheetId="1" r:id="rId1"/>
    <sheet name="mag-shielding" sheetId="2" r:id="rId2"/>
    <sheet name="Dielectrics" sheetId="3" r:id="rId3"/>
    <sheet name="rear-window" sheetId="4" r:id="rId4"/>
    <sheet name="PMT-deflection" sheetId="5" r:id="rId5"/>
    <sheet name="c5f12-window" sheetId="6" r:id="rId6"/>
    <sheet name="gas-purity" sheetId="7" r:id="rId7"/>
    <sheet name="mirror_mount_adjustments" sheetId="8" r:id="rId8"/>
    <sheet name="mirror_tile_positions" sheetId="9" r:id="rId9"/>
    <sheet name="p-vs-gev" sheetId="10" r:id="rId10"/>
    <sheet name="thermal-expansion" sheetId="11" r:id="rId11"/>
    <sheet name="material-costs" sheetId="12" r:id="rId12"/>
    <sheet name="Radiation_length" sheetId="13" r:id="rId13"/>
  </sheets>
  <externalReferences>
    <externalReference r:id="rId16"/>
  </externalReferences>
  <definedNames>
    <definedName name="Rad">'[1]sphere_tile3'!$E$2</definedName>
  </definedNames>
  <calcPr fullCalcOnLoad="1"/>
</workbook>
</file>

<file path=xl/sharedStrings.xml><?xml version="1.0" encoding="utf-8"?>
<sst xmlns="http://schemas.openxmlformats.org/spreadsheetml/2006/main" count="1874" uniqueCount="686">
  <si>
    <t>radiation lengths</t>
  </si>
  <si>
    <t>Pyrex</t>
  </si>
  <si>
    <t>material</t>
  </si>
  <si>
    <t>radiation length</t>
  </si>
  <si>
    <t>thickness used</t>
  </si>
  <si>
    <t>% of rad length</t>
  </si>
  <si>
    <t>aluminum</t>
  </si>
  <si>
    <t>carbon fiber?</t>
  </si>
  <si>
    <t>cm</t>
  </si>
  <si>
    <t>%</t>
  </si>
  <si>
    <t>Ti</t>
  </si>
  <si>
    <t>Delta = Wl^3/3EI</t>
  </si>
  <si>
    <t>Modulus</t>
  </si>
  <si>
    <t>psi</t>
  </si>
  <si>
    <t>Length</t>
  </si>
  <si>
    <t>inch</t>
  </si>
  <si>
    <t>weight</t>
  </si>
  <si>
    <t>lbs</t>
  </si>
  <si>
    <t>I</t>
  </si>
  <si>
    <t>inches</t>
  </si>
  <si>
    <t>thickness</t>
  </si>
  <si>
    <t>in^4</t>
  </si>
  <si>
    <t>delta</t>
  </si>
  <si>
    <t>Cantilever,loading-point end, deflections</t>
  </si>
  <si>
    <t>g-10</t>
  </si>
  <si>
    <t>E</t>
  </si>
  <si>
    <t>B</t>
  </si>
  <si>
    <t>z</t>
  </si>
  <si>
    <t>D</t>
  </si>
  <si>
    <t>C3</t>
  </si>
  <si>
    <t>density</t>
  </si>
  <si>
    <t>ID</t>
  </si>
  <si>
    <t>K</t>
  </si>
  <si>
    <t>theta</t>
  </si>
  <si>
    <t>length</t>
  </si>
  <si>
    <t>G</t>
  </si>
  <si>
    <t>X</t>
  </si>
  <si>
    <t>meters</t>
  </si>
  <si>
    <t>Y</t>
  </si>
  <si>
    <t>strength</t>
  </si>
  <si>
    <t>plate</t>
  </si>
  <si>
    <t>Radius of mirror</t>
  </si>
  <si>
    <t>m</t>
  </si>
  <si>
    <t>Point to point distance</t>
  </si>
  <si>
    <t>A</t>
  </si>
  <si>
    <t>coords</t>
  </si>
  <si>
    <t>rads</t>
  </si>
  <si>
    <t xml:space="preserve">arc angle- </t>
  </si>
  <si>
    <t>arc lengths</t>
  </si>
  <si>
    <t>deg</t>
  </si>
  <si>
    <t>cord of a side</t>
  </si>
  <si>
    <t>rotations</t>
  </si>
  <si>
    <t>F</t>
  </si>
  <si>
    <t>coorrd width at points</t>
  </si>
  <si>
    <t>coord width at center</t>
  </si>
  <si>
    <t>over</t>
  </si>
  <si>
    <t>up</t>
  </si>
  <si>
    <t>centers located from beam pipe center</t>
  </si>
  <si>
    <t>C</t>
  </si>
  <si>
    <t>H</t>
  </si>
  <si>
    <t>J</t>
  </si>
  <si>
    <t>L</t>
  </si>
  <si>
    <t>M</t>
  </si>
  <si>
    <t>N</t>
  </si>
  <si>
    <t>plastic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</si>
  <si>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</si>
  <si>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</si>
  <si>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</si>
  <si>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</si>
  <si>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</si>
  <si>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</si>
  <si>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</si>
  <si>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</si>
  <si>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</si>
  <si>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</si>
  <si>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</si>
  <si>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</si>
  <si>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Ac</t>
  </si>
  <si>
    <t>Z</t>
  </si>
  <si>
    <t>R</t>
  </si>
  <si>
    <t>Rad</t>
  </si>
  <si>
    <t>distance to center of tile</t>
  </si>
  <si>
    <t>Bc</t>
  </si>
  <si>
    <t>Rads</t>
  </si>
  <si>
    <t>phi</t>
  </si>
  <si>
    <t>C1</t>
  </si>
  <si>
    <t>C2</t>
  </si>
  <si>
    <t>C4</t>
  </si>
  <si>
    <t>C5</t>
  </si>
  <si>
    <t>C6</t>
  </si>
  <si>
    <t>Cc</t>
  </si>
  <si>
    <t>D1</t>
  </si>
  <si>
    <t>D2</t>
  </si>
  <si>
    <t>D3</t>
  </si>
  <si>
    <t>D4</t>
  </si>
  <si>
    <t>D5</t>
  </si>
  <si>
    <t>D6</t>
  </si>
  <si>
    <t>Dc</t>
  </si>
  <si>
    <t>E1</t>
  </si>
  <si>
    <t>E2</t>
  </si>
  <si>
    <t>E3</t>
  </si>
  <si>
    <t>E4</t>
  </si>
  <si>
    <t>E5</t>
  </si>
  <si>
    <t>E6</t>
  </si>
  <si>
    <t>Ec</t>
  </si>
  <si>
    <t>F1</t>
  </si>
  <si>
    <t>F2</t>
  </si>
  <si>
    <t>F3</t>
  </si>
  <si>
    <t>F4</t>
  </si>
  <si>
    <t>F5</t>
  </si>
  <si>
    <t>F6</t>
  </si>
  <si>
    <t>Fc</t>
  </si>
  <si>
    <t>G1</t>
  </si>
  <si>
    <t>G2</t>
  </si>
  <si>
    <t>G3</t>
  </si>
  <si>
    <t>G4</t>
  </si>
  <si>
    <t>G5</t>
  </si>
  <si>
    <t>G6</t>
  </si>
  <si>
    <t>Gc</t>
  </si>
  <si>
    <t>centers the same</t>
  </si>
  <si>
    <t>distance between</t>
  </si>
  <si>
    <t>fixed distance</t>
  </si>
  <si>
    <t>H1</t>
  </si>
  <si>
    <t>H2</t>
  </si>
  <si>
    <t>H3</t>
  </si>
  <si>
    <t>H4</t>
  </si>
  <si>
    <t>H5</t>
  </si>
  <si>
    <t>H6</t>
  </si>
  <si>
    <t>Hc</t>
  </si>
  <si>
    <t>I1</t>
  </si>
  <si>
    <t>I2</t>
  </si>
  <si>
    <t>I3</t>
  </si>
  <si>
    <t>I4</t>
  </si>
  <si>
    <t>I5</t>
  </si>
  <si>
    <t>I6</t>
  </si>
  <si>
    <t>Ic</t>
  </si>
  <si>
    <t>K1</t>
  </si>
  <si>
    <t>J1</t>
  </si>
  <si>
    <t>J2</t>
  </si>
  <si>
    <t>J3</t>
  </si>
  <si>
    <t>J4</t>
  </si>
  <si>
    <t>J5</t>
  </si>
  <si>
    <t>J6</t>
  </si>
  <si>
    <t>Jc</t>
  </si>
  <si>
    <t>K2</t>
  </si>
  <si>
    <t>K3</t>
  </si>
  <si>
    <t>K4</t>
  </si>
  <si>
    <t>K5</t>
  </si>
  <si>
    <t>K6</t>
  </si>
  <si>
    <t>Kc</t>
  </si>
  <si>
    <t>L1</t>
  </si>
  <si>
    <t>L2</t>
  </si>
  <si>
    <t>L3</t>
  </si>
  <si>
    <t>L4</t>
  </si>
  <si>
    <t>L5</t>
  </si>
  <si>
    <t>L6</t>
  </si>
  <si>
    <t>Lc</t>
  </si>
  <si>
    <t>M1</t>
  </si>
  <si>
    <t>M2</t>
  </si>
  <si>
    <t>M3</t>
  </si>
  <si>
    <t>M4</t>
  </si>
  <si>
    <t>M5</t>
  </si>
  <si>
    <t>M6</t>
  </si>
  <si>
    <t>Mc</t>
  </si>
  <si>
    <t>N1</t>
  </si>
  <si>
    <t>N2</t>
  </si>
  <si>
    <t>N3</t>
  </si>
  <si>
    <t>N4</t>
  </si>
  <si>
    <t>N5</t>
  </si>
  <si>
    <t>N6</t>
  </si>
  <si>
    <t>Nc</t>
  </si>
  <si>
    <t>J-F</t>
  </si>
  <si>
    <t>J-G</t>
  </si>
  <si>
    <t>J-K</t>
  </si>
  <si>
    <t>J-N</t>
  </si>
  <si>
    <t>J-M</t>
  </si>
  <si>
    <t>K-N</t>
  </si>
  <si>
    <t>M-N</t>
  </si>
  <si>
    <t>K-G</t>
  </si>
  <si>
    <t>Center</t>
  </si>
  <si>
    <t>Rotation about mirror mount</t>
  </si>
  <si>
    <t>1 mount mirror mount</t>
  </si>
  <si>
    <t>height of mirror</t>
  </si>
  <si>
    <t>distance to center of rotation</t>
  </si>
  <si>
    <t>amount screw is adjusted</t>
  </si>
  <si>
    <t>amount of tilt in mirror</t>
  </si>
  <si>
    <t>amount mirror is raised</t>
  </si>
  <si>
    <t>distance to adjustment screw to  center of rotation</t>
  </si>
  <si>
    <t>a-e</t>
  </si>
  <si>
    <t>f-c</t>
  </si>
  <si>
    <t>f-g</t>
  </si>
  <si>
    <t>g-c</t>
  </si>
  <si>
    <t>g-d</t>
  </si>
  <si>
    <t>c-d</t>
  </si>
  <si>
    <t>theta-over</t>
  </si>
  <si>
    <t>phi-around</t>
  </si>
  <si>
    <t>Up</t>
  </si>
  <si>
    <t>Over</t>
  </si>
  <si>
    <t xml:space="preserve">distance at </t>
  </si>
  <si>
    <t>corners</t>
  </si>
  <si>
    <t>b1-f5</t>
  </si>
  <si>
    <t>c-b</t>
  </si>
  <si>
    <t>f4-c6</t>
  </si>
  <si>
    <t>c1-f3</t>
  </si>
  <si>
    <t>c1-g5</t>
  </si>
  <si>
    <t>f3-g5</t>
  </si>
  <si>
    <t>c2-g4</t>
  </si>
  <si>
    <t>g4-d6</t>
  </si>
  <si>
    <t>c2-d6</t>
  </si>
  <si>
    <t>if over BIG</t>
  </si>
  <si>
    <t>e-I</t>
  </si>
  <si>
    <t>e2-f6</t>
  </si>
  <si>
    <t>f1-j5</t>
  </si>
  <si>
    <t>f2-j4</t>
  </si>
  <si>
    <t>j4-g6</t>
  </si>
  <si>
    <t>f2-g6</t>
  </si>
  <si>
    <t>j3-g1</t>
  </si>
  <si>
    <t>g1-k5</t>
  </si>
  <si>
    <t>j3-k5</t>
  </si>
  <si>
    <t>m4-j6</t>
  </si>
  <si>
    <t>m3-j1</t>
  </si>
  <si>
    <t>j1-n5</t>
  </si>
  <si>
    <t>n5-m3</t>
  </si>
  <si>
    <t>rotation Y</t>
  </si>
  <si>
    <t>rotation y</t>
  </si>
  <si>
    <t>rotation y,t</t>
  </si>
  <si>
    <t>g2-k4</t>
  </si>
  <si>
    <t>in^3</t>
  </si>
  <si>
    <t>Thermal expansions</t>
  </si>
  <si>
    <t>glass</t>
  </si>
  <si>
    <t>in/in/F</t>
  </si>
  <si>
    <t>carbon</t>
  </si>
  <si>
    <t>temp</t>
  </si>
  <si>
    <t>A'</t>
  </si>
  <si>
    <t>A prime</t>
  </si>
  <si>
    <t xml:space="preserve">assumes origin is </t>
  </si>
  <si>
    <t>between B and C</t>
  </si>
  <si>
    <t>Rotate to origin</t>
  </si>
  <si>
    <t>near edge of A</t>
  </si>
  <si>
    <t>translate origin to edge of A</t>
  </si>
  <si>
    <t>translate origin back to ip</t>
  </si>
  <si>
    <t>first translate</t>
  </si>
  <si>
    <t>x</t>
  </si>
  <si>
    <t>y</t>
  </si>
  <si>
    <t>translate back plus offset</t>
  </si>
  <si>
    <t>rotation x</t>
  </si>
  <si>
    <t>rotate about x</t>
  </si>
  <si>
    <t>degrees</t>
  </si>
  <si>
    <t>down</t>
  </si>
  <si>
    <t>up from e</t>
  </si>
  <si>
    <t>up from f</t>
  </si>
  <si>
    <t>up from g</t>
  </si>
  <si>
    <t>NOT NEEDED</t>
  </si>
  <si>
    <t>rotate up</t>
  </si>
  <si>
    <t>on center</t>
  </si>
  <si>
    <t>rotate over</t>
  </si>
  <si>
    <t>rotated up</t>
  </si>
  <si>
    <t>rotating EFG over'</t>
  </si>
  <si>
    <t>rotate</t>
  </si>
  <si>
    <t>j2-k6</t>
  </si>
  <si>
    <t>d1-g3</t>
  </si>
  <si>
    <t xml:space="preserve">A </t>
  </si>
  <si>
    <t>rotated left from center</t>
  </si>
  <si>
    <t>e3-f-5</t>
  </si>
  <si>
    <t>deg up</t>
  </si>
  <si>
    <t>deg over</t>
  </si>
  <si>
    <t>radius at angle</t>
  </si>
  <si>
    <t>degs</t>
  </si>
  <si>
    <t>L1-n1</t>
  </si>
  <si>
    <t>L1-M1</t>
  </si>
  <si>
    <t>centers located from between mirror B and C</t>
  </si>
  <si>
    <t>e5-a1</t>
  </si>
  <si>
    <t>f-b</t>
  </si>
  <si>
    <t>f-I</t>
  </si>
  <si>
    <t>first</t>
  </si>
  <si>
    <t>ft^3</t>
  </si>
  <si>
    <t>kg/m^3</t>
  </si>
  <si>
    <t>stress</t>
  </si>
  <si>
    <t>Wall</t>
  </si>
  <si>
    <t>Theta</t>
  </si>
  <si>
    <t>center is between B and C</t>
  </si>
  <si>
    <t xml:space="preserve">rotation up </t>
  </si>
  <si>
    <t>O1</t>
  </si>
  <si>
    <t>O2</t>
  </si>
  <si>
    <t>O3</t>
  </si>
  <si>
    <t>O4</t>
  </si>
  <si>
    <t>O5</t>
  </si>
  <si>
    <t>O6</t>
  </si>
  <si>
    <t>P1</t>
  </si>
  <si>
    <t>P2</t>
  </si>
  <si>
    <t>P3</t>
  </si>
  <si>
    <t>P4</t>
  </si>
  <si>
    <t>P5</t>
  </si>
  <si>
    <t>P6</t>
  </si>
  <si>
    <t>PC</t>
  </si>
  <si>
    <t>OC</t>
  </si>
  <si>
    <t>rotation Y,X</t>
  </si>
  <si>
    <t>a-c</t>
  </si>
  <si>
    <t>g</t>
  </si>
  <si>
    <t>b-d</t>
  </si>
  <si>
    <t>n-p</t>
  </si>
  <si>
    <t>M-o</t>
  </si>
  <si>
    <t>f4-d6</t>
  </si>
  <si>
    <t>c1-e3</t>
  </si>
  <si>
    <t>f3-d1</t>
  </si>
  <si>
    <t>a1-e5</t>
  </si>
  <si>
    <t>d2-h4</t>
  </si>
  <si>
    <t>d-h</t>
  </si>
  <si>
    <t>c4-b6</t>
  </si>
  <si>
    <t>O</t>
  </si>
  <si>
    <t>P</t>
  </si>
  <si>
    <t>i1-m5</t>
  </si>
  <si>
    <t>a2-c6</t>
  </si>
  <si>
    <t>check</t>
  </si>
  <si>
    <t>a3-c5</t>
  </si>
  <si>
    <t>b3-d5</t>
  </si>
  <si>
    <t>point to center</t>
  </si>
  <si>
    <t>c6-ac</t>
  </si>
  <si>
    <t>distance from point to center of tile</t>
  </si>
  <si>
    <t>e4-ac</t>
  </si>
  <si>
    <t>is  C and D above center?</t>
  </si>
  <si>
    <t>c4-c4</t>
  </si>
  <si>
    <t>c5-c5</t>
  </si>
  <si>
    <t>d4-d4</t>
  </si>
  <si>
    <t>d5-d5</t>
  </si>
  <si>
    <t>d1-h5</t>
  </si>
  <si>
    <t>c5-ac</t>
  </si>
  <si>
    <t>e5-ac</t>
  </si>
  <si>
    <t>h4-dc</t>
  </si>
  <si>
    <t>h5-dc</t>
  </si>
  <si>
    <t>f3-dc</t>
  </si>
  <si>
    <t>f4-dc</t>
  </si>
  <si>
    <t>b2-dc</t>
  </si>
  <si>
    <t>b3-dc</t>
  </si>
  <si>
    <t>b1-cc</t>
  </si>
  <si>
    <t>b6-cc</t>
  </si>
  <si>
    <t>f5-cc</t>
  </si>
  <si>
    <t>f6-cc</t>
  </si>
  <si>
    <t>f5-bc</t>
  </si>
  <si>
    <t>f4-bc</t>
  </si>
  <si>
    <t>e3-cc</t>
  </si>
  <si>
    <t>Thickness of the mirror in inches</t>
  </si>
  <si>
    <t>if 0 then rotating off front of mirror</t>
  </si>
  <si>
    <t>Magnetic shielding of the HPD array</t>
  </si>
  <si>
    <t>gauss - assumed external magnetic field</t>
  </si>
  <si>
    <t>fairly hi permeability of shielding</t>
  </si>
  <si>
    <t>g- attenuation of the field</t>
  </si>
  <si>
    <t>outer radius of shield (inches)</t>
  </si>
  <si>
    <t>field inside shielding</t>
  </si>
  <si>
    <t>gauss</t>
  </si>
  <si>
    <t>true for cylinders with a length to diameter ratio of 4 or more</t>
  </si>
  <si>
    <t>length (inches)</t>
  </si>
  <si>
    <t>shield thickness (inches)</t>
  </si>
  <si>
    <t>max effiecncy in the shield</t>
  </si>
  <si>
    <t>max allowable flux density in the material</t>
  </si>
  <si>
    <t>most effiecent wall thickness (inch)</t>
  </si>
  <si>
    <t>Weight of Shielding</t>
  </si>
  <si>
    <t>Weight</t>
  </si>
  <si>
    <t>gm/mm^3</t>
  </si>
  <si>
    <t>gm/cm^3</t>
  </si>
  <si>
    <t>grams</t>
  </si>
  <si>
    <t>wall thickness</t>
  </si>
  <si>
    <t>min diameter</t>
  </si>
  <si>
    <t>Calculate the deflection of a plate style window.</t>
  </si>
  <si>
    <t>Dimensions of window</t>
  </si>
  <si>
    <t>if a/b =1 then alpha = .0444</t>
  </si>
  <si>
    <t>delta = alpha x psi x side^4 / E x t^3</t>
  </si>
  <si>
    <t>assume modulus of skin</t>
  </si>
  <si>
    <t>skin thickness</t>
  </si>
  <si>
    <t>plate thickness</t>
  </si>
  <si>
    <t>DELTA</t>
  </si>
  <si>
    <t>loadind - PSI</t>
  </si>
  <si>
    <t>a=b</t>
  </si>
  <si>
    <t>inches deflection</t>
  </si>
  <si>
    <t>skin modulus</t>
  </si>
  <si>
    <t>REAR WINDOW</t>
  </si>
  <si>
    <t>FRONT WINDOW</t>
  </si>
  <si>
    <t>This calculates the requirements on gas purity</t>
  </si>
  <si>
    <t>volum of tank</t>
  </si>
  <si>
    <t xml:space="preserve">volume of air contaminate </t>
  </si>
  <si>
    <t>n of c4f10</t>
  </si>
  <si>
    <t>n of air</t>
  </si>
  <si>
    <t>New n due to air contamination</t>
  </si>
  <si>
    <t>change in n</t>
  </si>
  <si>
    <t>Calculate the theta angle of the cerenkov lite - original n</t>
  </si>
  <si>
    <t>costheta = 1/Bn</t>
  </si>
  <si>
    <t>inches at the mirror</t>
  </si>
  <si>
    <t xml:space="preserve">radius of circle </t>
  </si>
  <si>
    <t>calculate the theta angle of the contaminated cerenkov lite</t>
  </si>
  <si>
    <t>radius circle</t>
  </si>
  <si>
    <t>delta inches</t>
  </si>
  <si>
    <t>mm</t>
  </si>
  <si>
    <t>calculation based on volume fractions</t>
  </si>
  <si>
    <t>B=1 for the velocity of the particle = speed of light which gives the largest angle</t>
  </si>
  <si>
    <t xml:space="preserve">volume of water vapor contaminate </t>
  </si>
  <si>
    <t>n of water vapor</t>
  </si>
  <si>
    <t>density of water vapor is about .8 kg/m^3</t>
  </si>
  <si>
    <t>Require space between objects given different dielectrics at 20,000 volt potential</t>
  </si>
  <si>
    <t>to prevent sparking</t>
  </si>
  <si>
    <t>assume two parrallel lines of .010" by 3"</t>
  </si>
  <si>
    <t>gap between plates of  d</t>
  </si>
  <si>
    <t>V=20000</t>
  </si>
  <si>
    <t>plate area</t>
  </si>
  <si>
    <t>gap between plates</t>
  </si>
  <si>
    <t>m^2</t>
  </si>
  <si>
    <t>capacitance of the gap without dielectric</t>
  </si>
  <si>
    <t xml:space="preserve">dielectric </t>
  </si>
  <si>
    <t>k</t>
  </si>
  <si>
    <t>air</t>
  </si>
  <si>
    <t>polystrene</t>
  </si>
  <si>
    <t>Paper</t>
  </si>
  <si>
    <t>pyrex</t>
  </si>
  <si>
    <t>e</t>
  </si>
  <si>
    <t>F/m</t>
  </si>
  <si>
    <t>C = e*A/d</t>
  </si>
  <si>
    <t>free charge on plates</t>
  </si>
  <si>
    <t>q=CV</t>
  </si>
  <si>
    <t>Volts</t>
  </si>
  <si>
    <t>Field between plate and the dielectric</t>
  </si>
  <si>
    <t>E=q/eA</t>
  </si>
  <si>
    <t>Volts/m</t>
  </si>
  <si>
    <t>kv/mm</t>
  </si>
  <si>
    <t>compare to dielectric strength of air</t>
  </si>
  <si>
    <t>E=q/KeA</t>
  </si>
  <si>
    <t>Volts/M</t>
  </si>
  <si>
    <t>compare to dielectric strength of the introduced dielectric</t>
  </si>
  <si>
    <t>field between the plate and the introduced dielectric</t>
  </si>
  <si>
    <t>kapton 7000 volts for .003" tape thickness</t>
  </si>
  <si>
    <t xml:space="preserve"> kV/mm</t>
  </si>
  <si>
    <t>Kapton tape 18-1a</t>
  </si>
  <si>
    <t>required thickness</t>
  </si>
  <si>
    <t>20000/strength*k</t>
  </si>
  <si>
    <t>Kynar</t>
  </si>
  <si>
    <t>one of the more poor quality tanpes</t>
  </si>
  <si>
    <t>PPS-(ryton)</t>
  </si>
  <si>
    <t>Calculate static head on window</t>
  </si>
  <si>
    <t>static head</t>
  </si>
  <si>
    <t xml:space="preserve">height </t>
  </si>
  <si>
    <t>of column</t>
  </si>
  <si>
    <t>feet</t>
  </si>
  <si>
    <t>density of gas relative to air)</t>
  </si>
  <si>
    <t>Pascals</t>
  </si>
  <si>
    <t>psid</t>
  </si>
  <si>
    <t>TOTAL</t>
  </si>
  <si>
    <t>thermal expansion coeif</t>
  </si>
  <si>
    <t>inch/inch/F</t>
  </si>
  <si>
    <t>steel</t>
  </si>
  <si>
    <t xml:space="preserve">carbon </t>
  </si>
  <si>
    <t>temp change</t>
  </si>
  <si>
    <t>pg 458</t>
  </si>
  <si>
    <t>Calculate the deflection of a membrane style window.</t>
  </si>
  <si>
    <t>fabric thickness</t>
  </si>
  <si>
    <t>pg 478</t>
  </si>
  <si>
    <t>Edges fixed</t>
  </si>
  <si>
    <t>stresses</t>
  </si>
  <si>
    <t>edges fixed, diaphram</t>
  </si>
  <si>
    <t>round fabric</t>
  </si>
  <si>
    <t>radius</t>
  </si>
  <si>
    <t>Rohacell 51</t>
  </si>
  <si>
    <t>quartz glass</t>
  </si>
  <si>
    <t>C5F12 liquid</t>
  </si>
  <si>
    <t>tilt origin 261 mrads</t>
  </si>
  <si>
    <t>Volume resistivity</t>
  </si>
  <si>
    <t>Plastic</t>
  </si>
  <si>
    <t>ohms mm^2/m</t>
  </si>
  <si>
    <t xml:space="preserve">surface area </t>
  </si>
  <si>
    <t>mm^2</t>
  </si>
  <si>
    <t xml:space="preserve">m </t>
  </si>
  <si>
    <t>ohms</t>
  </si>
  <si>
    <t>volts</t>
  </si>
  <si>
    <t>leak current</t>
  </si>
  <si>
    <t>amps</t>
  </si>
  <si>
    <t>milli-amps</t>
  </si>
  <si>
    <t>micro amps</t>
  </si>
  <si>
    <t>nano-amps</t>
  </si>
  <si>
    <t>current thru an O_RING isolator between the HPD and the mumetal</t>
  </si>
  <si>
    <t>volume resistivity</t>
  </si>
  <si>
    <t>radius of loaded area</t>
  </si>
  <si>
    <t xml:space="preserve">load in pounds </t>
  </si>
  <si>
    <t>load in pounds</t>
  </si>
  <si>
    <t>skin modulus -kevlar 29 psi</t>
  </si>
  <si>
    <t>total stress psi</t>
  </si>
  <si>
    <r>
      <t>assumes round</t>
    </r>
    <r>
      <rPr>
        <sz val="10"/>
        <rFont val="Arial"/>
        <family val="0"/>
      </rPr>
      <t xml:space="preserve"> window with central support</t>
    </r>
  </si>
  <si>
    <t>radius of max deflection</t>
  </si>
  <si>
    <t>alpha</t>
  </si>
  <si>
    <t>beta</t>
  </si>
  <si>
    <t>z'</t>
  </si>
  <si>
    <t>y'</t>
  </si>
  <si>
    <t>Calculate the internal ribs required for the liquid radiator</t>
  </si>
  <si>
    <t>glass plates</t>
  </si>
  <si>
    <t>density of liquid relative to air)</t>
  </si>
  <si>
    <t>C5F12</t>
  </si>
  <si>
    <t>kg/l</t>
  </si>
  <si>
    <t>if a/b &gt;&gt;1 then alpha = ..1421</t>
  </si>
  <si>
    <t>stress psi</t>
  </si>
  <si>
    <t>"a/b</t>
  </si>
  <si>
    <t>loading - PSI</t>
  </si>
  <si>
    <t>plate glass yield 10,000 psi</t>
  </si>
  <si>
    <t>quartz yield is 6800 psi</t>
  </si>
  <si>
    <t>max allowable is 680 psi</t>
  </si>
  <si>
    <t>self weight</t>
  </si>
  <si>
    <t>n</t>
  </si>
  <si>
    <t>radius (m)</t>
  </si>
  <si>
    <t>p-pi</t>
  </si>
  <si>
    <t>p-k</t>
  </si>
  <si>
    <t>gas</t>
  </si>
  <si>
    <t>c5f12</t>
  </si>
  <si>
    <t>quartz</t>
  </si>
  <si>
    <t>aerogel</t>
  </si>
  <si>
    <t>p-p</t>
  </si>
  <si>
    <t>Gev</t>
  </si>
  <si>
    <t xml:space="preserve">radius </t>
  </si>
  <si>
    <t>velocity/c</t>
  </si>
  <si>
    <t>d inch</t>
  </si>
  <si>
    <t>radition thickness of rear window (.003" tedlar, .006" equivalent kevlar, .003" aluminum)</t>
  </si>
  <si>
    <t>radiation thickness of the mirror support panel (inner skin .031" outer skin .031", ribs ~.03" carbon)</t>
  </si>
  <si>
    <t>Radiation thickness of front window (3 mm carbon, 1cm c5f12 liquid, 3 mm quartz)</t>
  </si>
  <si>
    <t>plus the thickness of a kevlar type window</t>
  </si>
  <si>
    <t>% TOTAL front window</t>
  </si>
  <si>
    <t>The mirror array is first calculated</t>
  </si>
  <si>
    <t>with the center of the array</t>
  </si>
  <si>
    <t>on the center of the beam pipe</t>
  </si>
  <si>
    <t>then the array is rotated so the array edge is</t>
  </si>
  <si>
    <t>at the beam pipe</t>
  </si>
  <si>
    <t>then the array is tilted the 261 mrads</t>
  </si>
  <si>
    <t>A prime is the first tile</t>
  </si>
  <si>
    <t>it is constructed on the beam pipe center</t>
  </si>
  <si>
    <t>The remaining tiles are</t>
  </si>
  <si>
    <t>constructed by rotating the A prime</t>
  </si>
  <si>
    <t>tile.</t>
  </si>
  <si>
    <t>CALCULATES THE MINIMUM SCREW DIAMETER FOR THE ADJUSTING MIRROR MOUNT</t>
  </si>
  <si>
    <t>adjusting length for the screw</t>
  </si>
  <si>
    <t>load of the mirror on the screw</t>
  </si>
  <si>
    <t>deflection of the screw due to the mirror load</t>
  </si>
  <si>
    <t>stress on the screw due to the mirror load</t>
  </si>
  <si>
    <t>this number needs to be small due to stress concentrations at the root radius of the thread on the screw</t>
  </si>
  <si>
    <t>CALCULATES THE TILT ANGLE ON THE TILE DURING ADJUSTMENTS</t>
  </si>
  <si>
    <t>mrads -error due to contamination</t>
  </si>
  <si>
    <t>fit  mrads error to the amount of contamination</t>
  </si>
  <si>
    <t>WATER VAPOR</t>
  </si>
  <si>
    <t>AIR</t>
  </si>
  <si>
    <t>STRESSES DUE TO SELF WEIGHT</t>
  </si>
  <si>
    <t>assumes Rectangular window</t>
  </si>
  <si>
    <t>loading - PSI due to the liquid weight</t>
  </si>
  <si>
    <t>STRESSES DUE TO LIQUID WEIGHT</t>
  </si>
  <si>
    <t>Assumes sample is supported on 4 sides</t>
  </si>
  <si>
    <t>(mu-metal tubes)</t>
  </si>
  <si>
    <r>
      <t>assumes round</t>
    </r>
    <r>
      <rPr>
        <sz val="10"/>
        <rFont val="Arial"/>
        <family val="0"/>
      </rPr>
      <t xml:space="preserve"> window with a radius of loaded area </t>
    </r>
  </si>
  <si>
    <t xml:space="preserve">deflection must be less than 1/2 the </t>
  </si>
  <si>
    <t>plate thickness inch</t>
  </si>
  <si>
    <t>allows deflection to be greater than the plate thickness</t>
  </si>
  <si>
    <t>(allowable for quartz =680 psi, ~50,000 for kevlar)</t>
  </si>
  <si>
    <t>so these two numbers are equal</t>
  </si>
  <si>
    <t xml:space="preserve">fit the deflection </t>
  </si>
  <si>
    <r>
      <t>assumes round</t>
    </r>
    <r>
      <rPr>
        <sz val="10"/>
        <rFont val="Arial"/>
        <family val="0"/>
      </rPr>
      <t xml:space="preserve"> window uniformly loaded supported at edges</t>
    </r>
  </si>
  <si>
    <t>assumes square window uniformly loaded,simply supported 4 edges</t>
  </si>
  <si>
    <t>membrane</t>
  </si>
  <si>
    <t>no flexural stiffness of the membrane material</t>
  </si>
  <si>
    <t>edges held</t>
  </si>
  <si>
    <t>assumes rectangular window</t>
  </si>
  <si>
    <t>Does not consider membrane stresses</t>
  </si>
  <si>
    <t>(optimistic)</t>
  </si>
  <si>
    <t>Calculates static head</t>
  </si>
  <si>
    <t>skin modulus (kevlar 29)</t>
  </si>
  <si>
    <t>plate thickness inch (equivalent)</t>
  </si>
  <si>
    <t>see FEA results</t>
  </si>
  <si>
    <t>(allowable ~50,000 for kevlar)</t>
  </si>
  <si>
    <t>indicates plate type calculations don’t work</t>
  </si>
  <si>
    <t>Indicates a preload is required on the window to minimize the window deflection</t>
  </si>
  <si>
    <t>cost</t>
  </si>
  <si>
    <t>quantity</t>
  </si>
  <si>
    <t>quantity required</t>
  </si>
  <si>
    <t>unit</t>
  </si>
  <si>
    <t>yards</t>
  </si>
  <si>
    <t>notes</t>
  </si>
  <si>
    <t>material for front and rear window plus a (1) spare</t>
  </si>
  <si>
    <t>Kevlar 29 1500 denier(.023" thick -.006"equivalent) 90" width</t>
  </si>
  <si>
    <t>rubber o-ring for windows</t>
  </si>
  <si>
    <t>ft</t>
  </si>
  <si>
    <t>aluminim o-ring for windows</t>
  </si>
  <si>
    <t>aluminum foil for windows</t>
  </si>
  <si>
    <t>carbon fiber for mirror support panel</t>
  </si>
  <si>
    <t>32 mpsi fiber 60-40 epoxy between .005" and .010" thick</t>
  </si>
  <si>
    <t>48 mpsi fiber 60-40 epoxy between .005" and .010" thick</t>
  </si>
  <si>
    <t>material for 4 panels including scrap</t>
  </si>
  <si>
    <t>sheet</t>
  </si>
  <si>
    <t>material to make tank superstructure</t>
  </si>
  <si>
    <t>black tedlar for windows</t>
  </si>
  <si>
    <t>Reference, density of carbon fiber ~.08 lbs/inch^3</t>
  </si>
  <si>
    <t>welding and assy labor</t>
  </si>
  <si>
    <t>hr</t>
  </si>
  <si>
    <t xml:space="preserve">window  clamping flanges </t>
  </si>
  <si>
    <t>Assy time</t>
  </si>
  <si>
    <t>machining time (mirror mount holes)</t>
  </si>
  <si>
    <t xml:space="preserve">time and material for mirror mount support blocks </t>
  </si>
  <si>
    <t>tooling</t>
  </si>
  <si>
    <t>c4f10 gas</t>
  </si>
  <si>
    <t>cf512 liquid</t>
  </si>
  <si>
    <t>This calculates the deflection of the PMT array.</t>
  </si>
  <si>
    <t xml:space="preserve">The array modeled is the one on the bottom of the RICH tank ~80" by 160" </t>
  </si>
  <si>
    <t>a</t>
  </si>
  <si>
    <t>a/b=2</t>
  </si>
  <si>
    <t>b</t>
  </si>
  <si>
    <t>inches, plate thickness</t>
  </si>
  <si>
    <t>psi stresses (assumes solid plate)</t>
  </si>
  <si>
    <t>PMT ARRAY</t>
  </si>
  <si>
    <t>Dimensions of array</t>
  </si>
  <si>
    <t>approximate load of the array, requires a safety factor</t>
  </si>
  <si>
    <t xml:space="preserve">psi or </t>
  </si>
  <si>
    <t>lbs total load</t>
  </si>
  <si>
    <t xml:space="preserve">equivelant of the plate. </t>
  </si>
  <si>
    <t>pg 458 6th edition, roark and young</t>
  </si>
  <si>
    <t>Delta = Wl^3/48EI</t>
  </si>
  <si>
    <t>width</t>
  </si>
  <si>
    <t>Both ends supported, uniform loading, deflections</t>
  </si>
  <si>
    <t>psi stress in the beam (tensile at bottom of beam)</t>
  </si>
  <si>
    <t>beam size</t>
  </si>
  <si>
    <t>example a steel beam 23*.080" wide with a uniform load of the above total weight (equivelant 23 tubes with a 1 mm wall)</t>
  </si>
  <si>
    <t>This number is incorrect, much higher see value below</t>
  </si>
  <si>
    <t>assumes all loading is carried by the steel</t>
  </si>
  <si>
    <t>inches deflection (close to the value above with the plate - good agreement)</t>
  </si>
  <si>
    <t>PMT array</t>
  </si>
  <si>
    <t>mu-metal tubes</t>
  </si>
  <si>
    <t>glue</t>
  </si>
  <si>
    <t>tube holder(assy)</t>
  </si>
  <si>
    <t>acrylic window</t>
  </si>
  <si>
    <t>ft^2</t>
  </si>
  <si>
    <t>HPD array</t>
  </si>
  <si>
    <t>TANK superstructure</t>
  </si>
  <si>
    <t xml:space="preserve">PMT s  </t>
  </si>
  <si>
    <t>electronics</t>
  </si>
  <si>
    <t>HPDs</t>
  </si>
  <si>
    <t>Electronics</t>
  </si>
  <si>
    <t>Mu-metal tubes</t>
  </si>
  <si>
    <t>Assembly of the mumetal tube array</t>
  </si>
  <si>
    <t>MIRROR support panel</t>
  </si>
  <si>
    <t>REAR WINDOW and front window</t>
  </si>
  <si>
    <t>Liquid Radiator Vessel</t>
  </si>
  <si>
    <t>Carbon fiber 48 mpsi 3mm sheet 100" square</t>
  </si>
  <si>
    <t xml:space="preserve">carbon rods, spacers </t>
  </si>
  <si>
    <t>Quartz sheet 3 mm</t>
  </si>
  <si>
    <t>Labor to assemble the vessel</t>
  </si>
  <si>
    <t>material to do 2 vessels</t>
  </si>
  <si>
    <t>Plumbing system</t>
  </si>
  <si>
    <t>pieces</t>
  </si>
  <si>
    <t>rods for 2 vessels</t>
  </si>
  <si>
    <t>Hex-ads structral componets for the unit</t>
  </si>
  <si>
    <t>units</t>
  </si>
  <si>
    <t>10" square box, .25" wall, steel</t>
  </si>
  <si>
    <t>1/2" x 60" x 120" plate, steel</t>
  </si>
  <si>
    <t>.0598" (16 ga) sheet 48" x 120", steel</t>
  </si>
  <si>
    <t>flat black paint for the interior of the tank</t>
  </si>
  <si>
    <t>paint for the exterior of the tank</t>
  </si>
  <si>
    <t>Painting labor</t>
  </si>
  <si>
    <t>gallon</t>
  </si>
  <si>
    <t>gallons</t>
  </si>
  <si>
    <t>Mirrors</t>
  </si>
  <si>
    <t>Mirror mounts</t>
  </si>
  <si>
    <t>Mirror Support Panel Mounts</t>
  </si>
  <si>
    <t>Estimate from lab 3 (7/01)</t>
  </si>
  <si>
    <t>glue-for mu-metal tubes</t>
  </si>
  <si>
    <t xml:space="preserve">              Alum clyinder-material</t>
  </si>
  <si>
    <t xml:space="preserve">              alum-cylinder - labor</t>
  </si>
  <si>
    <t xml:space="preserve">              Alum cap labor</t>
  </si>
  <si>
    <t xml:space="preserve">              Alum cap-material</t>
  </si>
  <si>
    <t xml:space="preserve">              Foam labor</t>
  </si>
  <si>
    <t xml:space="preserve">              Misc screws and nuts</t>
  </si>
  <si>
    <t xml:space="preserve">ft </t>
  </si>
  <si>
    <t>set/tube</t>
  </si>
  <si>
    <t>sets</t>
  </si>
  <si>
    <t>ft roll</t>
  </si>
  <si>
    <t xml:space="preserve">              Foam material (poron 1" x 6"x 3/16")</t>
  </si>
  <si>
    <t>total for pmts</t>
  </si>
  <si>
    <t>tube holder(time to assemble a tube)</t>
  </si>
  <si>
    <t>acrylic</t>
  </si>
  <si>
    <t>hrs</t>
  </si>
  <si>
    <t xml:space="preserve">Machining time </t>
  </si>
  <si>
    <t>1/2 week at lab 8 to trim sheets, 1.5 week at shop to machin blocks and tooling</t>
  </si>
  <si>
    <t>Labor for setup and assemble tooling</t>
  </si>
  <si>
    <t>Lab 3 estimate</t>
  </si>
  <si>
    <t>misc materials</t>
  </si>
  <si>
    <t>vacuum bag material for the carbon fiber</t>
  </si>
  <si>
    <t>total for liquid radiator vessel</t>
  </si>
  <si>
    <t>this assumes uniform loading 3 lbs per tube (glass plus mumetal) +700 lbs of gas weight +3500 lbs in fixtures to connect the pmt to the mumetal tube</t>
  </si>
  <si>
    <t>pessimstically high value, some stress is carried in the epoxy - also shown by the larger than realistic deflection value</t>
  </si>
  <si>
    <t>These two calculations put bounds on the plate deflection and the stresses internal to the plate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</si>
</sst>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"/>
    <numFmt numFmtId="167" formatCode="0.0000E+00"/>
    <numFmt numFmtId="168" formatCode="0.00000"/>
    <numFmt numFmtId="169" formatCode="0.0000000000000"/>
    <numFmt numFmtId="170" formatCode="&quot;$&quot;#,##0.00"/>
  </numFmts>
  <fonts count="17">
    <font>
      <sz val="10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sz val="8.75"/>
      <name val="Arial"/>
      <family val="0"/>
    </font>
    <font>
      <b/>
      <i/>
      <sz val="10"/>
      <name val="Arial"/>
      <family val="2"/>
    </font>
    <font>
      <sz val="10.75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1" fontId="0" fillId="0" borderId="0" xfId="0" applyNumberFormat="1" applyAlignment="1">
      <alignment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66" fontId="0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166" fontId="13" fillId="0" borderId="1" xfId="0" applyNumberFormat="1" applyFont="1" applyBorder="1" applyAlignment="1">
      <alignment/>
    </xf>
    <xf numFmtId="0" fontId="0" fillId="0" borderId="4" xfId="0" applyBorder="1" applyAlignment="1">
      <alignment/>
    </xf>
    <xf numFmtId="166" fontId="0" fillId="0" borderId="4" xfId="0" applyNumberFormat="1" applyBorder="1" applyAlignment="1">
      <alignment/>
    </xf>
    <xf numFmtId="166" fontId="0" fillId="0" borderId="4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/>
    </xf>
    <xf numFmtId="11" fontId="11" fillId="0" borderId="5" xfId="0" applyNumberFormat="1" applyFont="1" applyBorder="1" applyAlignment="1">
      <alignment/>
    </xf>
    <xf numFmtId="11" fontId="11" fillId="0" borderId="6" xfId="0" applyNumberFormat="1" applyFont="1" applyBorder="1" applyAlignment="1">
      <alignment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0" fillId="0" borderId="4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n=1.0015 c4f10 gas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'p-vs-gev'!$C$6</c:f>
              <c:strCache>
                <c:ptCount val="1"/>
                <c:pt idx="0">
                  <c:v>p-pi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'p-vs-gev'!$C$9:$C$16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'p-vs-gev'!$G$9:$G$16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'p-vs-gev'!$D$6</c:f>
              <c:strCache>
                <c:ptCount val="1"/>
                <c:pt idx="0">
                  <c:v>p-k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'p-vs-gev'!$D$9:$D$16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'p-vs-gev'!$G$9:$G$16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'p-vs-gev'!$E$6</c:f>
              <c:strCache>
                <c:ptCount val="1"/>
                <c:pt idx="0">
                  <c:v>p-p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'p-vs-gev'!$E$9:$E$16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'p-vs-gev'!$G$9:$G$16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35954884"/>
        <c:axId val="55158501"/>
      </c:scatterChart>
      <c:valAx>
        <c:axId val="35954884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momemtum (Gev)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58501"/>
        <c:crosses val="autoZero"/>
        <c:crossBetween val="midCat"/>
        <c:dispUnits/>
      </c:valAx>
      <c:valAx>
        <c:axId val="55158501"/>
        <c:scaling>
          <c:orientation val="minMax"/>
          <c:max val="0.162"/>
          <c:min val="0.13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Radius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54884"/>
        <c:crosses val="autoZero"/>
        <c:crossBetween val="midCat"/>
        <c:dispUnits/>
        <c:majorUnit val="0.00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n=1.2382 c5f12 liquid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'p-vs-gev'!$J$6</c:f>
              <c:strCache>
                <c:ptCount val="1"/>
                <c:pt idx="0">
                  <c:v>p-pi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'p-vs-gev'!$J$9:$J$18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'p-vs-gev'!$N$9:$N$18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'p-vs-gev'!$K$6</c:f>
              <c:strCache>
                <c:ptCount val="1"/>
                <c:pt idx="0">
                  <c:v>p-k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'p-vs-gev'!$K$9:$K$18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'p-vs-gev'!$N$9:$N$18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'p-vs-gev'!$L$6</c:f>
              <c:strCache>
                <c:ptCount val="1"/>
                <c:pt idx="0">
                  <c:v>p-p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'p-vs-gev'!$L$9:$L$18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'p-vs-gev'!$N$9:$N$18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26664462"/>
        <c:axId val="38653567"/>
      </c:scatterChart>
      <c:valAx>
        <c:axId val="26664462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momentum (Gev)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53567"/>
        <c:crosses val="autoZero"/>
        <c:crossBetween val="midCat"/>
        <c:dispUnits/>
      </c:valAx>
      <c:valAx>
        <c:axId val="38653567"/>
        <c:scaling>
          <c:orientation val="minMax"/>
          <c:max val="1.748"/>
          <c:min val="1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radius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64462"/>
        <c:crosses val="autoZero"/>
        <c:crossBetween val="midCat"/>
        <c:dispUnits/>
        <c:majorUnit val="0.00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n=1.03 aerogel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'p-vs-gev'!$X$6</c:f>
              <c:strCache>
                <c:ptCount val="1"/>
                <c:pt idx="0">
                  <c:v>p-pi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'p-vs-gev'!$X$9:$X$18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'p-vs-gev'!$AB$9:$AB$18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'p-vs-gev'!$Y$6</c:f>
              <c:strCache>
                <c:ptCount val="1"/>
                <c:pt idx="0">
                  <c:v>p-k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'p-vs-gev'!$Y$9:$Y$18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'p-vs-gev'!$AB$9:$AB$18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'p-vs-gev'!$Z$6</c:f>
              <c:strCache>
                <c:ptCount val="1"/>
                <c:pt idx="0">
                  <c:v>p-p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'p-vs-gev'!$Z$9:$Z$18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'p-vs-gev'!$AB$9:$AB$18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12337784"/>
        <c:axId val="43931193"/>
      </c:scatterChart>
      <c:valAx>
        <c:axId val="12337784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momentum (Gev)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31193"/>
        <c:crosses val="autoZero"/>
        <c:crossBetween val="midCat"/>
        <c:dispUnits/>
      </c:valAx>
      <c:valAx>
        <c:axId val="43931193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radius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377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n=1.458 quartz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'p-vs-gev'!$Q$6</c:f>
              <c:strCache>
                <c:ptCount val="1"/>
                <c:pt idx="0">
                  <c:v>p-pi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'p-vs-gev'!$Q$9:$Q$19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'p-vs-gev'!$U$9:$U$19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'p-vs-gev'!$R$6</c:f>
              <c:strCache>
                <c:ptCount val="1"/>
                <c:pt idx="0">
                  <c:v>p-k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'p-vs-gev'!$R$9:$R$19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'p-vs-gev'!$U$9:$U$19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'p-vs-gev'!$S$6</c:f>
              <c:strCache>
                <c:ptCount val="1"/>
                <c:pt idx="0">
                  <c:v>p-p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'p-vs-gev'!$S$9:$S$19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'p-vs-gev'!$U$9:$U$19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59836418"/>
        <c:axId val="1656851"/>
      </c:scatterChart>
      <c:valAx>
        <c:axId val="59836418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momentum (Gev)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6851"/>
        <c:crosses val="autoZero"/>
        <c:crossBetween val="midCat"/>
        <c:dispUnits/>
      </c:valAx>
      <c:valAx>
        <c:axId val="1656851"/>
        <c:scaling>
          <c:orientation val="minMax"/>
          <c:max val="2.156"/>
          <c:min val="2.09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radius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36418"/>
        <c:crosses val="autoZero"/>
        <c:crossBetween val="midCat"/>
        <c:dispUnits/>
        <c:majorUnit val="0.00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Thermal expansion of different materials with a 
5 F Temperature change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'thermal-expansion'!$E$13</c:f>
              <c:strCache>
                <c:ptCount val="1"/>
                <c:pt idx="0">
                  <c:v>aluminum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'thermal-expansion'!$C$15:$C$18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'thermal-expansion'!$E$15:$E$18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'thermal-expansion'!$F$13</c:f>
              <c:strCache>
                <c:ptCount val="1"/>
                <c:pt idx="0">
                  <c:v>steel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'thermal-expansion'!$C$15:$C$18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'thermal-expansion'!$F$15:$F$18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'thermal-expansion'!$G$13</c:f>
              <c:strCache>
                <c:ptCount val="1"/>
                <c:pt idx="0">
                  <c:v>carbon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'thermal-expansion'!$C$15:$C$18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'thermal-expansion'!$G$15:$G$18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'thermal-expansion'!$H$13</c:f>
              <c:strCache>
                <c:ptCount val="1"/>
                <c:pt idx="0">
                  <c:v>acrylic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3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3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3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'thermal-expansion'!$C$15:$C$18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'thermal-expansion'!$H$15:$H$18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4911660"/>
        <c:axId val="67096077"/>
      </c:scatterChart>
      <c:valAx>
        <c:axId val="14911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 length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96077"/>
        <c:crosses val="autoZero"/>
        <c:crossBetween val="midCat"/>
        <c:dispUnits/>
      </c:valAx>
      <c:valAx>
        <c:axId val="67096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Change in length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116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47625</xdr:rowOff>
    </xdr:from>
    <xdr:to>
      <xdr:col>6</xdr:col>
      <xdr:colOff>314325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609600" y="3286125"/>
        <a:ext cx="33623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409575</xdr:colOff>
      <xdr:row>20</xdr:row>
      <xdr:rowOff>28575</xdr:rowOff>
    </xdr:from>
    <xdr:to>
      <xdr:col>12</xdr:col>
      <xdr:colOff>581025</xdr:colOff>
      <xdr:row>36</xdr:row>
      <xdr:rowOff>123825</xdr:rowOff>
    </xdr:to>
    <xdr:graphicFrame>
      <xdr:nvGraphicFramePr>
        <xdr:cNvPr id="2" name="Chart 2"/>
        <xdr:cNvGraphicFramePr/>
      </xdr:nvGraphicFramePr>
      <xdr:xfrm>
        <a:off x="4067175" y="3267075"/>
        <a:ext cx="38290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466725</xdr:colOff>
      <xdr:row>21</xdr:row>
      <xdr:rowOff>38100</xdr:rowOff>
    </xdr:from>
    <xdr:to>
      <xdr:col>29</xdr:col>
      <xdr:colOff>190500</xdr:colOff>
      <xdr:row>37</xdr:row>
      <xdr:rowOff>142875</xdr:rowOff>
    </xdr:to>
    <xdr:graphicFrame>
      <xdr:nvGraphicFramePr>
        <xdr:cNvPr id="3" name="Chart 3"/>
        <xdr:cNvGraphicFramePr/>
      </xdr:nvGraphicFramePr>
      <xdr:xfrm>
        <a:off x="13877925" y="3438525"/>
        <a:ext cx="39909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20</xdr:row>
      <xdr:rowOff>0</xdr:rowOff>
    </xdr:from>
    <xdr:to>
      <xdr:col>20</xdr:col>
      <xdr:colOff>342900</xdr:colOff>
      <xdr:row>36</xdr:row>
      <xdr:rowOff>114300</xdr:rowOff>
    </xdr:to>
    <xdr:graphicFrame>
      <xdr:nvGraphicFramePr>
        <xdr:cNvPr id="4" name="Chart 4"/>
        <xdr:cNvGraphicFramePr/>
      </xdr:nvGraphicFramePr>
      <xdr:xfrm>
        <a:off x="8534400" y="3238500"/>
        <a:ext cx="4000500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20</xdr:row>
      <xdr:rowOff>152400</xdr:rowOff>
    </xdr:from>
    <xdr:to>
      <xdr:col>8</xdr:col>
      <xdr:colOff>476250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704850" y="3390900"/>
        <a:ext cx="49625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TEV_RICH\Btev-Rich_calc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ermal expansion"/>
      <sheetName val="Rad_lengths"/>
      <sheetName val="deflections"/>
      <sheetName val="mirror_7-3"/>
      <sheetName val="Sphere_tile_john3"/>
      <sheetName val="sphere_tile3"/>
      <sheetName val="mir_mounts"/>
      <sheetName val="gas_purity"/>
      <sheetName val="liq-radiator"/>
      <sheetName val="aerogel"/>
      <sheetName val="dielectrics"/>
      <sheetName val="mag-shield"/>
      <sheetName val="PMTs"/>
      <sheetName val="HPD array"/>
      <sheetName val="HPD-heat"/>
      <sheetName val="Panel-def"/>
      <sheetName val="Window_calc"/>
    </sheetNames>
    <sheetDataSet>
      <sheetData sheetId="5">
        <row r="2">
          <cell r="E2">
            <v>6.97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AF36"/>
  <sheetViews>
    <sheetView workbookViewId="0" topLeftCell="A10">
      <selection activeCell="G37" sqref="G37"/>
    </sheetView>
  </sheetViews>
  <sheetFormatPr defaultColWidth="9.140625" defaultRowHeight="12.75"/>
  <sheetData>
    <row r="6" spans="2:26" ht="12.75">
      <c r="B6" t="s">
        <v>363</v>
      </c>
      <c r="I6" t="s">
        <v>450</v>
      </c>
      <c r="R6" t="s">
        <v>450</v>
      </c>
      <c r="Z6" t="s">
        <v>450</v>
      </c>
    </row>
    <row r="7" spans="2:26" ht="12.75">
      <c r="B7" s="19" t="s">
        <v>40</v>
      </c>
      <c r="I7" s="19" t="s">
        <v>556</v>
      </c>
      <c r="R7" t="s">
        <v>375</v>
      </c>
      <c r="Z7" t="s">
        <v>375</v>
      </c>
    </row>
    <row r="8" spans="2:26" ht="12.75">
      <c r="B8" t="s">
        <v>364</v>
      </c>
      <c r="I8" t="s">
        <v>364</v>
      </c>
      <c r="R8" t="s">
        <v>364</v>
      </c>
      <c r="Z8" t="s">
        <v>364</v>
      </c>
    </row>
    <row r="9" spans="2:26" ht="12.75">
      <c r="B9" t="s">
        <v>555</v>
      </c>
      <c r="I9" s="26" t="s">
        <v>554</v>
      </c>
      <c r="R9" s="26" t="s">
        <v>547</v>
      </c>
      <c r="Z9" s="26" t="s">
        <v>482</v>
      </c>
    </row>
    <row r="10" spans="2:28" ht="12.75">
      <c r="B10">
        <v>3</v>
      </c>
      <c r="C10" t="s">
        <v>19</v>
      </c>
      <c r="D10" t="s">
        <v>372</v>
      </c>
      <c r="I10">
        <v>3</v>
      </c>
      <c r="J10" t="s">
        <v>19</v>
      </c>
      <c r="R10">
        <v>70</v>
      </c>
      <c r="S10" t="s">
        <v>19</v>
      </c>
      <c r="T10" t="s">
        <v>372</v>
      </c>
      <c r="Z10">
        <v>70</v>
      </c>
      <c r="AA10" t="s">
        <v>19</v>
      </c>
      <c r="AB10" t="s">
        <v>372</v>
      </c>
    </row>
    <row r="11" spans="10:27" ht="12.75">
      <c r="J11" t="s">
        <v>457</v>
      </c>
      <c r="S11" t="s">
        <v>457</v>
      </c>
      <c r="AA11" t="s">
        <v>457</v>
      </c>
    </row>
    <row r="12" ht="12.75">
      <c r="B12" t="s">
        <v>365</v>
      </c>
    </row>
    <row r="13" spans="2:3" ht="12.75">
      <c r="B13">
        <v>0.0444</v>
      </c>
      <c r="C13" t="s">
        <v>484</v>
      </c>
    </row>
    <row r="14" spans="2:3" ht="12.75">
      <c r="B14">
        <v>0.2874</v>
      </c>
      <c r="C14" t="s">
        <v>485</v>
      </c>
    </row>
    <row r="15" spans="2:26" ht="12.75">
      <c r="B15" t="s">
        <v>371</v>
      </c>
      <c r="I15" t="s">
        <v>371</v>
      </c>
      <c r="R15" t="s">
        <v>371</v>
      </c>
      <c r="Z15" t="s">
        <v>371</v>
      </c>
    </row>
    <row r="16" spans="2:26" ht="12.75">
      <c r="B16">
        <v>1.3</v>
      </c>
      <c r="I16">
        <v>1.3</v>
      </c>
      <c r="R16">
        <v>0.06</v>
      </c>
      <c r="Z16">
        <v>0.03</v>
      </c>
    </row>
    <row r="17" spans="9:19" ht="12.75">
      <c r="I17">
        <f>I16*I10^2*PI()</f>
        <v>36.75663404700058</v>
      </c>
      <c r="J17" t="s">
        <v>479</v>
      </c>
      <c r="R17">
        <f>0.25*R10</f>
        <v>17.5</v>
      </c>
      <c r="S17" t="s">
        <v>477</v>
      </c>
    </row>
    <row r="18" spans="2:19" ht="12.75">
      <c r="B18" t="s">
        <v>366</v>
      </c>
      <c r="R18">
        <f>R17^2*PI()*R16</f>
        <v>57.726765009712445</v>
      </c>
      <c r="S18" t="s">
        <v>478</v>
      </c>
    </row>
    <row r="20" spans="2:26" ht="12.75">
      <c r="B20" t="s">
        <v>367</v>
      </c>
      <c r="I20" t="s">
        <v>367</v>
      </c>
      <c r="R20" t="s">
        <v>367</v>
      </c>
      <c r="Z20" t="s">
        <v>367</v>
      </c>
    </row>
    <row r="21" spans="2:27" ht="12.75">
      <c r="B21" s="1">
        <v>14000000</v>
      </c>
      <c r="C21" t="s">
        <v>374</v>
      </c>
      <c r="I21" s="1">
        <v>14000000</v>
      </c>
      <c r="J21" t="s">
        <v>374</v>
      </c>
      <c r="R21" s="1">
        <v>8500000</v>
      </c>
      <c r="S21" t="s">
        <v>480</v>
      </c>
      <c r="Z21" s="1">
        <v>30000000</v>
      </c>
      <c r="AA21" t="s">
        <v>480</v>
      </c>
    </row>
    <row r="23" spans="2:29" ht="12.75">
      <c r="B23">
        <v>0.117</v>
      </c>
      <c r="C23" t="s">
        <v>549</v>
      </c>
      <c r="L23" t="s">
        <v>455</v>
      </c>
      <c r="U23" t="s">
        <v>455</v>
      </c>
      <c r="AC23" t="s">
        <v>455</v>
      </c>
    </row>
    <row r="24" spans="12:32" ht="12.75">
      <c r="L24" t="s">
        <v>136</v>
      </c>
      <c r="M24" t="s">
        <v>144</v>
      </c>
      <c r="N24" t="s">
        <v>145</v>
      </c>
      <c r="O24" t="s">
        <v>146</v>
      </c>
      <c r="U24" t="s">
        <v>136</v>
      </c>
      <c r="V24" t="s">
        <v>144</v>
      </c>
      <c r="W24" t="s">
        <v>145</v>
      </c>
      <c r="X24" t="s">
        <v>146</v>
      </c>
      <c r="AC24" t="s">
        <v>136</v>
      </c>
      <c r="AD24" t="s">
        <v>144</v>
      </c>
      <c r="AE24" t="s">
        <v>145</v>
      </c>
      <c r="AF24" t="s">
        <v>146</v>
      </c>
    </row>
    <row r="25" spans="9:32" ht="12.75">
      <c r="I25">
        <f>3*0.039</f>
        <v>0.11699999999999999</v>
      </c>
      <c r="J25" t="s">
        <v>451</v>
      </c>
      <c r="L25">
        <v>0</v>
      </c>
      <c r="M25">
        <v>3.44</v>
      </c>
      <c r="N25">
        <v>0</v>
      </c>
      <c r="O25">
        <v>0.965</v>
      </c>
      <c r="R25">
        <v>0.02</v>
      </c>
      <c r="S25" t="s">
        <v>451</v>
      </c>
      <c r="U25">
        <v>27.1</v>
      </c>
      <c r="V25">
        <v>13.9</v>
      </c>
      <c r="W25">
        <v>4.62</v>
      </c>
      <c r="X25">
        <v>1.18</v>
      </c>
      <c r="Z25">
        <v>0.125</v>
      </c>
      <c r="AA25" t="s">
        <v>451</v>
      </c>
      <c r="AC25">
        <v>36.4</v>
      </c>
      <c r="AD25">
        <v>20</v>
      </c>
      <c r="AE25">
        <v>0</v>
      </c>
      <c r="AF25">
        <v>0</v>
      </c>
    </row>
    <row r="27" spans="12:30" ht="13.5" thickBot="1">
      <c r="L27" t="s">
        <v>453</v>
      </c>
      <c r="U27" t="s">
        <v>453</v>
      </c>
      <c r="V27" t="s">
        <v>454</v>
      </c>
      <c r="AC27" t="s">
        <v>453</v>
      </c>
      <c r="AD27" t="s">
        <v>454</v>
      </c>
    </row>
    <row r="28" spans="2:31" ht="13.5" thickTop="1">
      <c r="B28" t="s">
        <v>370</v>
      </c>
      <c r="C28" t="s">
        <v>449</v>
      </c>
      <c r="I28" t="s">
        <v>370</v>
      </c>
      <c r="J28" t="s">
        <v>452</v>
      </c>
      <c r="L28" s="27">
        <f>I16*I10^4/(I21*I25^4)</f>
        <v>0.0401381071992512</v>
      </c>
      <c r="R28" t="s">
        <v>370</v>
      </c>
      <c r="S28" t="s">
        <v>452</v>
      </c>
      <c r="U28" s="1">
        <f>R16*R10^4/(R21*R25^4)</f>
        <v>1059264.7058823528</v>
      </c>
      <c r="V28">
        <f>R21*R25^2/R10^2*(W25*R32/R25+X25*R32^2/R25^2)</f>
        <v>1964.2011701503584</v>
      </c>
      <c r="W28" t="s">
        <v>13</v>
      </c>
      <c r="Z28" t="s">
        <v>370</v>
      </c>
      <c r="AA28" t="s">
        <v>452</v>
      </c>
      <c r="AC28" s="1">
        <f>Z16*Z10^4/(Z21*Z25^4)</f>
        <v>98.34496</v>
      </c>
      <c r="AD28">
        <f>Z21*Z25^2/Z10^2*(AE25*Z32/Z25+AF25*Z32^2/Z25^2)</f>
        <v>0</v>
      </c>
      <c r="AE28" t="s">
        <v>13</v>
      </c>
    </row>
    <row r="29" spans="2:29" ht="13.5" thickBot="1">
      <c r="B29">
        <f>B13*B16*B10^4</f>
        <v>4.675320000000001</v>
      </c>
      <c r="L29" s="28">
        <f>L25*I32/I25+M25*(I32/I25)^3</f>
        <v>0.03997039859191952</v>
      </c>
      <c r="M29" s="20" t="s">
        <v>553</v>
      </c>
      <c r="U29">
        <f>U25*R32/R25+V25*(R32/R25)^3</f>
        <v>1450000.0000000037</v>
      </c>
      <c r="AC29">
        <f>AC25*Z32/Z25+AD25*(Z32/Z25)^3</f>
        <v>191.56608</v>
      </c>
    </row>
    <row r="30" spans="2:13" ht="13.5" thickTop="1">
      <c r="B30">
        <f>(B21*(B23^3))</f>
        <v>22422.582000000002</v>
      </c>
      <c r="M30" s="20" t="s">
        <v>552</v>
      </c>
    </row>
    <row r="32" spans="2:29" ht="12.75">
      <c r="B32">
        <f>B29/B30</f>
        <v>0.00020850943927867009</v>
      </c>
      <c r="C32" t="s">
        <v>373</v>
      </c>
      <c r="I32" s="19">
        <v>0.0265</v>
      </c>
      <c r="J32" t="s">
        <v>373</v>
      </c>
      <c r="R32">
        <v>0.9412110409197254</v>
      </c>
      <c r="S32" t="s">
        <v>373</v>
      </c>
      <c r="U32" t="s">
        <v>456</v>
      </c>
      <c r="Z32">
        <v>0.23</v>
      </c>
      <c r="AA32" t="s">
        <v>373</v>
      </c>
      <c r="AC32" t="s">
        <v>456</v>
      </c>
    </row>
    <row r="33" spans="3:27" ht="12.75">
      <c r="C33" t="s">
        <v>548</v>
      </c>
      <c r="I33">
        <f>I21*I25^2/I10^2*(N25*I32/I25+O25*(I32/I25)^2)</f>
        <v>1054.1552777777777</v>
      </c>
      <c r="J33" t="s">
        <v>481</v>
      </c>
      <c r="L33" t="s">
        <v>551</v>
      </c>
      <c r="Z33">
        <f>0.45*Z10</f>
        <v>31.5</v>
      </c>
      <c r="AA33" t="s">
        <v>483</v>
      </c>
    </row>
    <row r="34" spans="3:10" ht="12.75">
      <c r="C34" t="s">
        <v>369</v>
      </c>
      <c r="J34" t="s">
        <v>550</v>
      </c>
    </row>
    <row r="35" spans="2:10" ht="12.75">
      <c r="B35">
        <f>B14*B16*B10^2/B23^2</f>
        <v>245.6410256410256</v>
      </c>
      <c r="C35" t="s">
        <v>494</v>
      </c>
      <c r="J35" t="s">
        <v>557</v>
      </c>
    </row>
    <row r="36" ht="12.75">
      <c r="J36" t="s">
        <v>558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5:AB19"/>
  <sheetViews>
    <sheetView workbookViewId="0" topLeftCell="H4">
      <selection activeCell="Q9" sqref="Q9"/>
    </sheetView>
  </sheetViews>
  <sheetFormatPr defaultColWidth="9.140625" defaultRowHeight="12.75"/>
  <sheetData>
    <row r="5" spans="5:28" ht="12.75">
      <c r="E5" t="s">
        <v>501</v>
      </c>
      <c r="F5">
        <v>1.0015</v>
      </c>
      <c r="G5" t="s">
        <v>505</v>
      </c>
      <c r="L5" t="s">
        <v>501</v>
      </c>
      <c r="M5">
        <v>1.2382</v>
      </c>
      <c r="N5" t="s">
        <v>506</v>
      </c>
      <c r="S5" t="s">
        <v>501</v>
      </c>
      <c r="T5">
        <v>1.458</v>
      </c>
      <c r="U5" t="s">
        <v>507</v>
      </c>
      <c r="Z5" t="s">
        <v>501</v>
      </c>
      <c r="AA5">
        <v>1.03</v>
      </c>
      <c r="AB5" t="s">
        <v>508</v>
      </c>
    </row>
    <row r="6" spans="2:28" ht="12.75">
      <c r="B6" t="s">
        <v>26</v>
      </c>
      <c r="C6" t="s">
        <v>503</v>
      </c>
      <c r="D6" t="s">
        <v>504</v>
      </c>
      <c r="E6" t="s">
        <v>509</v>
      </c>
      <c r="F6" t="s">
        <v>33</v>
      </c>
      <c r="G6" t="s">
        <v>511</v>
      </c>
      <c r="I6" t="s">
        <v>26</v>
      </c>
      <c r="J6" t="s">
        <v>503</v>
      </c>
      <c r="K6" t="s">
        <v>504</v>
      </c>
      <c r="L6" t="s">
        <v>509</v>
      </c>
      <c r="M6" t="s">
        <v>33</v>
      </c>
      <c r="N6" t="s">
        <v>502</v>
      </c>
      <c r="P6" t="s">
        <v>26</v>
      </c>
      <c r="Q6" t="s">
        <v>503</v>
      </c>
      <c r="R6" t="s">
        <v>504</v>
      </c>
      <c r="S6" t="s">
        <v>509</v>
      </c>
      <c r="T6" t="s">
        <v>33</v>
      </c>
      <c r="U6" t="s">
        <v>502</v>
      </c>
      <c r="W6" t="s">
        <v>26</v>
      </c>
      <c r="X6" t="s">
        <v>503</v>
      </c>
      <c r="Y6" t="s">
        <v>504</v>
      </c>
      <c r="Z6" t="s">
        <v>509</v>
      </c>
      <c r="AA6" t="s">
        <v>33</v>
      </c>
      <c r="AB6" t="s">
        <v>502</v>
      </c>
    </row>
    <row r="7" spans="2:28" ht="12.75">
      <c r="B7" t="s">
        <v>512</v>
      </c>
      <c r="C7" t="s">
        <v>510</v>
      </c>
      <c r="D7" t="s">
        <v>510</v>
      </c>
      <c r="E7" t="s">
        <v>510</v>
      </c>
      <c r="F7" t="s">
        <v>46</v>
      </c>
      <c r="G7" t="s">
        <v>37</v>
      </c>
      <c r="I7" t="s">
        <v>512</v>
      </c>
      <c r="J7" t="s">
        <v>510</v>
      </c>
      <c r="K7" t="s">
        <v>510</v>
      </c>
      <c r="L7" t="s">
        <v>510</v>
      </c>
      <c r="M7" t="s">
        <v>46</v>
      </c>
      <c r="N7" t="s">
        <v>37</v>
      </c>
      <c r="P7" t="s">
        <v>512</v>
      </c>
      <c r="Q7" t="s">
        <v>510</v>
      </c>
      <c r="R7" t="s">
        <v>510</v>
      </c>
      <c r="S7" t="s">
        <v>510</v>
      </c>
      <c r="T7" t="s">
        <v>46</v>
      </c>
      <c r="U7" t="s">
        <v>37</v>
      </c>
      <c r="W7" t="s">
        <v>512</v>
      </c>
      <c r="X7" t="s">
        <v>510</v>
      </c>
      <c r="Y7" t="s">
        <v>510</v>
      </c>
      <c r="Z7" t="s">
        <v>510</v>
      </c>
      <c r="AA7" t="s">
        <v>46</v>
      </c>
      <c r="AB7" t="s">
        <v>37</v>
      </c>
    </row>
    <row r="9" spans="2:28" ht="12.75">
      <c r="B9">
        <v>0.999998</v>
      </c>
      <c r="C9">
        <f aca="true" t="shared" si="0" ref="C9:C16">135*B9/(1-B9^2)^0.5/1000</f>
        <v>67.49989875105096</v>
      </c>
      <c r="D9">
        <f aca="true" t="shared" si="1" ref="D9:D16">500*B9/(1-B9^2)^0.5/1000</f>
        <v>249.99962500389248</v>
      </c>
      <c r="E9">
        <f aca="true" t="shared" si="2" ref="E9:E16">938*B9/(1-B9^2)^0.5/1000</f>
        <v>468.9992965073023</v>
      </c>
      <c r="F9">
        <f aca="true" t="shared" si="3" ref="F9:F16">ACOS(1/(B9*F$5))</f>
        <v>0.054701542783403</v>
      </c>
      <c r="G9">
        <f aca="true" t="shared" si="4" ref="G9:G16">2.95*SIN(F9)</f>
        <v>0.16128908667436795</v>
      </c>
      <c r="I9">
        <v>0.99997</v>
      </c>
      <c r="J9">
        <f aca="true" t="shared" si="5" ref="J9:J18">135*I9/(1-I9^2)^0.5/1000</f>
        <v>17.428032915920777</v>
      </c>
      <c r="K9">
        <f aca="true" t="shared" si="6" ref="K9:K18">500*I9/(1-I9^2)^0.5/1000</f>
        <v>64.54827005896584</v>
      </c>
      <c r="L9">
        <f aca="true" t="shared" si="7" ref="L9:L18">938*I9/(1-I9^2)^0.5/1000</f>
        <v>121.09255463061992</v>
      </c>
      <c r="M9">
        <f aca="true" t="shared" si="8" ref="M9:M18">ACOS(1/(I9*M$5))</f>
        <v>0.630643545215859</v>
      </c>
      <c r="N9">
        <f aca="true" t="shared" si="9" ref="N9:N18">2.95*SIN(M9)</f>
        <v>1.7395106825317488</v>
      </c>
      <c r="P9">
        <v>0.99996</v>
      </c>
      <c r="Q9">
        <f>135*P9/(1-P9^2)^0.5/1000</f>
        <v>15.093006040579187</v>
      </c>
      <c r="R9">
        <f>500*P9/(1-P9^2)^0.5/1000</f>
        <v>55.90002237251551</v>
      </c>
      <c r="S9">
        <f aca="true" t="shared" si="10" ref="S9:S19">938*P9/(1-P9^2)^0.5/1000</f>
        <v>104.86844197083909</v>
      </c>
      <c r="T9">
        <f aca="true" t="shared" si="11" ref="T9:T19">ACOS(1/(P9*T$5))</f>
        <v>0.8149586392025978</v>
      </c>
      <c r="U9">
        <f aca="true" t="shared" si="12" ref="U9:U19">2.95*SIN(T9)</f>
        <v>2.1467068282446085</v>
      </c>
      <c r="W9">
        <v>0.9999</v>
      </c>
      <c r="X9">
        <f>135*W9/(1-W9^2)^0.5/1000</f>
        <v>9.54522558548811</v>
      </c>
      <c r="Y9">
        <f>500*W9/(1-W9^2)^0.5/1000</f>
        <v>35.35268735365966</v>
      </c>
      <c r="Z9">
        <f aca="true" t="shared" si="13" ref="Z9:Z18">938*W9/(1-W9^2)^0.5/1000</f>
        <v>66.32164147546553</v>
      </c>
      <c r="AA9">
        <f aca="true" t="shared" si="14" ref="AA9:AA18">ACOS(1/(W9*AA$5))</f>
        <v>0.24153948847206919</v>
      </c>
      <c r="AB9">
        <f aca="true" t="shared" si="15" ref="AB9:AB18">2.95*SIN(AA9)</f>
        <v>0.7056332379236496</v>
      </c>
    </row>
    <row r="10" spans="2:28" ht="12.75">
      <c r="B10">
        <v>0.999996</v>
      </c>
      <c r="C10">
        <f t="shared" si="0"/>
        <v>47.72956454076329</v>
      </c>
      <c r="D10">
        <f t="shared" si="1"/>
        <v>176.77616496578995</v>
      </c>
      <c r="E10">
        <f t="shared" si="2"/>
        <v>331.63208547582195</v>
      </c>
      <c r="F10">
        <f t="shared" si="3"/>
        <v>0.054665004881600865</v>
      </c>
      <c r="G10">
        <f t="shared" si="4"/>
        <v>0.16118146097922087</v>
      </c>
      <c r="I10">
        <v>0.99995</v>
      </c>
      <c r="J10">
        <f t="shared" si="5"/>
        <v>13.499493744726188</v>
      </c>
      <c r="K10">
        <f t="shared" si="6"/>
        <v>49.99812498046737</v>
      </c>
      <c r="L10">
        <f t="shared" si="7"/>
        <v>93.79648246335677</v>
      </c>
      <c r="M10">
        <f t="shared" si="8"/>
        <v>0.6306161498563405</v>
      </c>
      <c r="N10">
        <f t="shared" si="9"/>
        <v>1.7394454107312527</v>
      </c>
      <c r="P10">
        <v>0.99992</v>
      </c>
      <c r="Q10">
        <f aca="true" t="shared" si="16" ref="Q10:Q19">135*P10/(1-P10^2)^0.5/1000</f>
        <v>10.672046731170328</v>
      </c>
      <c r="R10">
        <f aca="true" t="shared" si="17" ref="R10:R19">500*P10/(1-P10^2)^0.5/1000</f>
        <v>39.52609900433455</v>
      </c>
      <c r="S10">
        <f t="shared" si="10"/>
        <v>74.1509617321316</v>
      </c>
      <c r="T10">
        <f t="shared" si="11"/>
        <v>0.8149209331056051</v>
      </c>
      <c r="U10">
        <f t="shared" si="12"/>
        <v>2.14663053218112</v>
      </c>
      <c r="W10">
        <v>0.9998</v>
      </c>
      <c r="X10">
        <f aca="true" t="shared" si="18" ref="X10:X18">135*W10/(1-W10^2)^0.5/1000</f>
        <v>6.748987457809741</v>
      </c>
      <c r="Y10">
        <f aca="true" t="shared" si="19" ref="Y10:Y18">500*W10/(1-W10^2)^0.5/1000</f>
        <v>24.99624984373978</v>
      </c>
      <c r="Z10">
        <f t="shared" si="13"/>
        <v>46.89296470685583</v>
      </c>
      <c r="AA10">
        <f t="shared" si="14"/>
        <v>0.2411331439607498</v>
      </c>
      <c r="AB10">
        <f t="shared" si="15"/>
        <v>0.7044692610670398</v>
      </c>
    </row>
    <row r="11" spans="2:28" ht="12.75">
      <c r="B11">
        <v>0.99995</v>
      </c>
      <c r="C11">
        <f t="shared" si="0"/>
        <v>13.499493744726188</v>
      </c>
      <c r="D11">
        <f t="shared" si="1"/>
        <v>49.99812498046737</v>
      </c>
      <c r="E11">
        <f t="shared" si="2"/>
        <v>93.79648246335677</v>
      </c>
      <c r="F11">
        <f t="shared" si="3"/>
        <v>0.05381775288423474</v>
      </c>
      <c r="G11">
        <f t="shared" si="4"/>
        <v>0.1586857435268864</v>
      </c>
      <c r="I11">
        <v>0.9996</v>
      </c>
      <c r="J11">
        <f t="shared" si="5"/>
        <v>4.771538762436657</v>
      </c>
      <c r="K11">
        <f t="shared" si="6"/>
        <v>17.672365786802438</v>
      </c>
      <c r="L11">
        <f t="shared" si="7"/>
        <v>33.15335821604137</v>
      </c>
      <c r="M11">
        <f t="shared" si="8"/>
        <v>0.6301363869524467</v>
      </c>
      <c r="N11">
        <f t="shared" si="9"/>
        <v>1.7383021227718711</v>
      </c>
      <c r="P11">
        <v>0.9999</v>
      </c>
      <c r="Q11">
        <f t="shared" si="16"/>
        <v>9.54522558548811</v>
      </c>
      <c r="R11">
        <f t="shared" si="17"/>
        <v>35.35268735365966</v>
      </c>
      <c r="S11">
        <f t="shared" si="10"/>
        <v>66.32164147546553</v>
      </c>
      <c r="T11">
        <f t="shared" si="11"/>
        <v>0.814902078423197</v>
      </c>
      <c r="U11">
        <f t="shared" si="12"/>
        <v>2.1465923796986237</v>
      </c>
      <c r="W11">
        <v>0.9997</v>
      </c>
      <c r="X11">
        <f t="shared" si="18"/>
        <v>5.510111789568682</v>
      </c>
      <c r="Y11">
        <f t="shared" si="19"/>
        <v>20.407821442846974</v>
      </c>
      <c r="Z11">
        <f t="shared" si="13"/>
        <v>38.28507302678092</v>
      </c>
      <c r="AA11">
        <f t="shared" si="14"/>
        <v>0.24072604541544718</v>
      </c>
      <c r="AB11">
        <f t="shared" si="15"/>
        <v>0.7033030076316106</v>
      </c>
    </row>
    <row r="12" spans="2:28" ht="12.75">
      <c r="B12">
        <v>0.999972</v>
      </c>
      <c r="C12">
        <f t="shared" si="0"/>
        <v>18.039754984055417</v>
      </c>
      <c r="D12">
        <f t="shared" si="1"/>
        <v>66.8139073483534</v>
      </c>
      <c r="E12">
        <f t="shared" si="2"/>
        <v>125.34289018551097</v>
      </c>
      <c r="F12">
        <f t="shared" si="3"/>
        <v>0.054224620140705726</v>
      </c>
      <c r="G12">
        <f t="shared" si="4"/>
        <v>0.15988425100087192</v>
      </c>
      <c r="I12">
        <v>0.9992</v>
      </c>
      <c r="J12">
        <f t="shared" si="5"/>
        <v>3.372974662405417</v>
      </c>
      <c r="K12">
        <f t="shared" si="6"/>
        <v>12.492498749649693</v>
      </c>
      <c r="L12">
        <f t="shared" si="7"/>
        <v>23.435927654342823</v>
      </c>
      <c r="M12">
        <f t="shared" si="8"/>
        <v>0.6295872877479797</v>
      </c>
      <c r="N12">
        <f t="shared" si="9"/>
        <v>1.7369931135262746</v>
      </c>
      <c r="P12">
        <v>0.9995</v>
      </c>
      <c r="Q12">
        <f t="shared" si="16"/>
        <v>4.267473771372237</v>
      </c>
      <c r="R12">
        <f t="shared" si="17"/>
        <v>15.805458412489765</v>
      </c>
      <c r="S12">
        <f t="shared" si="10"/>
        <v>29.651039981830802</v>
      </c>
      <c r="T12">
        <f t="shared" si="11"/>
        <v>0.8145247558501127</v>
      </c>
      <c r="U12">
        <f t="shared" si="12"/>
        <v>2.1458287063933703</v>
      </c>
      <c r="W12">
        <v>0.9996</v>
      </c>
      <c r="X12">
        <f t="shared" si="18"/>
        <v>4.771538762436657</v>
      </c>
      <c r="Y12">
        <f t="shared" si="19"/>
        <v>17.672365786802438</v>
      </c>
      <c r="Z12">
        <f t="shared" si="13"/>
        <v>33.15335821604137</v>
      </c>
      <c r="AA12">
        <f t="shared" si="14"/>
        <v>0.24031818898664814</v>
      </c>
      <c r="AB12">
        <f t="shared" si="15"/>
        <v>0.7021344661327209</v>
      </c>
    </row>
    <row r="13" spans="2:28" ht="12.75">
      <c r="B13">
        <v>0.99991</v>
      </c>
      <c r="C13">
        <f t="shared" si="0"/>
        <v>10.061626680363569</v>
      </c>
      <c r="D13">
        <f t="shared" si="1"/>
        <v>37.26528400134654</v>
      </c>
      <c r="E13">
        <f t="shared" si="2"/>
        <v>69.9096727865261</v>
      </c>
      <c r="F13">
        <f t="shared" si="3"/>
        <v>0.053069964341821985</v>
      </c>
      <c r="G13">
        <f t="shared" si="4"/>
        <v>0.15648291703367853</v>
      </c>
      <c r="I13">
        <v>0.9987</v>
      </c>
      <c r="J13">
        <f t="shared" si="5"/>
        <v>2.6449857462951423</v>
      </c>
      <c r="K13">
        <f t="shared" si="6"/>
        <v>9.796243504796825</v>
      </c>
      <c r="L13">
        <f t="shared" si="7"/>
        <v>18.377752814998843</v>
      </c>
      <c r="M13">
        <f t="shared" si="8"/>
        <v>0.6288997117861537</v>
      </c>
      <c r="N13">
        <f t="shared" si="9"/>
        <v>1.7353532481574325</v>
      </c>
      <c r="P13">
        <v>0.9991</v>
      </c>
      <c r="Q13">
        <f t="shared" si="16"/>
        <v>3.1798322756452437</v>
      </c>
      <c r="R13">
        <f t="shared" si="17"/>
        <v>11.777156576463867</v>
      </c>
      <c r="S13">
        <f t="shared" si="10"/>
        <v>22.093945737446216</v>
      </c>
      <c r="T13">
        <f t="shared" si="11"/>
        <v>0.8141469966265421</v>
      </c>
      <c r="U13">
        <f t="shared" si="12"/>
        <v>2.1450638433023594</v>
      </c>
      <c r="W13">
        <v>0.999</v>
      </c>
      <c r="X13">
        <f t="shared" si="18"/>
        <v>3.016427278961778</v>
      </c>
      <c r="Y13">
        <f t="shared" si="19"/>
        <v>11.171952885043622</v>
      </c>
      <c r="Z13">
        <f t="shared" si="13"/>
        <v>20.958583612341833</v>
      </c>
      <c r="AA13">
        <f t="shared" si="14"/>
        <v>0.2378549150347935</v>
      </c>
      <c r="AB13">
        <f t="shared" si="15"/>
        <v>0.6950745120413366</v>
      </c>
    </row>
    <row r="14" spans="2:28" ht="12.75">
      <c r="B14">
        <v>0.99985</v>
      </c>
      <c r="C14">
        <f t="shared" si="0"/>
        <v>7.793351755935687</v>
      </c>
      <c r="D14">
        <f t="shared" si="1"/>
        <v>28.864265762724767</v>
      </c>
      <c r="E14">
        <f t="shared" si="2"/>
        <v>54.14936257087166</v>
      </c>
      <c r="F14">
        <f t="shared" si="3"/>
        <v>0.051927998283793686</v>
      </c>
      <c r="G14">
        <f t="shared" si="4"/>
        <v>0.15311875872627753</v>
      </c>
      <c r="I14">
        <v>0.9973</v>
      </c>
      <c r="J14">
        <f t="shared" si="5"/>
        <v>1.833395049969439</v>
      </c>
      <c r="K14">
        <f t="shared" si="6"/>
        <v>6.7903520369238475</v>
      </c>
      <c r="L14">
        <f t="shared" si="7"/>
        <v>12.738700421269138</v>
      </c>
      <c r="M14">
        <f t="shared" si="8"/>
        <v>0.6269673520595367</v>
      </c>
      <c r="N14">
        <f t="shared" si="9"/>
        <v>1.7307401892405716</v>
      </c>
      <c r="P14">
        <v>0.9983</v>
      </c>
      <c r="Q14">
        <f t="shared" si="16"/>
        <v>2.3122779339331387</v>
      </c>
      <c r="R14">
        <f t="shared" si="17"/>
        <v>8.563992347900514</v>
      </c>
      <c r="S14">
        <f t="shared" si="10"/>
        <v>16.066049644661366</v>
      </c>
      <c r="T14">
        <f t="shared" si="11"/>
        <v>0.8133901646870266</v>
      </c>
      <c r="U14">
        <f t="shared" si="12"/>
        <v>2.143530536775962</v>
      </c>
      <c r="W14">
        <v>0.9985</v>
      </c>
      <c r="X14">
        <f t="shared" si="18"/>
        <v>2.461977796356518</v>
      </c>
      <c r="Y14">
        <f t="shared" si="19"/>
        <v>9.118436282801918</v>
      </c>
      <c r="Z14">
        <f t="shared" si="13"/>
        <v>17.1061864665364</v>
      </c>
      <c r="AA14">
        <f t="shared" si="14"/>
        <v>0.23578061278855023</v>
      </c>
      <c r="AB14">
        <f t="shared" si="15"/>
        <v>0.6891261112938697</v>
      </c>
    </row>
    <row r="15" spans="2:28" ht="12.75">
      <c r="B15">
        <v>0.9998</v>
      </c>
      <c r="C15">
        <f t="shared" si="0"/>
        <v>6.748987457809741</v>
      </c>
      <c r="D15">
        <f t="shared" si="1"/>
        <v>24.99624984373978</v>
      </c>
      <c r="E15">
        <f t="shared" si="2"/>
        <v>46.89296470685583</v>
      </c>
      <c r="F15">
        <f t="shared" si="3"/>
        <v>0.050956724307144485</v>
      </c>
      <c r="G15">
        <f t="shared" si="4"/>
        <v>0.150257290961773</v>
      </c>
      <c r="I15">
        <v>0.99</v>
      </c>
      <c r="J15">
        <f t="shared" si="5"/>
        <v>0.9474197304936404</v>
      </c>
      <c r="K15">
        <f t="shared" si="6"/>
        <v>3.5089619647912604</v>
      </c>
      <c r="L15">
        <f t="shared" si="7"/>
        <v>6.582812645948405</v>
      </c>
      <c r="M15">
        <f t="shared" si="8"/>
        <v>0.6167166844242837</v>
      </c>
      <c r="N15">
        <f t="shared" si="9"/>
        <v>1.7061614504192424</v>
      </c>
      <c r="P15">
        <v>0.996</v>
      </c>
      <c r="Q15">
        <f t="shared" si="16"/>
        <v>1.5048140685019946</v>
      </c>
      <c r="R15">
        <f t="shared" si="17"/>
        <v>5.573385438896277</v>
      </c>
      <c r="S15">
        <f t="shared" si="10"/>
        <v>10.455671083369413</v>
      </c>
      <c r="T15">
        <f t="shared" si="11"/>
        <v>0.8112044594779352</v>
      </c>
      <c r="U15">
        <f t="shared" si="12"/>
        <v>2.1390955090801946</v>
      </c>
      <c r="W15">
        <v>0.998</v>
      </c>
      <c r="X15">
        <f t="shared" si="18"/>
        <v>2.1313342794622367</v>
      </c>
      <c r="Y15">
        <f t="shared" si="19"/>
        <v>7.893830664674951</v>
      </c>
      <c r="Z15">
        <f t="shared" si="13"/>
        <v>14.808826326930207</v>
      </c>
      <c r="AA15">
        <f t="shared" si="14"/>
        <v>0.2336861386207696</v>
      </c>
      <c r="AB15">
        <f t="shared" si="15"/>
        <v>0.683116855833498</v>
      </c>
    </row>
    <row r="16" spans="2:28" ht="12.75">
      <c r="B16">
        <v>0.9986</v>
      </c>
      <c r="C16">
        <f t="shared" si="0"/>
        <v>2.5485805879033574</v>
      </c>
      <c r="D16">
        <f t="shared" si="1"/>
        <v>9.439187362605027</v>
      </c>
      <c r="E16">
        <f t="shared" si="2"/>
        <v>17.707915492247032</v>
      </c>
      <c r="F16">
        <f t="shared" si="3"/>
        <v>0.013992284563925539</v>
      </c>
      <c r="G16">
        <f t="shared" si="4"/>
        <v>0.041275892572735604</v>
      </c>
      <c r="I16">
        <v>0.9</v>
      </c>
      <c r="J16">
        <f t="shared" si="5"/>
        <v>0.2787401166527326</v>
      </c>
      <c r="K16">
        <f t="shared" si="6"/>
        <v>1.0323708024175282</v>
      </c>
      <c r="L16">
        <f t="shared" si="7"/>
        <v>1.936727625335283</v>
      </c>
      <c r="M16">
        <f t="shared" si="8"/>
        <v>0.45704609477219904</v>
      </c>
      <c r="N16">
        <f t="shared" si="9"/>
        <v>1.3018329934461637</v>
      </c>
      <c r="P16">
        <v>0.994</v>
      </c>
      <c r="Q16">
        <f t="shared" si="16"/>
        <v>1.226823116785644</v>
      </c>
      <c r="R16">
        <f t="shared" si="17"/>
        <v>4.543789321428311</v>
      </c>
      <c r="S16">
        <f t="shared" si="10"/>
        <v>8.524148766999513</v>
      </c>
      <c r="T16">
        <f t="shared" si="11"/>
        <v>0.809291906657338</v>
      </c>
      <c r="U16">
        <f t="shared" si="12"/>
        <v>2.1352063525709966</v>
      </c>
      <c r="W16">
        <v>0.995</v>
      </c>
      <c r="X16">
        <f t="shared" si="18"/>
        <v>1.3449322173154081</v>
      </c>
      <c r="Y16">
        <f t="shared" si="19"/>
        <v>4.981230434501512</v>
      </c>
      <c r="Z16">
        <f t="shared" si="13"/>
        <v>9.344788295124836</v>
      </c>
      <c r="AA16">
        <f t="shared" si="14"/>
        <v>0.22066299753488083</v>
      </c>
      <c r="AB16">
        <f t="shared" si="15"/>
        <v>0.6456859483869452</v>
      </c>
    </row>
    <row r="17" spans="9:28" ht="12.75">
      <c r="I17">
        <v>0.85</v>
      </c>
      <c r="J17">
        <f t="shared" si="5"/>
        <v>0.2178317600251985</v>
      </c>
      <c r="K17">
        <f t="shared" si="6"/>
        <v>0.806784296389624</v>
      </c>
      <c r="L17">
        <f t="shared" si="7"/>
        <v>1.5135273400269345</v>
      </c>
      <c r="M17">
        <f t="shared" si="8"/>
        <v>0.3170930114615964</v>
      </c>
      <c r="N17">
        <f t="shared" si="9"/>
        <v>0.9198271657183354</v>
      </c>
      <c r="P17">
        <v>0.992</v>
      </c>
      <c r="Q17">
        <f t="shared" si="16"/>
        <v>1.060854395377974</v>
      </c>
      <c r="R17">
        <f t="shared" si="17"/>
        <v>3.929090353251756</v>
      </c>
      <c r="S17">
        <f t="shared" si="10"/>
        <v>7.370973502700294</v>
      </c>
      <c r="T17">
        <f t="shared" si="11"/>
        <v>0.807368127249811</v>
      </c>
      <c r="U17">
        <f t="shared" si="12"/>
        <v>2.1312864877574023</v>
      </c>
      <c r="W17">
        <v>0.99</v>
      </c>
      <c r="X17">
        <f t="shared" si="18"/>
        <v>0.9474197304936404</v>
      </c>
      <c r="Y17">
        <f t="shared" si="19"/>
        <v>3.5089619647912604</v>
      </c>
      <c r="Z17">
        <f t="shared" si="13"/>
        <v>6.582812645948405</v>
      </c>
      <c r="AA17">
        <f t="shared" si="14"/>
        <v>0.19688543235472022</v>
      </c>
      <c r="AB17">
        <f t="shared" si="15"/>
        <v>0.5770668710110737</v>
      </c>
    </row>
    <row r="18" spans="9:28" ht="12.75">
      <c r="I18">
        <v>0.81</v>
      </c>
      <c r="J18">
        <f t="shared" si="5"/>
        <v>0.1864673073290056</v>
      </c>
      <c r="K18">
        <f t="shared" si="6"/>
        <v>0.6906196567740946</v>
      </c>
      <c r="L18">
        <f t="shared" si="7"/>
        <v>1.2956024761082017</v>
      </c>
      <c r="M18">
        <f t="shared" si="8"/>
        <v>0.07661338340266388</v>
      </c>
      <c r="N18">
        <f t="shared" si="9"/>
        <v>0.22578844797894554</v>
      </c>
      <c r="P18">
        <v>0.985</v>
      </c>
      <c r="Q18">
        <f t="shared" si="16"/>
        <v>0.7706268098767105</v>
      </c>
      <c r="R18">
        <f t="shared" si="17"/>
        <v>2.8541733699137426</v>
      </c>
      <c r="S18">
        <f t="shared" si="10"/>
        <v>5.354429241958181</v>
      </c>
      <c r="T18">
        <f t="shared" si="11"/>
        <v>0.8005447961489248</v>
      </c>
      <c r="U18">
        <f t="shared" si="12"/>
        <v>2.1173198652909906</v>
      </c>
      <c r="W18">
        <v>0.98</v>
      </c>
      <c r="X18">
        <f t="shared" si="18"/>
        <v>0.6648325147939681</v>
      </c>
      <c r="Y18">
        <f t="shared" si="19"/>
        <v>2.462342647385067</v>
      </c>
      <c r="Z18">
        <f t="shared" si="13"/>
        <v>4.619354806494386</v>
      </c>
      <c r="AA18">
        <f t="shared" si="14"/>
        <v>0.13657929938937952</v>
      </c>
      <c r="AB18">
        <f t="shared" si="15"/>
        <v>0.4016574635135649</v>
      </c>
    </row>
    <row r="19" spans="16:21" ht="12.75">
      <c r="P19">
        <v>0.69</v>
      </c>
      <c r="Q19">
        <f t="shared" si="16"/>
        <v>0.12869410679841597</v>
      </c>
      <c r="R19">
        <f t="shared" si="17"/>
        <v>0.4766448399941334</v>
      </c>
      <c r="S19">
        <f t="shared" si="10"/>
        <v>0.894185719828994</v>
      </c>
      <c r="T19">
        <f t="shared" si="11"/>
        <v>0.10945276605974597</v>
      </c>
      <c r="U19">
        <f t="shared" si="12"/>
        <v>0.3222413558493092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4:H18"/>
  <sheetViews>
    <sheetView workbookViewId="0" topLeftCell="A11">
      <selection activeCell="H19" sqref="H19"/>
    </sheetView>
  </sheetViews>
  <sheetFormatPr defaultColWidth="9.140625" defaultRowHeight="12.75"/>
  <cols>
    <col min="3" max="3" width="13.8515625" style="0" customWidth="1"/>
  </cols>
  <sheetData>
    <row r="4" ht="12.75">
      <c r="C4" t="s">
        <v>444</v>
      </c>
    </row>
    <row r="6" spans="3:5" ht="12.75">
      <c r="C6" t="s">
        <v>448</v>
      </c>
      <c r="D6">
        <v>5</v>
      </c>
      <c r="E6" t="s">
        <v>52</v>
      </c>
    </row>
    <row r="7" ht="12.75">
      <c r="D7" t="s">
        <v>484</v>
      </c>
    </row>
    <row r="8" spans="3:5" ht="12.75">
      <c r="C8" t="s">
        <v>6</v>
      </c>
      <c r="D8" s="1">
        <v>1.24E-05</v>
      </c>
      <c r="E8" t="s">
        <v>445</v>
      </c>
    </row>
    <row r="9" spans="3:5" ht="12.75">
      <c r="C9" t="s">
        <v>446</v>
      </c>
      <c r="D9" s="1">
        <v>6.3E-06</v>
      </c>
      <c r="E9" t="s">
        <v>445</v>
      </c>
    </row>
    <row r="10" spans="3:5" ht="12.75">
      <c r="C10" t="s">
        <v>447</v>
      </c>
      <c r="D10" s="1">
        <v>2E-06</v>
      </c>
      <c r="E10" t="s">
        <v>445</v>
      </c>
    </row>
    <row r="11" spans="3:5" ht="12.75">
      <c r="C11" t="s">
        <v>674</v>
      </c>
      <c r="D11" s="1">
        <f>0.000035</f>
        <v>3.5E-05</v>
      </c>
      <c r="E11" t="s">
        <v>445</v>
      </c>
    </row>
    <row r="13" spans="5:8" ht="12.75">
      <c r="E13" t="s">
        <v>6</v>
      </c>
      <c r="F13" t="s">
        <v>446</v>
      </c>
      <c r="G13" t="s">
        <v>231</v>
      </c>
      <c r="H13" t="s">
        <v>674</v>
      </c>
    </row>
    <row r="14" spans="3:8" ht="12.75">
      <c r="C14" t="s">
        <v>19</v>
      </c>
      <c r="D14" t="s">
        <v>37</v>
      </c>
      <c r="E14" t="s">
        <v>513</v>
      </c>
      <c r="F14" t="s">
        <v>513</v>
      </c>
      <c r="G14" t="s">
        <v>513</v>
      </c>
      <c r="H14" t="s">
        <v>513</v>
      </c>
    </row>
    <row r="15" spans="3:8" ht="12.75">
      <c r="C15">
        <v>50</v>
      </c>
      <c r="D15">
        <f>C15*2.54/100</f>
        <v>1.27</v>
      </c>
      <c r="E15" s="2">
        <f>$C15*$D$8*$D$6</f>
        <v>0.0031</v>
      </c>
      <c r="F15" s="2">
        <f>$C15*$D$9*$D$6</f>
        <v>0.001575</v>
      </c>
      <c r="G15" s="2">
        <f>$C15*$D$10*$D$6</f>
        <v>0.0005</v>
      </c>
      <c r="H15" s="2">
        <f>$C15*$D$11*$D$6</f>
        <v>0.008749999999999999</v>
      </c>
    </row>
    <row r="16" spans="3:8" ht="12.75">
      <c r="C16">
        <v>100</v>
      </c>
      <c r="D16">
        <f>C16*2.54/100</f>
        <v>2.54</v>
      </c>
      <c r="E16" s="2">
        <f>C16*$D$8*$D$6</f>
        <v>0.0062</v>
      </c>
      <c r="F16" s="2">
        <f>$C16*$D$9*$D$6</f>
        <v>0.00315</v>
      </c>
      <c r="G16" s="2">
        <f>$C16*$D$10*$D$6</f>
        <v>0.001</v>
      </c>
      <c r="H16" s="2">
        <f>$C16*$D$11*$D$6</f>
        <v>0.017499999999999998</v>
      </c>
    </row>
    <row r="17" spans="3:8" ht="12.75">
      <c r="C17">
        <v>120</v>
      </c>
      <c r="D17">
        <f>C17*2.54/100</f>
        <v>3.048</v>
      </c>
      <c r="E17" s="2">
        <f>C17*$D$8*$D$6</f>
        <v>0.0074399999999999996</v>
      </c>
      <c r="F17" s="2">
        <f>$C17*$D$9*$D$6</f>
        <v>0.0037799999999999995</v>
      </c>
      <c r="G17" s="2">
        <f>$C17*$D$10*$D$6</f>
        <v>0.0012</v>
      </c>
      <c r="H17" s="2">
        <f>$C17*$D$11*$D$6</f>
        <v>0.020999999999999998</v>
      </c>
    </row>
    <row r="18" spans="3:8" ht="12.75">
      <c r="C18">
        <v>180</v>
      </c>
      <c r="D18">
        <f>C18*2.54/100</f>
        <v>4.572</v>
      </c>
      <c r="E18" s="2">
        <f>C18*$D$8*$D$6</f>
        <v>0.01116</v>
      </c>
      <c r="F18" s="2">
        <f>$C18*$D$9*$D$6</f>
        <v>0.00567</v>
      </c>
      <c r="G18" s="2">
        <f>$C18*$D$10*$D$6</f>
        <v>0.0018</v>
      </c>
      <c r="H18" s="2">
        <f>$C18*$D$11*$D$6</f>
        <v>0.03149999999999999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K100"/>
  <sheetViews>
    <sheetView workbookViewId="0" topLeftCell="B1">
      <selection activeCell="K22" sqref="K22"/>
    </sheetView>
  </sheetViews>
  <sheetFormatPr defaultColWidth="9.140625" defaultRowHeight="12.75"/>
  <cols>
    <col min="1" max="1" width="50.421875" style="0" bestFit="1" customWidth="1"/>
    <col min="4" max="4" width="10.140625" style="0" bestFit="1" customWidth="1"/>
    <col min="6" max="6" width="14.7109375" style="0" bestFit="1" customWidth="1"/>
    <col min="7" max="7" width="14.7109375" style="0" customWidth="1"/>
    <col min="8" max="8" width="11.57421875" style="0" customWidth="1"/>
    <col min="10" max="10" width="11.140625" style="0" bestFit="1" customWidth="1"/>
  </cols>
  <sheetData>
    <row r="3" spans="2:10" ht="12.75">
      <c r="B3" t="s">
        <v>570</v>
      </c>
      <c r="C3" t="s">
        <v>572</v>
      </c>
      <c r="D3" t="s">
        <v>569</v>
      </c>
      <c r="F3" t="s">
        <v>571</v>
      </c>
      <c r="G3" t="s">
        <v>572</v>
      </c>
      <c r="H3" t="s">
        <v>569</v>
      </c>
      <c r="J3" t="s">
        <v>574</v>
      </c>
    </row>
    <row r="4" ht="12.75">
      <c r="A4" t="s">
        <v>636</v>
      </c>
    </row>
    <row r="5" spans="1:10" s="14" customFormat="1" ht="12.75">
      <c r="A5" s="14" t="s">
        <v>576</v>
      </c>
      <c r="B5" s="14">
        <v>42.25</v>
      </c>
      <c r="C5" s="14" t="s">
        <v>573</v>
      </c>
      <c r="D5" s="32">
        <v>7738</v>
      </c>
      <c r="F5" s="14">
        <v>32</v>
      </c>
      <c r="G5" s="14" t="str">
        <f>C5</f>
        <v>yards</v>
      </c>
      <c r="H5" s="32">
        <f>D5/B5*F5</f>
        <v>5860.733727810651</v>
      </c>
      <c r="J5" s="14" t="s">
        <v>575</v>
      </c>
    </row>
    <row r="6" spans="1:10" s="4" customFormat="1" ht="12.75">
      <c r="A6" s="4" t="s">
        <v>577</v>
      </c>
      <c r="B6" s="4">
        <v>1</v>
      </c>
      <c r="C6" s="4" t="s">
        <v>578</v>
      </c>
      <c r="D6" s="33">
        <v>0.49</v>
      </c>
      <c r="F6" s="4">
        <v>200</v>
      </c>
      <c r="G6" s="4" t="str">
        <f>C6</f>
        <v>ft</v>
      </c>
      <c r="H6" s="33">
        <f>D6/B6*F6</f>
        <v>98</v>
      </c>
      <c r="J6" s="4" t="s">
        <v>575</v>
      </c>
    </row>
    <row r="7" spans="1:8" s="4" customFormat="1" ht="12.75">
      <c r="A7" s="4" t="s">
        <v>579</v>
      </c>
      <c r="D7" s="33"/>
      <c r="H7" s="33"/>
    </row>
    <row r="8" spans="1:8" s="4" customFormat="1" ht="12.75">
      <c r="A8" s="4" t="s">
        <v>587</v>
      </c>
      <c r="D8" s="33"/>
      <c r="H8" s="33"/>
    </row>
    <row r="9" spans="1:8" s="4" customFormat="1" ht="12.75">
      <c r="A9" s="4" t="s">
        <v>580</v>
      </c>
      <c r="D9" s="33"/>
      <c r="H9" s="33"/>
    </row>
    <row r="10" spans="1:8" s="6" customFormat="1" ht="12.75">
      <c r="A10" s="6" t="s">
        <v>591</v>
      </c>
      <c r="D10" s="34"/>
      <c r="H10" s="34"/>
    </row>
    <row r="11" spans="4:8" s="4" customFormat="1" ht="12.75">
      <c r="D11" s="33"/>
      <c r="H11" s="33"/>
    </row>
    <row r="12" spans="1:8" s="4" customFormat="1" ht="12.75">
      <c r="A12" s="4" t="s">
        <v>637</v>
      </c>
      <c r="D12" s="33"/>
      <c r="H12" s="33"/>
    </row>
    <row r="13" spans="1:10" s="14" customFormat="1" ht="12.75">
      <c r="A13" s="14" t="s">
        <v>638</v>
      </c>
      <c r="B13" s="14">
        <v>1200</v>
      </c>
      <c r="C13" s="14" t="s">
        <v>17</v>
      </c>
      <c r="D13" s="32">
        <f>B13*57</f>
        <v>68400</v>
      </c>
      <c r="F13" s="14">
        <f>100*2</f>
        <v>200</v>
      </c>
      <c r="G13" s="14" t="s">
        <v>17</v>
      </c>
      <c r="H13" s="32">
        <f>D13/B13*F13*1.3</f>
        <v>14820</v>
      </c>
      <c r="J13" s="14" t="s">
        <v>642</v>
      </c>
    </row>
    <row r="14" spans="1:10" s="4" customFormat="1" ht="12.75">
      <c r="A14" s="4" t="s">
        <v>639</v>
      </c>
      <c r="D14" s="33"/>
      <c r="F14" s="4">
        <v>2200</v>
      </c>
      <c r="G14" s="4" t="s">
        <v>644</v>
      </c>
      <c r="H14" s="33">
        <v>2000</v>
      </c>
      <c r="J14" s="4" t="s">
        <v>645</v>
      </c>
    </row>
    <row r="15" spans="1:8" s="4" customFormat="1" ht="12.75">
      <c r="A15" s="4" t="s">
        <v>640</v>
      </c>
      <c r="D15" s="33"/>
      <c r="H15" s="33"/>
    </row>
    <row r="16" spans="1:10" s="4" customFormat="1" ht="12.75">
      <c r="A16" s="4" t="s">
        <v>641</v>
      </c>
      <c r="B16" s="4">
        <v>1</v>
      </c>
      <c r="C16" s="4" t="s">
        <v>590</v>
      </c>
      <c r="D16" s="33">
        <v>47</v>
      </c>
      <c r="F16" s="4">
        <f>80*8</f>
        <v>640</v>
      </c>
      <c r="G16" s="4" t="s">
        <v>675</v>
      </c>
      <c r="H16" s="33">
        <f>D16/B16*F16*1.3</f>
        <v>39104</v>
      </c>
      <c r="J16" s="4" t="s">
        <v>679</v>
      </c>
    </row>
    <row r="17" spans="1:8" s="4" customFormat="1" ht="12.75">
      <c r="A17" s="4" t="s">
        <v>678</v>
      </c>
      <c r="B17" s="4">
        <v>1</v>
      </c>
      <c r="C17" s="4" t="s">
        <v>590</v>
      </c>
      <c r="D17" s="33">
        <v>47</v>
      </c>
      <c r="F17" s="4">
        <f>40*8</f>
        <v>320</v>
      </c>
      <c r="G17" s="4" t="s">
        <v>675</v>
      </c>
      <c r="H17" s="33">
        <f>D17/B17*F17*1.3</f>
        <v>19552</v>
      </c>
    </row>
    <row r="18" spans="1:10" s="4" customFormat="1" ht="12.75">
      <c r="A18" s="4" t="s">
        <v>676</v>
      </c>
      <c r="B18" s="4">
        <v>1</v>
      </c>
      <c r="C18" s="4" t="s">
        <v>590</v>
      </c>
      <c r="D18" s="33">
        <v>47</v>
      </c>
      <c r="F18" s="4">
        <f>10*8</f>
        <v>80</v>
      </c>
      <c r="G18" s="4" t="s">
        <v>675</v>
      </c>
      <c r="H18" s="33">
        <f>D18/B18*F18*1.3</f>
        <v>4888</v>
      </c>
      <c r="J18" s="4" t="s">
        <v>677</v>
      </c>
    </row>
    <row r="19" spans="1:10" s="4" customFormat="1" ht="12.75">
      <c r="A19" s="4" t="s">
        <v>680</v>
      </c>
      <c r="D19" s="33"/>
      <c r="H19" s="33">
        <v>2000</v>
      </c>
      <c r="J19" s="4" t="s">
        <v>681</v>
      </c>
    </row>
    <row r="20" spans="1:8" s="6" customFormat="1" ht="12.75">
      <c r="A20" s="6" t="s">
        <v>643</v>
      </c>
      <c r="D20" s="34"/>
      <c r="H20" s="34"/>
    </row>
    <row r="21" spans="4:11" s="4" customFormat="1" ht="12.75">
      <c r="D21" s="33"/>
      <c r="H21" s="33"/>
      <c r="J21" s="33">
        <f>SUM(H13:H20)</f>
        <v>82364</v>
      </c>
      <c r="K21" s="4" t="s">
        <v>682</v>
      </c>
    </row>
    <row r="22" spans="1:8" s="4" customFormat="1" ht="12.75">
      <c r="A22" s="4" t="s">
        <v>656</v>
      </c>
      <c r="D22" s="33"/>
      <c r="H22" s="33"/>
    </row>
    <row r="23" spans="4:8" s="4" customFormat="1" ht="12.75">
      <c r="D23" s="33"/>
      <c r="H23" s="33"/>
    </row>
    <row r="24" spans="1:8" s="4" customFormat="1" ht="12.75">
      <c r="A24" s="4" t="s">
        <v>657</v>
      </c>
      <c r="D24" s="33"/>
      <c r="H24" s="33"/>
    </row>
    <row r="25" spans="4:8" ht="12.75">
      <c r="D25" s="30"/>
      <c r="H25" s="30"/>
    </row>
    <row r="26" spans="1:8" ht="12.75">
      <c r="A26" t="s">
        <v>635</v>
      </c>
      <c r="D26" s="30"/>
      <c r="H26" s="30"/>
    </row>
    <row r="27" spans="1:8" s="14" customFormat="1" ht="12.75">
      <c r="A27" s="14" t="s">
        <v>581</v>
      </c>
      <c r="D27" s="32"/>
      <c r="H27" s="32"/>
    </row>
    <row r="28" spans="1:8" s="4" customFormat="1" ht="12.75">
      <c r="A28" s="4" t="s">
        <v>582</v>
      </c>
      <c r="B28" s="4">
        <v>40</v>
      </c>
      <c r="C28" s="4" t="s">
        <v>17</v>
      </c>
      <c r="D28" s="33">
        <f>77*B28</f>
        <v>3080</v>
      </c>
      <c r="H28" s="33"/>
    </row>
    <row r="29" spans="1:10" s="4" customFormat="1" ht="12.75">
      <c r="A29" s="4" t="s">
        <v>582</v>
      </c>
      <c r="B29" s="4">
        <v>1200</v>
      </c>
      <c r="C29" s="4" t="s">
        <v>17</v>
      </c>
      <c r="D29" s="33">
        <f>B29*20</f>
        <v>24000</v>
      </c>
      <c r="F29" s="4">
        <f>(70*3)*4</f>
        <v>840</v>
      </c>
      <c r="G29" s="4" t="str">
        <f>C29</f>
        <v>lbs</v>
      </c>
      <c r="H29" s="33">
        <f>D29/B29*F29*1.3</f>
        <v>21840</v>
      </c>
      <c r="J29" s="4" t="s">
        <v>584</v>
      </c>
    </row>
    <row r="30" spans="1:8" s="4" customFormat="1" ht="12.75">
      <c r="A30" s="4" t="s">
        <v>583</v>
      </c>
      <c r="B30" s="4">
        <v>40</v>
      </c>
      <c r="C30" s="4" t="s">
        <v>17</v>
      </c>
      <c r="D30" s="33">
        <f>B30*120</f>
        <v>4800</v>
      </c>
      <c r="H30" s="33"/>
    </row>
    <row r="31" spans="1:10" s="4" customFormat="1" ht="12.75">
      <c r="A31" s="4" t="s">
        <v>583</v>
      </c>
      <c r="B31" s="4">
        <v>1200</v>
      </c>
      <c r="C31" s="4" t="s">
        <v>17</v>
      </c>
      <c r="D31" s="33">
        <f>B31*57</f>
        <v>68400</v>
      </c>
      <c r="F31" s="4">
        <f>70*3*4</f>
        <v>840</v>
      </c>
      <c r="G31" s="4" t="str">
        <f>C31</f>
        <v>lbs</v>
      </c>
      <c r="H31" s="33">
        <f>D31/B31*F31*1.3</f>
        <v>62244</v>
      </c>
      <c r="J31" s="4" t="s">
        <v>584</v>
      </c>
    </row>
    <row r="32" spans="1:10" s="4" customFormat="1" ht="12.75">
      <c r="A32" s="4" t="s">
        <v>592</v>
      </c>
      <c r="B32" s="4">
        <v>1</v>
      </c>
      <c r="C32" s="4" t="s">
        <v>590</v>
      </c>
      <c r="D32" s="33">
        <v>47</v>
      </c>
      <c r="F32" s="4">
        <f>15*160</f>
        <v>2400</v>
      </c>
      <c r="G32" s="4" t="str">
        <f>C32</f>
        <v>hr</v>
      </c>
      <c r="H32" s="33">
        <f>D32/B32*F32</f>
        <v>112800</v>
      </c>
      <c r="J32" s="4" t="s">
        <v>659</v>
      </c>
    </row>
    <row r="33" spans="1:8" s="4" customFormat="1" ht="12.75">
      <c r="A33" s="4" t="s">
        <v>593</v>
      </c>
      <c r="B33" s="4">
        <v>1</v>
      </c>
      <c r="C33" s="4" t="s">
        <v>590</v>
      </c>
      <c r="D33" s="33">
        <v>47</v>
      </c>
      <c r="F33" s="4">
        <f>3*160</f>
        <v>480</v>
      </c>
      <c r="G33" s="4" t="str">
        <f>C33</f>
        <v>hr</v>
      </c>
      <c r="H33" s="33">
        <f>D33/B33*F33</f>
        <v>22560</v>
      </c>
    </row>
    <row r="34" spans="1:8" s="4" customFormat="1" ht="12.75">
      <c r="A34" s="4" t="s">
        <v>594</v>
      </c>
      <c r="D34" s="33"/>
      <c r="H34" s="33">
        <v>10000</v>
      </c>
    </row>
    <row r="35" spans="1:8" s="6" customFormat="1" ht="12.75">
      <c r="A35" s="6" t="s">
        <v>595</v>
      </c>
      <c r="D35" s="34"/>
      <c r="H35" s="34">
        <v>25000</v>
      </c>
    </row>
    <row r="36" spans="4:8" s="4" customFormat="1" ht="12.75">
      <c r="D36" s="33"/>
      <c r="H36" s="33"/>
    </row>
    <row r="37" spans="1:8" s="4" customFormat="1" ht="12.75">
      <c r="A37" s="4" t="s">
        <v>658</v>
      </c>
      <c r="D37" s="33"/>
      <c r="H37" s="33"/>
    </row>
    <row r="38" spans="4:8" ht="12.75">
      <c r="D38" s="30"/>
      <c r="H38" s="30"/>
    </row>
    <row r="39" spans="1:8" ht="12.75">
      <c r="A39" t="s">
        <v>628</v>
      </c>
      <c r="D39" s="30"/>
      <c r="H39" s="30"/>
    </row>
    <row r="40" spans="1:10" s="14" customFormat="1" ht="12.75">
      <c r="A40" s="14" t="s">
        <v>648</v>
      </c>
      <c r="B40" s="14">
        <v>20</v>
      </c>
      <c r="C40" s="14" t="s">
        <v>578</v>
      </c>
      <c r="D40" s="32">
        <v>175</v>
      </c>
      <c r="F40" s="14">
        <v>225</v>
      </c>
      <c r="G40" s="14" t="s">
        <v>578</v>
      </c>
      <c r="H40" s="32">
        <f aca="true" t="shared" si="0" ref="H40:H45">D40/B40*F40</f>
        <v>1968.75</v>
      </c>
      <c r="J40" s="14" t="s">
        <v>586</v>
      </c>
    </row>
    <row r="41" spans="1:10" s="4" customFormat="1" ht="12.75">
      <c r="A41" s="4" t="s">
        <v>649</v>
      </c>
      <c r="B41" s="4">
        <v>1</v>
      </c>
      <c r="C41" s="4" t="s">
        <v>585</v>
      </c>
      <c r="D41" s="33">
        <v>207</v>
      </c>
      <c r="F41" s="4">
        <v>6</v>
      </c>
      <c r="G41" s="4" t="str">
        <f>C41</f>
        <v>sheet</v>
      </c>
      <c r="H41" s="33">
        <f t="shared" si="0"/>
        <v>1242</v>
      </c>
      <c r="J41" s="4" t="s">
        <v>586</v>
      </c>
    </row>
    <row r="42" spans="1:10" s="4" customFormat="1" ht="12.75">
      <c r="A42" s="4" t="s">
        <v>650</v>
      </c>
      <c r="B42" s="4">
        <v>1</v>
      </c>
      <c r="C42" s="4" t="s">
        <v>585</v>
      </c>
      <c r="D42" s="33">
        <v>31.1</v>
      </c>
      <c r="F42" s="4">
        <v>16</v>
      </c>
      <c r="G42" s="4" t="str">
        <f>C42</f>
        <v>sheet</v>
      </c>
      <c r="H42" s="33">
        <f t="shared" si="0"/>
        <v>497.6</v>
      </c>
      <c r="J42" s="4" t="s">
        <v>586</v>
      </c>
    </row>
    <row r="43" spans="1:8" s="4" customFormat="1" ht="12.75">
      <c r="A43" s="4" t="s">
        <v>589</v>
      </c>
      <c r="B43" s="4">
        <v>1</v>
      </c>
      <c r="C43" s="4" t="s">
        <v>590</v>
      </c>
      <c r="D43" s="33">
        <v>47</v>
      </c>
      <c r="F43" s="4">
        <f>4*160</f>
        <v>640</v>
      </c>
      <c r="G43" s="4" t="str">
        <f>C43</f>
        <v>hr</v>
      </c>
      <c r="H43" s="33">
        <f t="shared" si="0"/>
        <v>30080</v>
      </c>
    </row>
    <row r="44" spans="1:8" s="4" customFormat="1" ht="12.75">
      <c r="A44" s="4" t="s">
        <v>651</v>
      </c>
      <c r="B44" s="4">
        <v>1</v>
      </c>
      <c r="C44" s="4" t="s">
        <v>654</v>
      </c>
      <c r="D44" s="33">
        <v>80</v>
      </c>
      <c r="F44" s="4">
        <v>4</v>
      </c>
      <c r="G44" s="4" t="s">
        <v>655</v>
      </c>
      <c r="H44" s="33">
        <f t="shared" si="0"/>
        <v>320</v>
      </c>
    </row>
    <row r="45" spans="1:8" s="4" customFormat="1" ht="12.75">
      <c r="A45" s="4" t="s">
        <v>652</v>
      </c>
      <c r="B45" s="4">
        <v>1</v>
      </c>
      <c r="C45" s="4" t="s">
        <v>654</v>
      </c>
      <c r="D45" s="33">
        <v>25</v>
      </c>
      <c r="F45" s="4">
        <v>4</v>
      </c>
      <c r="G45" s="4" t="s">
        <v>655</v>
      </c>
      <c r="H45" s="33">
        <f t="shared" si="0"/>
        <v>100</v>
      </c>
    </row>
    <row r="46" spans="1:8" s="6" customFormat="1" ht="12.75">
      <c r="A46" s="6" t="s">
        <v>653</v>
      </c>
      <c r="D46" s="34"/>
      <c r="H46" s="34"/>
    </row>
    <row r="47" spans="4:8" ht="12.75">
      <c r="D47" s="30"/>
      <c r="H47" s="30"/>
    </row>
    <row r="48" spans="1:8" ht="12.75">
      <c r="A48" t="s">
        <v>621</v>
      </c>
      <c r="D48" s="30"/>
      <c r="H48" s="30"/>
    </row>
    <row r="49" spans="1:8" s="14" customFormat="1" ht="12.75">
      <c r="A49" s="14" t="s">
        <v>622</v>
      </c>
      <c r="D49" s="32"/>
      <c r="H49" s="32"/>
    </row>
    <row r="50" spans="1:8" s="4" customFormat="1" ht="12.75">
      <c r="A50" s="4" t="s">
        <v>660</v>
      </c>
      <c r="D50" s="33"/>
      <c r="H50" s="33"/>
    </row>
    <row r="51" spans="1:8" s="4" customFormat="1" ht="12.75">
      <c r="A51" s="4" t="s">
        <v>673</v>
      </c>
      <c r="B51" s="4">
        <v>1</v>
      </c>
      <c r="C51" s="4" t="s">
        <v>590</v>
      </c>
      <c r="D51" s="33">
        <v>47</v>
      </c>
      <c r="F51" s="4">
        <f>5/60*10000</f>
        <v>833.3333333333333</v>
      </c>
      <c r="G51" s="4" t="s">
        <v>590</v>
      </c>
      <c r="H51" s="33">
        <f>D51/B51*F51</f>
        <v>39166.666666666664</v>
      </c>
    </row>
    <row r="52" spans="1:8" s="4" customFormat="1" ht="12.75">
      <c r="A52" s="4" t="s">
        <v>661</v>
      </c>
      <c r="B52" s="4">
        <v>1</v>
      </c>
      <c r="C52" s="4" t="s">
        <v>667</v>
      </c>
      <c r="D52" s="33">
        <v>9</v>
      </c>
      <c r="F52" s="4">
        <v>3300</v>
      </c>
      <c r="G52" s="4" t="s">
        <v>578</v>
      </c>
      <c r="H52" s="33">
        <f>D52/B52*F52</f>
        <v>29700</v>
      </c>
    </row>
    <row r="53" spans="1:8" s="4" customFormat="1" ht="12.75">
      <c r="A53" s="4" t="s">
        <v>662</v>
      </c>
      <c r="B53" s="4">
        <v>1</v>
      </c>
      <c r="C53" s="4" t="s">
        <v>590</v>
      </c>
      <c r="D53" s="33">
        <v>47</v>
      </c>
      <c r="F53" s="4">
        <f>0.5*10000</f>
        <v>5000</v>
      </c>
      <c r="G53" s="4" t="s">
        <v>590</v>
      </c>
      <c r="H53" s="33">
        <f>D53/B53*F53</f>
        <v>235000</v>
      </c>
    </row>
    <row r="54" spans="1:8" s="4" customFormat="1" ht="12.75">
      <c r="A54" s="4" t="s">
        <v>664</v>
      </c>
      <c r="D54" s="33"/>
      <c r="H54" s="33"/>
    </row>
    <row r="55" spans="1:8" s="4" customFormat="1" ht="12.75">
      <c r="A55" s="4" t="s">
        <v>663</v>
      </c>
      <c r="B55" s="4">
        <v>1</v>
      </c>
      <c r="C55" s="4" t="s">
        <v>590</v>
      </c>
      <c r="D55" s="33">
        <v>47</v>
      </c>
      <c r="F55" s="4">
        <f>10/60*10000</f>
        <v>1666.6666666666665</v>
      </c>
      <c r="G55" s="4" t="s">
        <v>590</v>
      </c>
      <c r="H55" s="33">
        <f>D55/B55*F55</f>
        <v>78333.33333333333</v>
      </c>
    </row>
    <row r="56" spans="1:8" s="4" customFormat="1" ht="12.75">
      <c r="A56" s="4" t="s">
        <v>671</v>
      </c>
      <c r="B56" s="4">
        <v>48</v>
      </c>
      <c r="C56" s="4" t="s">
        <v>670</v>
      </c>
      <c r="D56" s="33">
        <v>30</v>
      </c>
      <c r="F56" s="4">
        <f>0.5*10000</f>
        <v>5000</v>
      </c>
      <c r="G56" s="4" t="s">
        <v>578</v>
      </c>
      <c r="H56" s="33">
        <f>D56/B56*F56</f>
        <v>3125</v>
      </c>
    </row>
    <row r="57" spans="1:8" s="4" customFormat="1" ht="12.75">
      <c r="A57" s="4" t="s">
        <v>665</v>
      </c>
      <c r="B57" s="4">
        <v>1</v>
      </c>
      <c r="C57" s="4" t="s">
        <v>590</v>
      </c>
      <c r="D57" s="33">
        <v>47</v>
      </c>
      <c r="F57" s="4">
        <f>5/60*10000</f>
        <v>833.3333333333333</v>
      </c>
      <c r="G57" s="4" t="s">
        <v>590</v>
      </c>
      <c r="H57" s="33">
        <f>D57/B57*F57</f>
        <v>39166.666666666664</v>
      </c>
    </row>
    <row r="58" spans="1:8" s="4" customFormat="1" ht="12.75">
      <c r="A58" s="4" t="s">
        <v>666</v>
      </c>
      <c r="B58" s="4">
        <v>1</v>
      </c>
      <c r="C58" s="4" t="s">
        <v>668</v>
      </c>
      <c r="D58" s="33">
        <v>1</v>
      </c>
      <c r="F58" s="4">
        <v>10000</v>
      </c>
      <c r="G58" s="4" t="s">
        <v>669</v>
      </c>
      <c r="H58" s="33">
        <f>D58/B58*F58</f>
        <v>10000</v>
      </c>
    </row>
    <row r="59" spans="1:8" s="4" customFormat="1" ht="12.75">
      <c r="A59" s="4" t="s">
        <v>625</v>
      </c>
      <c r="B59" s="4">
        <v>1</v>
      </c>
      <c r="C59" s="4" t="s">
        <v>626</v>
      </c>
      <c r="D59" s="33">
        <v>5</v>
      </c>
      <c r="F59" s="4">
        <f>80*160/144*(8)</f>
        <v>711.1111111111111</v>
      </c>
      <c r="G59" s="4" t="s">
        <v>626</v>
      </c>
      <c r="H59" s="33">
        <f>D59/B59*F59</f>
        <v>3555.5555555555557</v>
      </c>
    </row>
    <row r="60" spans="1:8" s="4" customFormat="1" ht="12.75">
      <c r="A60" s="4" t="s">
        <v>634</v>
      </c>
      <c r="D60" s="33"/>
      <c r="H60" s="33"/>
    </row>
    <row r="61" spans="1:8" s="4" customFormat="1" ht="12.75">
      <c r="A61" s="4" t="s">
        <v>629</v>
      </c>
      <c r="D61" s="33"/>
      <c r="H61" s="33"/>
    </row>
    <row r="62" spans="1:11" s="6" customFormat="1" ht="12.75">
      <c r="A62" s="6" t="s">
        <v>630</v>
      </c>
      <c r="D62" s="34"/>
      <c r="H62" s="34"/>
      <c r="J62" s="34">
        <f>SUM(H49:H62)</f>
        <v>438047.2222222222</v>
      </c>
      <c r="K62" s="6" t="s">
        <v>672</v>
      </c>
    </row>
    <row r="63" spans="4:8" ht="12.75">
      <c r="D63" s="30"/>
      <c r="H63" s="30"/>
    </row>
    <row r="64" spans="1:8" ht="12.75">
      <c r="A64" t="s">
        <v>627</v>
      </c>
      <c r="D64" s="30"/>
      <c r="H64" s="30"/>
    </row>
    <row r="65" spans="1:8" s="14" customFormat="1" ht="12.75">
      <c r="A65" s="14" t="s">
        <v>631</v>
      </c>
      <c r="D65" s="32"/>
      <c r="H65" s="32"/>
    </row>
    <row r="66" spans="1:8" s="4" customFormat="1" ht="12.75">
      <c r="A66" s="4" t="s">
        <v>632</v>
      </c>
      <c r="D66" s="33"/>
      <c r="H66" s="33"/>
    </row>
    <row r="67" spans="1:8" s="4" customFormat="1" ht="12.75">
      <c r="A67" s="4" t="s">
        <v>633</v>
      </c>
      <c r="D67" s="33"/>
      <c r="H67" s="33"/>
    </row>
    <row r="68" spans="1:8" s="4" customFormat="1" ht="12.75">
      <c r="A68" s="4" t="s">
        <v>622</v>
      </c>
      <c r="D68" s="33"/>
      <c r="H68" s="33"/>
    </row>
    <row r="69" spans="1:8" s="4" customFormat="1" ht="12.75">
      <c r="A69" s="4" t="s">
        <v>623</v>
      </c>
      <c r="D69" s="33"/>
      <c r="H69" s="33"/>
    </row>
    <row r="70" spans="1:8" s="4" customFormat="1" ht="12.75">
      <c r="A70" s="4" t="s">
        <v>624</v>
      </c>
      <c r="D70" s="33"/>
      <c r="H70" s="33"/>
    </row>
    <row r="71" spans="1:8" s="4" customFormat="1" ht="12.75">
      <c r="A71" s="4" t="s">
        <v>625</v>
      </c>
      <c r="B71" s="4">
        <v>1</v>
      </c>
      <c r="C71" s="4" t="s">
        <v>626</v>
      </c>
      <c r="D71" s="33">
        <v>5</v>
      </c>
      <c r="F71" s="4">
        <f>80*160/144*(8)</f>
        <v>711.1111111111111</v>
      </c>
      <c r="G71" s="4" t="s">
        <v>626</v>
      </c>
      <c r="H71" s="33">
        <f>D71/B71*F71</f>
        <v>3555.5555555555557</v>
      </c>
    </row>
    <row r="72" spans="1:8" s="4" customFormat="1" ht="12.75">
      <c r="A72" s="4" t="s">
        <v>634</v>
      </c>
      <c r="D72" s="33"/>
      <c r="H72" s="33"/>
    </row>
    <row r="73" spans="1:8" s="4" customFormat="1" ht="12.75">
      <c r="A73" s="4" t="s">
        <v>646</v>
      </c>
      <c r="D73" s="33"/>
      <c r="F73" s="4">
        <v>370</v>
      </c>
      <c r="G73" s="4" t="s">
        <v>647</v>
      </c>
      <c r="H73" s="33"/>
    </row>
    <row r="74" spans="1:8" s="4" customFormat="1" ht="12.75">
      <c r="A74" s="4" t="s">
        <v>631</v>
      </c>
      <c r="D74" s="33"/>
      <c r="H74" s="33"/>
    </row>
    <row r="75" spans="1:8" s="6" customFormat="1" ht="12.75">
      <c r="A75" s="6" t="s">
        <v>630</v>
      </c>
      <c r="D75" s="34"/>
      <c r="H75" s="34"/>
    </row>
    <row r="76" spans="4:8" ht="12.75">
      <c r="D76" s="30"/>
      <c r="H76" s="30"/>
    </row>
    <row r="77" spans="4:8" ht="12.75">
      <c r="D77" s="30"/>
      <c r="H77" s="30"/>
    </row>
    <row r="78" spans="1:8" ht="12.75">
      <c r="A78" t="s">
        <v>596</v>
      </c>
      <c r="D78" s="30"/>
      <c r="H78" s="30"/>
    </row>
    <row r="79" spans="1:8" ht="12.75">
      <c r="A79" t="s">
        <v>597</v>
      </c>
      <c r="D79" s="30"/>
      <c r="H79" s="30"/>
    </row>
    <row r="80" spans="4:8" ht="12.75">
      <c r="D80" s="30"/>
      <c r="H80" s="30"/>
    </row>
    <row r="81" spans="4:8" ht="12.75">
      <c r="D81" s="30"/>
      <c r="H81" s="30"/>
    </row>
    <row r="82" spans="1:8" ht="12.75">
      <c r="A82" t="s">
        <v>443</v>
      </c>
      <c r="D82" s="30"/>
      <c r="H82" s="30">
        <f>SUM(H5:H81)</f>
        <v>818577.8615055883</v>
      </c>
    </row>
    <row r="83" spans="4:8" ht="12.75">
      <c r="D83" s="30"/>
      <c r="H83" s="30"/>
    </row>
    <row r="84" spans="4:8" ht="12.75">
      <c r="D84" s="30"/>
      <c r="H84" s="30"/>
    </row>
    <row r="85" spans="4:8" ht="12.75">
      <c r="D85" s="30"/>
      <c r="H85" s="30"/>
    </row>
    <row r="86" spans="1:4" ht="12.75">
      <c r="A86" t="s">
        <v>588</v>
      </c>
      <c r="D86" s="29"/>
    </row>
    <row r="87" ht="12.75">
      <c r="D87" s="29"/>
    </row>
    <row r="88" ht="12.75">
      <c r="D88" s="29"/>
    </row>
    <row r="89" ht="12.75">
      <c r="D89" s="29"/>
    </row>
    <row r="90" ht="12.75">
      <c r="D90" s="29"/>
    </row>
    <row r="91" ht="12.75">
      <c r="D91" s="29"/>
    </row>
    <row r="92" ht="12.75">
      <c r="D92" s="29"/>
    </row>
    <row r="93" ht="12.75">
      <c r="D93" s="29"/>
    </row>
    <row r="94" ht="12.75">
      <c r="D94" s="29"/>
    </row>
    <row r="95" ht="12.75">
      <c r="D95" s="29"/>
    </row>
    <row r="96" ht="12.75">
      <c r="D96" s="29"/>
    </row>
    <row r="97" ht="12.75">
      <c r="D97" s="29"/>
    </row>
    <row r="98" ht="12.75">
      <c r="D98" s="29"/>
    </row>
    <row r="99" ht="12.75">
      <c r="D99" s="29"/>
    </row>
    <row r="100" ht="12.75">
      <c r="D100" s="29"/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4:F31"/>
  <sheetViews>
    <sheetView workbookViewId="0" topLeftCell="A6">
      <selection activeCell="B16" sqref="B16"/>
    </sheetView>
  </sheetViews>
  <sheetFormatPr defaultColWidth="9.140625" defaultRowHeight="12.75"/>
  <cols>
    <col min="3" max="3" width="14.7109375" style="0" customWidth="1"/>
    <col min="4" max="4" width="12.8515625" style="0" customWidth="1"/>
  </cols>
  <sheetData>
    <row r="4" ht="12.75">
      <c r="C4" t="s">
        <v>0</v>
      </c>
    </row>
    <row r="6" spans="4:6" ht="12.75">
      <c r="D6" t="s">
        <v>3</v>
      </c>
      <c r="E6" t="s">
        <v>4</v>
      </c>
      <c r="F6" t="s">
        <v>5</v>
      </c>
    </row>
    <row r="7" spans="3:6" ht="12.75">
      <c r="C7" t="s">
        <v>2</v>
      </c>
      <c r="D7" t="s">
        <v>8</v>
      </c>
      <c r="E7" t="s">
        <v>8</v>
      </c>
      <c r="F7" t="s">
        <v>9</v>
      </c>
    </row>
    <row r="8" spans="3:6" ht="12.75">
      <c r="C8" t="s">
        <v>1</v>
      </c>
      <c r="D8">
        <v>12.7</v>
      </c>
      <c r="E8">
        <v>0.6</v>
      </c>
      <c r="F8" s="3">
        <f>E8/D8</f>
        <v>0.047244094488188976</v>
      </c>
    </row>
    <row r="9" spans="3:6" ht="12.75">
      <c r="C9" t="s">
        <v>6</v>
      </c>
      <c r="D9">
        <v>8.9</v>
      </c>
      <c r="E9">
        <f>0.003*2.54</f>
        <v>0.00762</v>
      </c>
      <c r="F9" s="3">
        <f aca="true" t="shared" si="0" ref="F9:F18">E9/D9</f>
        <v>0.0008561797752808988</v>
      </c>
    </row>
    <row r="10" spans="3:6" ht="12.75">
      <c r="C10" t="s">
        <v>10</v>
      </c>
      <c r="D10">
        <v>3.56</v>
      </c>
      <c r="E10">
        <v>1</v>
      </c>
      <c r="F10" s="3">
        <f t="shared" si="0"/>
        <v>0.2808988764044944</v>
      </c>
    </row>
    <row r="11" spans="3:6" ht="12.75">
      <c r="C11" t="s">
        <v>64</v>
      </c>
      <c r="D11">
        <v>36</v>
      </c>
      <c r="E11">
        <f>(0.006+0.003)*2.54</f>
        <v>0.022860000000000002</v>
      </c>
      <c r="F11" s="3">
        <f t="shared" si="0"/>
        <v>0.000635</v>
      </c>
    </row>
    <row r="12" spans="3:6" ht="12.75">
      <c r="C12" t="s">
        <v>458</v>
      </c>
      <c r="D12">
        <v>2200</v>
      </c>
      <c r="E12">
        <v>2.5</v>
      </c>
      <c r="F12" s="3">
        <f t="shared" si="0"/>
        <v>0.0011363636363636363</v>
      </c>
    </row>
    <row r="13" spans="3:6" ht="12.75">
      <c r="C13" t="s">
        <v>459</v>
      </c>
      <c r="D13">
        <v>12.3</v>
      </c>
      <c r="E13">
        <v>0.3</v>
      </c>
      <c r="F13" s="3">
        <f t="shared" si="0"/>
        <v>0.024390243902439022</v>
      </c>
    </row>
    <row r="14" spans="3:6" ht="12.75">
      <c r="C14" t="s">
        <v>460</v>
      </c>
      <c r="D14">
        <v>20</v>
      </c>
      <c r="E14">
        <v>1</v>
      </c>
      <c r="F14" s="3">
        <f t="shared" si="0"/>
        <v>0.05</v>
      </c>
    </row>
    <row r="15" ht="12.75">
      <c r="F15" s="3"/>
    </row>
    <row r="16" spans="3:6" ht="12.75">
      <c r="C16" t="s">
        <v>7</v>
      </c>
      <c r="D16">
        <f>0.6*18.8+0.4*30</f>
        <v>23.28</v>
      </c>
      <c r="E16">
        <f>(0.118)*2.54</f>
        <v>0.29972</v>
      </c>
      <c r="F16" s="3">
        <f t="shared" si="0"/>
        <v>0.012874570446735394</v>
      </c>
    </row>
    <row r="17" ht="12.75">
      <c r="F17" s="3"/>
    </row>
    <row r="18" spans="3:6" ht="12.75">
      <c r="C18" t="s">
        <v>24</v>
      </c>
      <c r="D18">
        <f>0.6*D8+0.4*30</f>
        <v>19.619999999999997</v>
      </c>
      <c r="E18">
        <v>1</v>
      </c>
      <c r="F18" s="3">
        <f t="shared" si="0"/>
        <v>0.05096839959225281</v>
      </c>
    </row>
    <row r="19" ht="12.75">
      <c r="F19" s="3"/>
    </row>
    <row r="20" ht="12.75">
      <c r="F20" s="3"/>
    </row>
    <row r="21" spans="4:6" ht="12.75">
      <c r="D21" t="s">
        <v>514</v>
      </c>
      <c r="F21" s="3"/>
    </row>
    <row r="22" spans="4:5" ht="12.75">
      <c r="D22">
        <f>0.06+0.09</f>
        <v>0.15</v>
      </c>
      <c r="E22" t="s">
        <v>9</v>
      </c>
    </row>
    <row r="24" ht="12.75">
      <c r="D24" t="s">
        <v>515</v>
      </c>
    </row>
    <row r="25" spans="4:5" ht="12.75">
      <c r="D25">
        <v>1</v>
      </c>
      <c r="E25" t="s">
        <v>9</v>
      </c>
    </row>
    <row r="27" ht="12.75">
      <c r="D27" t="s">
        <v>516</v>
      </c>
    </row>
    <row r="28" spans="4:5" ht="12.75">
      <c r="D28">
        <f>1.29+5+2.44</f>
        <v>8.73</v>
      </c>
      <c r="E28" t="s">
        <v>9</v>
      </c>
    </row>
    <row r="29" ht="12.75">
      <c r="D29" t="s">
        <v>517</v>
      </c>
    </row>
    <row r="30" spans="4:5" ht="12.75">
      <c r="D30">
        <f>D22</f>
        <v>0.15</v>
      </c>
      <c r="E30" t="s">
        <v>9</v>
      </c>
    </row>
    <row r="31" spans="4:5" ht="12.75">
      <c r="D31">
        <f>D30+D28</f>
        <v>8.88</v>
      </c>
      <c r="E31" t="s">
        <v>518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E40"/>
  <sheetViews>
    <sheetView workbookViewId="0" topLeftCell="A1">
      <selection activeCell="C1" sqref="C1"/>
    </sheetView>
  </sheetViews>
  <sheetFormatPr defaultColWidth="9.140625" defaultRowHeight="12.75"/>
  <sheetData>
    <row r="4" ht="12.75">
      <c r="B4" t="s">
        <v>343</v>
      </c>
    </row>
    <row r="5" ht="12.75">
      <c r="C5" t="s">
        <v>546</v>
      </c>
    </row>
    <row r="7" spans="2:3" ht="12.75">
      <c r="B7">
        <v>100</v>
      </c>
      <c r="C7" t="s">
        <v>344</v>
      </c>
    </row>
    <row r="9" spans="2:3" ht="12.75">
      <c r="B9" s="25">
        <v>43000</v>
      </c>
      <c r="C9" t="s">
        <v>345</v>
      </c>
    </row>
    <row r="11" spans="2:3" ht="12.75">
      <c r="B11">
        <f>(83-80)/2/25.4</f>
        <v>0.05905511811023623</v>
      </c>
      <c r="C11" t="s">
        <v>352</v>
      </c>
    </row>
    <row r="12" spans="2:3" ht="12.75">
      <c r="B12">
        <f>83/25.4/2</f>
        <v>1.6338582677165354</v>
      </c>
      <c r="C12" t="s">
        <v>347</v>
      </c>
    </row>
    <row r="13" spans="2:3" ht="12.75">
      <c r="B13">
        <f>B12*8</f>
        <v>13.070866141732283</v>
      </c>
      <c r="C13" t="s">
        <v>351</v>
      </c>
    </row>
    <row r="15" ht="12.75">
      <c r="B15" t="s">
        <v>346</v>
      </c>
    </row>
    <row r="16" ht="12.75">
      <c r="E16" t="s">
        <v>350</v>
      </c>
    </row>
    <row r="17" spans="2:5" ht="12.75">
      <c r="B17">
        <f>B9*B11/(2*B12)</f>
        <v>777.1084337349398</v>
      </c>
      <c r="E17">
        <f>B13/(2*B12)</f>
        <v>4</v>
      </c>
    </row>
    <row r="19" ht="12.75">
      <c r="B19" t="s">
        <v>348</v>
      </c>
    </row>
    <row r="20" spans="2:3" ht="12.75">
      <c r="B20">
        <f>B7/B17</f>
        <v>0.12868217054263564</v>
      </c>
      <c r="C20" t="s">
        <v>349</v>
      </c>
    </row>
    <row r="24" ht="12.75">
      <c r="B24" t="s">
        <v>353</v>
      </c>
    </row>
    <row r="25" spans="2:3" ht="12.75">
      <c r="B25">
        <v>2500</v>
      </c>
      <c r="C25" t="s">
        <v>354</v>
      </c>
    </row>
    <row r="27" spans="2:3" ht="12.75">
      <c r="B27">
        <f>2*B12*1.25*B7/B25</f>
        <v>0.16338582677165356</v>
      </c>
      <c r="C27" t="s">
        <v>355</v>
      </c>
    </row>
    <row r="31" ht="12.75">
      <c r="B31" t="s">
        <v>356</v>
      </c>
    </row>
    <row r="32" spans="2:4" ht="12.75">
      <c r="B32">
        <v>7.87</v>
      </c>
      <c r="D32" t="s">
        <v>359</v>
      </c>
    </row>
    <row r="33" spans="2:4" ht="12.75">
      <c r="B33">
        <f>B32/10^3</f>
        <v>0.00787</v>
      </c>
      <c r="C33" t="s">
        <v>30</v>
      </c>
      <c r="D33" t="s">
        <v>358</v>
      </c>
    </row>
    <row r="35" spans="2:4" ht="12.75">
      <c r="B35">
        <v>83</v>
      </c>
      <c r="C35" t="s">
        <v>31</v>
      </c>
      <c r="D35" t="s">
        <v>8</v>
      </c>
    </row>
    <row r="36" spans="2:5" ht="12.75">
      <c r="B36">
        <v>2</v>
      </c>
      <c r="C36" t="s">
        <v>278</v>
      </c>
      <c r="D36" t="s">
        <v>8</v>
      </c>
      <c r="E36" t="s">
        <v>361</v>
      </c>
    </row>
    <row r="37" spans="2:4" ht="12.75">
      <c r="B37">
        <v>120</v>
      </c>
      <c r="C37" t="s">
        <v>14</v>
      </c>
      <c r="D37" t="s">
        <v>8</v>
      </c>
    </row>
    <row r="39" spans="2:4" ht="12.75">
      <c r="B39">
        <f>(PI()*(B35/2+B36)^2-PI()*(B35/2)^2)*B37*B33</f>
        <v>504.3764173485339</v>
      </c>
      <c r="C39" t="s">
        <v>360</v>
      </c>
      <c r="D39" t="s">
        <v>357</v>
      </c>
    </row>
    <row r="40" spans="2:3" ht="12.75">
      <c r="B40">
        <f>B39/454</f>
        <v>1.110961271692806</v>
      </c>
      <c r="C40" t="s">
        <v>17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4:P58"/>
  <sheetViews>
    <sheetView workbookViewId="0" topLeftCell="A1">
      <selection activeCell="H31" sqref="H31"/>
    </sheetView>
  </sheetViews>
  <sheetFormatPr defaultColWidth="9.140625" defaultRowHeight="12.75"/>
  <cols>
    <col min="3" max="3" width="13.00390625" style="0" customWidth="1"/>
    <col min="7" max="7" width="11.7109375" style="0" customWidth="1"/>
    <col min="8" max="8" width="11.00390625" style="0" bestFit="1" customWidth="1"/>
    <col min="11" max="11" width="12.140625" style="0" customWidth="1"/>
  </cols>
  <sheetData>
    <row r="4" ht="12.75">
      <c r="C4" t="s">
        <v>397</v>
      </c>
    </row>
    <row r="5" spans="3:14" ht="12.75">
      <c r="C5" t="s">
        <v>398</v>
      </c>
      <c r="N5" t="s">
        <v>431</v>
      </c>
    </row>
    <row r="6" spans="13:14" ht="12.75">
      <c r="M6" t="s">
        <v>39</v>
      </c>
      <c r="N6" t="s">
        <v>430</v>
      </c>
    </row>
    <row r="7" spans="11:15" ht="12.75">
      <c r="K7" t="s">
        <v>406</v>
      </c>
      <c r="L7" t="s">
        <v>407</v>
      </c>
      <c r="M7" t="s">
        <v>428</v>
      </c>
      <c r="N7" t="s">
        <v>391</v>
      </c>
      <c r="O7" t="s">
        <v>15</v>
      </c>
    </row>
    <row r="8" spans="3:15" ht="12.75">
      <c r="C8" t="s">
        <v>399</v>
      </c>
      <c r="K8" t="s">
        <v>408</v>
      </c>
      <c r="L8">
        <v>1.00054</v>
      </c>
      <c r="M8">
        <v>3</v>
      </c>
      <c r="N8">
        <f aca="true" t="shared" si="0" ref="N8:N14">20/(M8*L8)</f>
        <v>6.663068609617473</v>
      </c>
      <c r="O8">
        <f aca="true" t="shared" si="1" ref="O8:O14">N8/25.4</f>
        <v>0.26232553581171153</v>
      </c>
    </row>
    <row r="9" spans="3:15" ht="12.75">
      <c r="C9" t="s">
        <v>400</v>
      </c>
      <c r="K9" t="s">
        <v>409</v>
      </c>
      <c r="L9">
        <v>2.6</v>
      </c>
      <c r="M9">
        <v>24</v>
      </c>
      <c r="N9">
        <f t="shared" si="0"/>
        <v>0.3205128205128205</v>
      </c>
      <c r="O9">
        <f t="shared" si="1"/>
        <v>0.012618614980819705</v>
      </c>
    </row>
    <row r="10" spans="3:15" ht="12.75">
      <c r="C10" t="s">
        <v>401</v>
      </c>
      <c r="K10" t="s">
        <v>410</v>
      </c>
      <c r="L10">
        <v>3.5</v>
      </c>
      <c r="M10">
        <v>16</v>
      </c>
      <c r="N10">
        <f t="shared" si="0"/>
        <v>0.35714285714285715</v>
      </c>
      <c r="O10">
        <f t="shared" si="1"/>
        <v>0.014060742407199102</v>
      </c>
    </row>
    <row r="11" spans="3:15" ht="12.75">
      <c r="C11">
        <v>20000</v>
      </c>
      <c r="D11" t="s">
        <v>417</v>
      </c>
      <c r="K11" t="s">
        <v>411</v>
      </c>
      <c r="L11">
        <v>4.7</v>
      </c>
      <c r="M11">
        <v>14</v>
      </c>
      <c r="N11">
        <f t="shared" si="0"/>
        <v>0.303951367781155</v>
      </c>
      <c r="O11">
        <f t="shared" si="1"/>
        <v>0.011966589282722638</v>
      </c>
    </row>
    <row r="12" spans="11:15" ht="12.75">
      <c r="K12" t="s">
        <v>434</v>
      </c>
      <c r="L12">
        <v>3</v>
      </c>
      <c r="M12">
        <f>540/1000/0.001/25.4</f>
        <v>21.25984251968504</v>
      </c>
      <c r="N12">
        <f t="shared" si="0"/>
        <v>0.3135802469135802</v>
      </c>
      <c r="O12">
        <f t="shared" si="1"/>
        <v>0.012345679012345678</v>
      </c>
    </row>
    <row r="13" spans="4:16" ht="12.75">
      <c r="D13" t="s">
        <v>37</v>
      </c>
      <c r="E13" t="s">
        <v>37</v>
      </c>
      <c r="K13" t="s">
        <v>429</v>
      </c>
      <c r="L13">
        <v>4</v>
      </c>
      <c r="M13">
        <f>7000/1000/0.003/25.4</f>
        <v>91.86351706036747</v>
      </c>
      <c r="N13">
        <f t="shared" si="0"/>
        <v>0.054428571428571416</v>
      </c>
      <c r="O13">
        <f t="shared" si="1"/>
        <v>0.0021428571428571425</v>
      </c>
      <c r="P13" t="s">
        <v>433</v>
      </c>
    </row>
    <row r="14" spans="3:15" ht="12.75">
      <c r="C14" t="s">
        <v>402</v>
      </c>
      <c r="D14">
        <v>1</v>
      </c>
      <c r="E14">
        <v>0.01</v>
      </c>
      <c r="K14" t="s">
        <v>432</v>
      </c>
      <c r="L14">
        <v>9</v>
      </c>
      <c r="M14">
        <f>1600/1000/0.001/25.4</f>
        <v>62.99212598425197</v>
      </c>
      <c r="N14">
        <f t="shared" si="0"/>
        <v>0.035277777777777776</v>
      </c>
      <c r="O14">
        <f t="shared" si="1"/>
        <v>0.001388888888888889</v>
      </c>
    </row>
    <row r="15" spans="3:4" ht="12.75">
      <c r="C15" s="23">
        <f>D14*E14</f>
        <v>0.01</v>
      </c>
      <c r="D15" t="s">
        <v>404</v>
      </c>
    </row>
    <row r="17" ht="12.75">
      <c r="C17" t="s">
        <v>403</v>
      </c>
    </row>
    <row r="18" spans="3:4" ht="12.75">
      <c r="C18">
        <v>0.006666</v>
      </c>
      <c r="D18" t="s">
        <v>42</v>
      </c>
    </row>
    <row r="20" ht="12.75">
      <c r="C20" t="s">
        <v>405</v>
      </c>
    </row>
    <row r="21" ht="12.75">
      <c r="C21" t="s">
        <v>414</v>
      </c>
    </row>
    <row r="22" spans="3:4" ht="12.75">
      <c r="C22" s="1">
        <f>L23*C15/C18</f>
        <v>1.3276327632763276E-11</v>
      </c>
      <c r="D22" t="s">
        <v>52</v>
      </c>
    </row>
    <row r="23" spans="11:13" ht="12.75">
      <c r="K23" t="s">
        <v>412</v>
      </c>
      <c r="L23" s="1">
        <v>8.85E-12</v>
      </c>
      <c r="M23" t="s">
        <v>413</v>
      </c>
    </row>
    <row r="24" ht="12.75">
      <c r="C24" t="s">
        <v>415</v>
      </c>
    </row>
    <row r="25" ht="12.75">
      <c r="C25" t="s">
        <v>416</v>
      </c>
    </row>
    <row r="26" spans="3:11" ht="12.75">
      <c r="C26" s="23">
        <f>C22*C11</f>
        <v>2.6552655265526554E-07</v>
      </c>
      <c r="D26" t="s">
        <v>58</v>
      </c>
      <c r="K26" t="s">
        <v>427</v>
      </c>
    </row>
    <row r="27" spans="7:8" ht="12.75">
      <c r="G27" s="23">
        <f>C26/L23</f>
        <v>30003.000300030002</v>
      </c>
      <c r="H27" s="23">
        <f>G27/C15</f>
        <v>3000300.030003</v>
      </c>
    </row>
    <row r="28" ht="12.75">
      <c r="C28" t="s">
        <v>418</v>
      </c>
    </row>
    <row r="29" ht="12.75">
      <c r="C29" t="s">
        <v>419</v>
      </c>
    </row>
    <row r="30" spans="3:4" ht="12.75">
      <c r="C30" s="22">
        <f>C26/(L23*C15)</f>
        <v>3000300.0300030005</v>
      </c>
      <c r="D30" t="s">
        <v>420</v>
      </c>
    </row>
    <row r="31" spans="3:5" ht="12.75">
      <c r="C31" s="24">
        <f>C30/1000/1000</f>
        <v>3.0003000300030003</v>
      </c>
      <c r="D31" t="s">
        <v>421</v>
      </c>
      <c r="E31" t="s">
        <v>422</v>
      </c>
    </row>
    <row r="33" ht="12.75">
      <c r="C33" t="s">
        <v>426</v>
      </c>
    </row>
    <row r="34" ht="12.75">
      <c r="C34" t="s">
        <v>423</v>
      </c>
    </row>
    <row r="35" spans="3:4" ht="12.75">
      <c r="C35" s="1">
        <f>C26/(L9*L23*C15)</f>
        <v>1153961.5500011537</v>
      </c>
      <c r="D35" t="s">
        <v>424</v>
      </c>
    </row>
    <row r="36" spans="3:5" ht="12.75">
      <c r="C36" s="24">
        <f>C35/1000/1000</f>
        <v>1.1539615500011537</v>
      </c>
      <c r="D36" t="s">
        <v>421</v>
      </c>
      <c r="E36" t="s">
        <v>425</v>
      </c>
    </row>
    <row r="45" ht="12.75">
      <c r="C45" t="s">
        <v>462</v>
      </c>
    </row>
    <row r="46" ht="12.75">
      <c r="C46" t="s">
        <v>475</v>
      </c>
    </row>
    <row r="49" spans="3:7" ht="12.75">
      <c r="C49" t="s">
        <v>463</v>
      </c>
      <c r="D49">
        <f>10000000000000000</f>
        <v>10000000000000000</v>
      </c>
      <c r="E49" t="s">
        <v>464</v>
      </c>
      <c r="G49" t="s">
        <v>476</v>
      </c>
    </row>
    <row r="50" spans="3:5" ht="12.75">
      <c r="C50" t="s">
        <v>465</v>
      </c>
      <c r="D50">
        <f>3.14*83*0.1</f>
        <v>26.062</v>
      </c>
      <c r="E50" t="s">
        <v>466</v>
      </c>
    </row>
    <row r="51" spans="3:5" ht="12.75">
      <c r="C51" t="s">
        <v>20</v>
      </c>
      <c r="D51">
        <f>0.002</f>
        <v>0.002</v>
      </c>
      <c r="E51" t="s">
        <v>467</v>
      </c>
    </row>
    <row r="53" spans="3:5" ht="12.75">
      <c r="C53" t="s">
        <v>468</v>
      </c>
      <c r="D53">
        <f>D49/D50*D51</f>
        <v>767400813444.8623</v>
      </c>
      <c r="E53" t="s">
        <v>468</v>
      </c>
    </row>
    <row r="54" spans="3:4" ht="12.75">
      <c r="C54" t="s">
        <v>469</v>
      </c>
      <c r="D54">
        <v>20000</v>
      </c>
    </row>
    <row r="55" spans="3:5" ht="12.75">
      <c r="C55" t="s">
        <v>470</v>
      </c>
      <c r="D55">
        <f>D54/D53</f>
        <v>2.6062E-08</v>
      </c>
      <c r="E55" t="s">
        <v>471</v>
      </c>
    </row>
    <row r="56" spans="4:5" ht="12.75">
      <c r="D56">
        <f>D55*1000</f>
        <v>2.6062E-05</v>
      </c>
      <c r="E56" t="s">
        <v>472</v>
      </c>
    </row>
    <row r="57" spans="4:5" ht="12.75">
      <c r="D57">
        <f>D56*1000</f>
        <v>0.026062</v>
      </c>
      <c r="E57" t="s">
        <v>473</v>
      </c>
    </row>
    <row r="58" spans="4:5" ht="12.75">
      <c r="D58">
        <f>D57*1000</f>
        <v>26.061999999999998</v>
      </c>
      <c r="E58" t="s">
        <v>474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N62"/>
  <sheetViews>
    <sheetView workbookViewId="0" topLeftCell="A23">
      <selection activeCell="A37" sqref="A37"/>
    </sheetView>
  </sheetViews>
  <sheetFormatPr defaultColWidth="9.140625" defaultRowHeight="12.75"/>
  <sheetData>
    <row r="4" spans="1:8" ht="12.75">
      <c r="A4" t="s">
        <v>363</v>
      </c>
      <c r="H4" t="s">
        <v>450</v>
      </c>
    </row>
    <row r="5" spans="1:8" ht="12.75">
      <c r="A5" s="19" t="s">
        <v>40</v>
      </c>
      <c r="H5" s="19" t="s">
        <v>556</v>
      </c>
    </row>
    <row r="6" spans="1:8" ht="12.75">
      <c r="A6" t="s">
        <v>364</v>
      </c>
      <c r="H6" t="s">
        <v>364</v>
      </c>
    </row>
    <row r="7" spans="1:8" ht="12.75">
      <c r="A7" t="s">
        <v>555</v>
      </c>
      <c r="H7" s="26" t="s">
        <v>554</v>
      </c>
    </row>
    <row r="8" spans="1:9" ht="12.75">
      <c r="A8">
        <v>180</v>
      </c>
      <c r="B8" t="s">
        <v>19</v>
      </c>
      <c r="C8" t="s">
        <v>372</v>
      </c>
      <c r="H8">
        <v>90</v>
      </c>
      <c r="I8" t="s">
        <v>19</v>
      </c>
    </row>
    <row r="9" ht="12.75">
      <c r="I9" t="s">
        <v>457</v>
      </c>
    </row>
    <row r="10" ht="12.75">
      <c r="A10" t="s">
        <v>365</v>
      </c>
    </row>
    <row r="11" spans="1:2" ht="12.75">
      <c r="A11">
        <v>0.0444</v>
      </c>
      <c r="B11" t="s">
        <v>484</v>
      </c>
    </row>
    <row r="12" spans="1:2" ht="12.75">
      <c r="A12">
        <v>0.2874</v>
      </c>
      <c r="B12" t="s">
        <v>485</v>
      </c>
    </row>
    <row r="13" spans="1:8" ht="12.75">
      <c r="A13" t="s">
        <v>496</v>
      </c>
      <c r="H13" t="s">
        <v>496</v>
      </c>
    </row>
    <row r="14" spans="1:8" ht="12.75">
      <c r="A14">
        <v>0.06</v>
      </c>
      <c r="H14">
        <v>0.06</v>
      </c>
    </row>
    <row r="15" spans="8:9" ht="12.75">
      <c r="H15">
        <f>H14*H8^2*PI()</f>
        <v>1526.8140296446395</v>
      </c>
      <c r="I15" t="s">
        <v>479</v>
      </c>
    </row>
    <row r="16" ht="12.75">
      <c r="A16" t="s">
        <v>366</v>
      </c>
    </row>
    <row r="18" spans="1:8" ht="12.75">
      <c r="A18" t="s">
        <v>367</v>
      </c>
      <c r="H18" t="s">
        <v>367</v>
      </c>
    </row>
    <row r="19" spans="1:9" ht="12.75">
      <c r="A19" s="1">
        <v>9000000</v>
      </c>
      <c r="B19" t="s">
        <v>563</v>
      </c>
      <c r="H19" s="1">
        <v>9000000</v>
      </c>
      <c r="I19" t="s">
        <v>374</v>
      </c>
    </row>
    <row r="21" spans="1:11" ht="12.75">
      <c r="A21">
        <v>0.006</v>
      </c>
      <c r="B21" t="s">
        <v>564</v>
      </c>
      <c r="K21" t="s">
        <v>455</v>
      </c>
    </row>
    <row r="22" spans="11:14" ht="12.75">
      <c r="K22" t="s">
        <v>136</v>
      </c>
      <c r="L22" t="s">
        <v>144</v>
      </c>
      <c r="M22" t="s">
        <v>145</v>
      </c>
      <c r="N22" t="s">
        <v>146</v>
      </c>
    </row>
    <row r="23" spans="8:14" ht="12.75">
      <c r="H23">
        <v>0.006</v>
      </c>
      <c r="I23" t="s">
        <v>451</v>
      </c>
      <c r="K23">
        <v>0</v>
      </c>
      <c r="L23">
        <v>3.44</v>
      </c>
      <c r="M23">
        <v>0</v>
      </c>
      <c r="N23">
        <v>0.965</v>
      </c>
    </row>
    <row r="25" ht="13.5" thickBot="1">
      <c r="K25" t="s">
        <v>453</v>
      </c>
    </row>
    <row r="26" spans="1:11" ht="13.5" thickTop="1">
      <c r="A26" t="s">
        <v>370</v>
      </c>
      <c r="B26" t="s">
        <v>449</v>
      </c>
      <c r="H26" t="s">
        <v>370</v>
      </c>
      <c r="I26" t="s">
        <v>452</v>
      </c>
      <c r="K26" s="27">
        <f>H14*H8^4/(H19*H23^4)</f>
        <v>337500000</v>
      </c>
    </row>
    <row r="27" spans="1:12" ht="13.5" thickBot="1">
      <c r="A27">
        <f>A11*A14*A8^4</f>
        <v>2796560.64</v>
      </c>
      <c r="K27" s="28">
        <f>K23*H30/H23+L23*(H30/H23)^3</f>
        <v>337999999.99999994</v>
      </c>
      <c r="L27" s="20" t="s">
        <v>553</v>
      </c>
    </row>
    <row r="28" spans="1:12" ht="13.5" thickTop="1">
      <c r="A28">
        <f>(A19*(A21^3))</f>
        <v>1.944</v>
      </c>
      <c r="L28" s="20" t="s">
        <v>552</v>
      </c>
    </row>
    <row r="30" spans="1:9" ht="12.75">
      <c r="A30">
        <f>A27/A28</f>
        <v>1438560</v>
      </c>
      <c r="B30" t="s">
        <v>373</v>
      </c>
      <c r="H30" s="19">
        <v>2.768666651142184</v>
      </c>
      <c r="I30" t="s">
        <v>373</v>
      </c>
    </row>
    <row r="31" spans="2:11" ht="12.75">
      <c r="B31" t="s">
        <v>548</v>
      </c>
      <c r="H31">
        <f>H19*H23^2/H8^2*(M23*H30/H23+N23*(H30/H23)^2)</f>
        <v>8219.135554740815</v>
      </c>
      <c r="I31" t="s">
        <v>481</v>
      </c>
      <c r="K31" t="s">
        <v>566</v>
      </c>
    </row>
    <row r="32" spans="2:9" ht="12.75">
      <c r="B32" t="s">
        <v>369</v>
      </c>
      <c r="I32" t="s">
        <v>550</v>
      </c>
    </row>
    <row r="33" spans="1:9" ht="12.75">
      <c r="A33">
        <f>A12*A14*A8^2/A21^2</f>
        <v>15519600</v>
      </c>
      <c r="B33" t="s">
        <v>494</v>
      </c>
      <c r="I33" t="s">
        <v>557</v>
      </c>
    </row>
    <row r="34" ht="12.75">
      <c r="I34" t="s">
        <v>558</v>
      </c>
    </row>
    <row r="35" ht="12.75">
      <c r="A35" t="s">
        <v>567</v>
      </c>
    </row>
    <row r="36" ht="12.75">
      <c r="H36" t="s">
        <v>568</v>
      </c>
    </row>
    <row r="37" ht="12.75">
      <c r="H37" t="s">
        <v>565</v>
      </c>
    </row>
    <row r="43" ht="12.75">
      <c r="A43" t="s">
        <v>435</v>
      </c>
    </row>
    <row r="44" spans="2:4" ht="12.75">
      <c r="B44">
        <v>8.39</v>
      </c>
      <c r="C44" t="s">
        <v>276</v>
      </c>
      <c r="D44" t="s">
        <v>440</v>
      </c>
    </row>
    <row r="45" ht="12.75">
      <c r="A45" t="s">
        <v>437</v>
      </c>
    </row>
    <row r="46" spans="1:2" ht="12.75">
      <c r="A46" t="s">
        <v>438</v>
      </c>
      <c r="B46" t="s">
        <v>436</v>
      </c>
    </row>
    <row r="47" spans="1:4" ht="12.75">
      <c r="A47" t="s">
        <v>42</v>
      </c>
      <c r="B47" t="s">
        <v>441</v>
      </c>
      <c r="C47" t="s">
        <v>439</v>
      </c>
      <c r="D47" t="s">
        <v>442</v>
      </c>
    </row>
    <row r="48" spans="1:4" ht="12.75">
      <c r="A48">
        <v>0</v>
      </c>
      <c r="B48">
        <f>B$44*9.89*A48</f>
        <v>0</v>
      </c>
      <c r="C48">
        <f aca="true" t="shared" si="0" ref="C48:C62">A48*100/2.54/12</f>
        <v>0</v>
      </c>
      <c r="D48">
        <f aca="true" t="shared" si="1" ref="D48:D62">B48/6895</f>
        <v>0</v>
      </c>
    </row>
    <row r="49" spans="1:4" ht="12.75">
      <c r="A49">
        <v>0.5</v>
      </c>
      <c r="B49">
        <f aca="true" t="shared" si="2" ref="B49:B62">B$44*9.89*A49</f>
        <v>41.488550000000004</v>
      </c>
      <c r="C49">
        <f t="shared" si="0"/>
        <v>1.6404199475065617</v>
      </c>
      <c r="D49">
        <f t="shared" si="1"/>
        <v>0.006017193618564178</v>
      </c>
    </row>
    <row r="50" spans="1:4" ht="12.75">
      <c r="A50">
        <v>1</v>
      </c>
      <c r="B50">
        <f t="shared" si="2"/>
        <v>82.97710000000001</v>
      </c>
      <c r="C50">
        <f t="shared" si="0"/>
        <v>3.2808398950131235</v>
      </c>
      <c r="D50">
        <f t="shared" si="1"/>
        <v>0.012034387237128356</v>
      </c>
    </row>
    <row r="51" spans="1:4" ht="12.75">
      <c r="A51">
        <v>1.5</v>
      </c>
      <c r="B51">
        <f t="shared" si="2"/>
        <v>124.46565000000001</v>
      </c>
      <c r="C51">
        <f t="shared" si="0"/>
        <v>4.921259842519685</v>
      </c>
      <c r="D51">
        <f t="shared" si="1"/>
        <v>0.018051580855692532</v>
      </c>
    </row>
    <row r="52" spans="1:4" ht="12.75">
      <c r="A52">
        <v>2</v>
      </c>
      <c r="B52">
        <f t="shared" si="2"/>
        <v>165.95420000000001</v>
      </c>
      <c r="C52">
        <f t="shared" si="0"/>
        <v>6.561679790026247</v>
      </c>
      <c r="D52">
        <f t="shared" si="1"/>
        <v>0.02406877447425671</v>
      </c>
    </row>
    <row r="53" spans="1:4" ht="12.75">
      <c r="A53">
        <v>2.5</v>
      </c>
      <c r="B53">
        <f t="shared" si="2"/>
        <v>207.44275000000002</v>
      </c>
      <c r="C53">
        <f t="shared" si="0"/>
        <v>8.202099737532809</v>
      </c>
      <c r="D53">
        <f t="shared" si="1"/>
        <v>0.030085968092820888</v>
      </c>
    </row>
    <row r="54" spans="1:4" ht="12.75">
      <c r="A54">
        <v>3</v>
      </c>
      <c r="B54">
        <f t="shared" si="2"/>
        <v>248.93130000000002</v>
      </c>
      <c r="C54">
        <f t="shared" si="0"/>
        <v>9.84251968503937</v>
      </c>
      <c r="D54">
        <f t="shared" si="1"/>
        <v>0.036103161711385064</v>
      </c>
    </row>
    <row r="55" spans="1:4" ht="12.75">
      <c r="A55">
        <v>3.5</v>
      </c>
      <c r="B55">
        <f t="shared" si="2"/>
        <v>290.41985</v>
      </c>
      <c r="C55">
        <f t="shared" si="0"/>
        <v>11.48293963254593</v>
      </c>
      <c r="D55">
        <f t="shared" si="1"/>
        <v>0.04212035532994924</v>
      </c>
    </row>
    <row r="56" spans="1:4" ht="12.75">
      <c r="A56">
        <v>4</v>
      </c>
      <c r="B56">
        <f t="shared" si="2"/>
        <v>331.90840000000003</v>
      </c>
      <c r="C56">
        <f t="shared" si="0"/>
        <v>13.123359580052494</v>
      </c>
      <c r="D56">
        <f t="shared" si="1"/>
        <v>0.04813754894851342</v>
      </c>
    </row>
    <row r="57" spans="1:4" ht="12.75">
      <c r="A57">
        <v>4.5</v>
      </c>
      <c r="B57">
        <f t="shared" si="2"/>
        <v>373.39695000000006</v>
      </c>
      <c r="C57">
        <f t="shared" si="0"/>
        <v>14.763779527559054</v>
      </c>
      <c r="D57">
        <f t="shared" si="1"/>
        <v>0.0541547425670776</v>
      </c>
    </row>
    <row r="58" spans="1:4" ht="12.75">
      <c r="A58">
        <v>5</v>
      </c>
      <c r="B58">
        <f t="shared" si="2"/>
        <v>414.88550000000004</v>
      </c>
      <c r="C58">
        <f t="shared" si="0"/>
        <v>16.404199475065617</v>
      </c>
      <c r="D58">
        <f t="shared" si="1"/>
        <v>0.060171936185641775</v>
      </c>
    </row>
    <row r="59" spans="1:4" ht="12.75">
      <c r="A59">
        <v>5.5</v>
      </c>
      <c r="B59">
        <f t="shared" si="2"/>
        <v>456.37405</v>
      </c>
      <c r="C59">
        <f t="shared" si="0"/>
        <v>18.04461942257218</v>
      </c>
      <c r="D59">
        <f t="shared" si="1"/>
        <v>0.06618912980420595</v>
      </c>
    </row>
    <row r="60" spans="1:4" ht="12.75">
      <c r="A60">
        <v>6</v>
      </c>
      <c r="B60">
        <f t="shared" si="2"/>
        <v>497.86260000000004</v>
      </c>
      <c r="C60">
        <f t="shared" si="0"/>
        <v>19.68503937007874</v>
      </c>
      <c r="D60">
        <f t="shared" si="1"/>
        <v>0.07220632342277013</v>
      </c>
    </row>
    <row r="61" spans="1:4" ht="12.75">
      <c r="A61">
        <v>6.5</v>
      </c>
      <c r="B61">
        <f t="shared" si="2"/>
        <v>539.3511500000001</v>
      </c>
      <c r="C61">
        <f t="shared" si="0"/>
        <v>21.325459317585302</v>
      </c>
      <c r="D61">
        <f t="shared" si="1"/>
        <v>0.07822351704133432</v>
      </c>
    </row>
    <row r="62" spans="1:4" ht="12.75">
      <c r="A62">
        <v>7</v>
      </c>
      <c r="B62">
        <f t="shared" si="2"/>
        <v>580.8397</v>
      </c>
      <c r="C62">
        <f t="shared" si="0"/>
        <v>22.96587926509186</v>
      </c>
      <c r="D62">
        <f t="shared" si="1"/>
        <v>0.08424071065989848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H63"/>
  <sheetViews>
    <sheetView tabSelected="1" workbookViewId="0" topLeftCell="A34">
      <selection activeCell="B64" sqref="B64"/>
    </sheetView>
  </sheetViews>
  <sheetFormatPr defaultColWidth="9.140625" defaultRowHeight="12.75"/>
  <sheetData>
    <row r="4" ht="12.75">
      <c r="B4" t="s">
        <v>598</v>
      </c>
    </row>
    <row r="6" ht="12.75">
      <c r="B6" t="s">
        <v>599</v>
      </c>
    </row>
    <row r="8" ht="12.75">
      <c r="B8" t="s">
        <v>605</v>
      </c>
    </row>
    <row r="9" ht="12.75">
      <c r="B9" t="s">
        <v>606</v>
      </c>
    </row>
    <row r="10" spans="2:4" ht="12.75">
      <c r="B10">
        <v>160</v>
      </c>
      <c r="C10" t="s">
        <v>600</v>
      </c>
      <c r="D10" t="s">
        <v>601</v>
      </c>
    </row>
    <row r="11" spans="2:3" ht="12.75">
      <c r="B11">
        <v>80</v>
      </c>
      <c r="C11" t="s">
        <v>602</v>
      </c>
    </row>
    <row r="13" spans="2:3" ht="12.75">
      <c r="B13">
        <v>0.111</v>
      </c>
      <c r="C13" t="s">
        <v>484</v>
      </c>
    </row>
    <row r="14" spans="2:3" ht="12.75">
      <c r="B14">
        <v>0.6102</v>
      </c>
      <c r="C14" t="s">
        <v>485</v>
      </c>
    </row>
    <row r="16" ht="12.75">
      <c r="B16" t="s">
        <v>371</v>
      </c>
    </row>
    <row r="17" spans="2:7" ht="12.75">
      <c r="B17">
        <v>0.6</v>
      </c>
      <c r="C17" t="s">
        <v>608</v>
      </c>
      <c r="D17">
        <f>B17*B10*B11</f>
        <v>7680</v>
      </c>
      <c r="E17" t="s">
        <v>609</v>
      </c>
      <c r="G17" t="s">
        <v>683</v>
      </c>
    </row>
    <row r="18" spans="7:8" ht="12.75">
      <c r="G18">
        <f>3*23*50+700+3500</f>
        <v>7650</v>
      </c>
      <c r="H18" t="s">
        <v>607</v>
      </c>
    </row>
    <row r="19" ht="12.75">
      <c r="B19" t="s">
        <v>366</v>
      </c>
    </row>
    <row r="21" ht="12.75">
      <c r="B21" t="s">
        <v>367</v>
      </c>
    </row>
    <row r="22" spans="2:4" ht="12.75">
      <c r="B22" s="1">
        <f>(3*0+30000000*0.08+0.3*500000)/3.38</f>
        <v>754437.8698224853</v>
      </c>
      <c r="C22" t="s">
        <v>13</v>
      </c>
      <c r="D22" t="s">
        <v>610</v>
      </c>
    </row>
    <row r="26" spans="2:3" ht="12.75">
      <c r="B26">
        <v>6</v>
      </c>
      <c r="C26" t="s">
        <v>603</v>
      </c>
    </row>
    <row r="29" spans="2:3" ht="12.75">
      <c r="B29" t="s">
        <v>370</v>
      </c>
      <c r="C29" t="s">
        <v>611</v>
      </c>
    </row>
    <row r="30" ht="12.75">
      <c r="B30">
        <f>B13*B17*B11^4</f>
        <v>2727935.9999999995</v>
      </c>
    </row>
    <row r="31" ht="12.75">
      <c r="B31">
        <f>(B22*(B26^3))</f>
        <v>162958579.88165683</v>
      </c>
    </row>
    <row r="33" spans="2:3" ht="12.75">
      <c r="B33">
        <f>B30/B31</f>
        <v>0.016740057516339866</v>
      </c>
      <c r="C33" t="s">
        <v>373</v>
      </c>
    </row>
    <row r="34" spans="2:3" ht="12.75">
      <c r="B34">
        <f>B14*B17*B11^2/B26^2</f>
        <v>65.088</v>
      </c>
      <c r="C34" t="s">
        <v>604</v>
      </c>
    </row>
    <row r="35" ht="12.75">
      <c r="C35" t="s">
        <v>618</v>
      </c>
    </row>
    <row r="40" ht="12.75">
      <c r="A40" t="s">
        <v>617</v>
      </c>
    </row>
    <row r="42" ht="12.75">
      <c r="B42" t="s">
        <v>614</v>
      </c>
    </row>
    <row r="44" ht="12.75">
      <c r="B44" t="s">
        <v>612</v>
      </c>
    </row>
    <row r="46" spans="2:4" ht="12.75">
      <c r="B46" t="s">
        <v>12</v>
      </c>
      <c r="C46" s="1">
        <v>30000000</v>
      </c>
      <c r="D46" t="s">
        <v>13</v>
      </c>
    </row>
    <row r="47" spans="2:4" ht="12.75">
      <c r="B47" t="s">
        <v>14</v>
      </c>
      <c r="C47">
        <v>80</v>
      </c>
      <c r="D47" t="s">
        <v>15</v>
      </c>
    </row>
    <row r="48" spans="2:4" ht="12.75">
      <c r="B48" t="s">
        <v>16</v>
      </c>
      <c r="C48">
        <v>7650</v>
      </c>
      <c r="D48" t="s">
        <v>17</v>
      </c>
    </row>
    <row r="50" ht="12.75">
      <c r="B50" t="s">
        <v>616</v>
      </c>
    </row>
    <row r="51" spans="3:5" ht="12.75">
      <c r="C51" t="s">
        <v>613</v>
      </c>
      <c r="D51">
        <f>23*0.08</f>
        <v>1.84</v>
      </c>
      <c r="E51" t="s">
        <v>19</v>
      </c>
    </row>
    <row r="52" spans="3:5" ht="12.75">
      <c r="C52" t="s">
        <v>20</v>
      </c>
      <c r="D52">
        <v>6</v>
      </c>
      <c r="E52" t="s">
        <v>19</v>
      </c>
    </row>
    <row r="54" spans="2:4" ht="12.75">
      <c r="B54" t="s">
        <v>18</v>
      </c>
      <c r="C54">
        <f>D51*D52^3/12</f>
        <v>33.12</v>
      </c>
      <c r="D54" t="s">
        <v>21</v>
      </c>
    </row>
    <row r="55" spans="2:3" ht="12.75">
      <c r="B55" t="s">
        <v>78</v>
      </c>
      <c r="C55">
        <f>D51*D52^2/6</f>
        <v>11.040000000000001</v>
      </c>
    </row>
    <row r="57" spans="2:4" ht="12.75">
      <c r="B57" t="s">
        <v>22</v>
      </c>
      <c r="C57" s="21">
        <f>5*C48*C47^3/(384*C46*C54)</f>
        <v>0.051328502415458936</v>
      </c>
      <c r="D57" t="s">
        <v>620</v>
      </c>
    </row>
    <row r="58" spans="3:4" ht="12.75">
      <c r="C58" s="31">
        <f>C48*C47/(8*C55)</f>
        <v>6929.347826086956</v>
      </c>
      <c r="D58" t="s">
        <v>615</v>
      </c>
    </row>
    <row r="59" ht="12.75">
      <c r="D59" t="s">
        <v>619</v>
      </c>
    </row>
    <row r="60" ht="12.75">
      <c r="D60" t="s">
        <v>684</v>
      </c>
    </row>
    <row r="63" ht="12.75">
      <c r="B63" t="s">
        <v>685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M76"/>
  <sheetViews>
    <sheetView workbookViewId="0" topLeftCell="A46">
      <selection activeCell="C66" sqref="C66"/>
    </sheetView>
  </sheetViews>
  <sheetFormatPr defaultColWidth="9.140625" defaultRowHeight="12.75"/>
  <sheetData>
    <row r="5" ht="12.75">
      <c r="C5" t="s">
        <v>488</v>
      </c>
    </row>
    <row r="6" ht="12.75">
      <c r="C6" t="s">
        <v>489</v>
      </c>
    </row>
    <row r="7" spans="4:12" ht="12.75">
      <c r="D7" t="s">
        <v>544</v>
      </c>
      <c r="L7" t="s">
        <v>541</v>
      </c>
    </row>
    <row r="9" spans="4:12" ht="12.75">
      <c r="D9" t="s">
        <v>363</v>
      </c>
      <c r="L9" t="s">
        <v>363</v>
      </c>
    </row>
    <row r="10" spans="4:12" ht="12.75">
      <c r="D10" t="s">
        <v>376</v>
      </c>
      <c r="L10" t="s">
        <v>376</v>
      </c>
    </row>
    <row r="11" spans="4:12" ht="12.75">
      <c r="D11" t="s">
        <v>364</v>
      </c>
      <c r="L11" t="s">
        <v>364</v>
      </c>
    </row>
    <row r="12" spans="4:12" ht="12.75">
      <c r="D12" t="s">
        <v>559</v>
      </c>
      <c r="L12" t="s">
        <v>542</v>
      </c>
    </row>
    <row r="13" spans="3:13" ht="12.75">
      <c r="C13">
        <v>102</v>
      </c>
      <c r="D13">
        <v>3.0898545267987916</v>
      </c>
      <c r="E13" t="s">
        <v>19</v>
      </c>
      <c r="K13">
        <v>102</v>
      </c>
      <c r="L13">
        <v>33.36507461898463</v>
      </c>
      <c r="M13" t="s">
        <v>19</v>
      </c>
    </row>
    <row r="14" spans="4:13" ht="12.75">
      <c r="D14">
        <f>C13/D13</f>
        <v>33.011262865399665</v>
      </c>
      <c r="E14" t="s">
        <v>495</v>
      </c>
      <c r="L14">
        <f>K13/L13</f>
        <v>3.0570889220179445</v>
      </c>
      <c r="M14" t="s">
        <v>495</v>
      </c>
    </row>
    <row r="16" spans="4:12" ht="12.75">
      <c r="D16" t="s">
        <v>493</v>
      </c>
      <c r="L16" t="s">
        <v>493</v>
      </c>
    </row>
    <row r="17" spans="4:13" ht="12.75">
      <c r="D17">
        <v>0.1421</v>
      </c>
      <c r="E17" t="s">
        <v>484</v>
      </c>
      <c r="L17">
        <v>0.1421</v>
      </c>
      <c r="M17" t="s">
        <v>484</v>
      </c>
    </row>
    <row r="18" spans="4:13" ht="12.75">
      <c r="D18">
        <v>0.75</v>
      </c>
      <c r="E18" t="s">
        <v>485</v>
      </c>
      <c r="L18">
        <v>0.75</v>
      </c>
      <c r="M18" t="s">
        <v>485</v>
      </c>
    </row>
    <row r="20" spans="4:12" ht="12.75">
      <c r="D20" t="s">
        <v>543</v>
      </c>
      <c r="L20" t="s">
        <v>496</v>
      </c>
    </row>
    <row r="21" spans="4:13" ht="12.75">
      <c r="D21">
        <v>1.3</v>
      </c>
      <c r="E21" t="s">
        <v>13</v>
      </c>
      <c r="L21">
        <f>2.64/454*2.54^3*L28</f>
        <v>0.011148978696740088</v>
      </c>
      <c r="M21" t="s">
        <v>500</v>
      </c>
    </row>
    <row r="23" spans="4:12" ht="12.75">
      <c r="D23" t="s">
        <v>366</v>
      </c>
      <c r="L23" t="s">
        <v>366</v>
      </c>
    </row>
    <row r="25" spans="4:12" ht="12.75">
      <c r="D25" t="s">
        <v>367</v>
      </c>
      <c r="L25" t="s">
        <v>367</v>
      </c>
    </row>
    <row r="26" spans="4:13" ht="12.75">
      <c r="D26" s="1">
        <v>14000000</v>
      </c>
      <c r="E26" t="s">
        <v>374</v>
      </c>
      <c r="L26" s="1">
        <v>14000000</v>
      </c>
      <c r="M26" t="s">
        <v>374</v>
      </c>
    </row>
    <row r="28" spans="4:13" ht="12.75">
      <c r="D28">
        <f>0.039*3</f>
        <v>0.11699999999999999</v>
      </c>
      <c r="E28" t="s">
        <v>368</v>
      </c>
      <c r="L28">
        <f>0.039*3</f>
        <v>0.11699999999999999</v>
      </c>
      <c r="M28" t="s">
        <v>368</v>
      </c>
    </row>
    <row r="31" spans="4:12" ht="12.75">
      <c r="D31" t="s">
        <v>545</v>
      </c>
      <c r="L31" t="s">
        <v>545</v>
      </c>
    </row>
    <row r="33" spans="4:12" ht="12.75">
      <c r="D33" t="s">
        <v>370</v>
      </c>
      <c r="L33" t="s">
        <v>370</v>
      </c>
    </row>
    <row r="34" spans="4:12" ht="12.75">
      <c r="D34">
        <f>D17*D21*D13^4</f>
        <v>16.83796342883038</v>
      </c>
      <c r="L34">
        <f>L17*L21*L13^4</f>
        <v>1963.3492704798496</v>
      </c>
    </row>
    <row r="35" spans="4:12" ht="12.75">
      <c r="D35">
        <f>(D26*(D28^3))</f>
        <v>22422.582</v>
      </c>
      <c r="L35">
        <f>(L26*(L28^3))</f>
        <v>22422.582</v>
      </c>
    </row>
    <row r="37" spans="4:13" ht="12.75">
      <c r="D37">
        <f>D34/D35</f>
        <v>0.0007509377568038499</v>
      </c>
      <c r="E37" t="s">
        <v>373</v>
      </c>
      <c r="L37">
        <f>L34/L35</f>
        <v>0.08756124832010202</v>
      </c>
      <c r="M37" t="s">
        <v>373</v>
      </c>
    </row>
    <row r="38" spans="4:13" ht="12.75">
      <c r="D38">
        <f>D18*D21*D13^2/D28^2</f>
        <v>680.0000709956544</v>
      </c>
      <c r="E38" t="s">
        <v>494</v>
      </c>
      <c r="H38" t="s">
        <v>497</v>
      </c>
      <c r="L38">
        <f>L18*L21*L13^2/L28^2</f>
        <v>679.9998649293224</v>
      </c>
      <c r="M38" t="s">
        <v>494</v>
      </c>
    </row>
    <row r="39" ht="12.75">
      <c r="H39" t="s">
        <v>498</v>
      </c>
    </row>
    <row r="40" spans="4:8" ht="12.75">
      <c r="D40" t="s">
        <v>560</v>
      </c>
      <c r="H40" t="s">
        <v>499</v>
      </c>
    </row>
    <row r="41" ht="12.75">
      <c r="D41" t="s">
        <v>561</v>
      </c>
    </row>
    <row r="42" spans="8:9" ht="12.75">
      <c r="H42" s="3"/>
      <c r="I42" s="3"/>
    </row>
    <row r="43" spans="8:13" ht="12.75">
      <c r="H43" s="1"/>
      <c r="I43" s="1"/>
      <c r="J43" s="1"/>
      <c r="K43" s="1"/>
      <c r="L43" s="1"/>
      <c r="M43" s="1"/>
    </row>
    <row r="44" spans="8:10" ht="12.75">
      <c r="H44" s="22"/>
      <c r="I44" s="22"/>
      <c r="J44" s="22"/>
    </row>
    <row r="45" spans="8:13" ht="12.75">
      <c r="H45" s="22"/>
      <c r="I45" s="22"/>
      <c r="J45" s="22"/>
      <c r="K45" s="22"/>
      <c r="L45" s="22"/>
      <c r="M45" s="22"/>
    </row>
    <row r="46" spans="8:10" ht="12.75">
      <c r="H46" s="22"/>
      <c r="I46" s="22"/>
      <c r="J46" s="22"/>
    </row>
    <row r="49" spans="1:4" ht="12.75">
      <c r="A49" t="s">
        <v>562</v>
      </c>
      <c r="D49" t="s">
        <v>491</v>
      </c>
    </row>
    <row r="50" ht="12.75">
      <c r="D50" t="s">
        <v>435</v>
      </c>
    </row>
    <row r="51" spans="5:7" ht="12.75">
      <c r="E51">
        <v>1.604</v>
      </c>
      <c r="F51" t="s">
        <v>492</v>
      </c>
      <c r="G51" t="s">
        <v>490</v>
      </c>
    </row>
    <row r="52" spans="5:6" ht="12.75">
      <c r="E52">
        <v>1604</v>
      </c>
      <c r="F52" t="s">
        <v>276</v>
      </c>
    </row>
    <row r="54" ht="12.75">
      <c r="D54" t="s">
        <v>437</v>
      </c>
    </row>
    <row r="55" spans="4:5" ht="12.75">
      <c r="D55" t="s">
        <v>438</v>
      </c>
      <c r="E55" t="s">
        <v>436</v>
      </c>
    </row>
    <row r="56" spans="4:7" ht="12.75">
      <c r="D56" t="s">
        <v>42</v>
      </c>
      <c r="E56" t="s">
        <v>441</v>
      </c>
      <c r="F56" t="s">
        <v>439</v>
      </c>
      <c r="G56" t="s">
        <v>442</v>
      </c>
    </row>
    <row r="57" spans="4:7" ht="12.75">
      <c r="D57">
        <v>0</v>
      </c>
      <c r="E57">
        <f>E$52*9.89*D57</f>
        <v>0</v>
      </c>
      <c r="F57">
        <f aca="true" t="shared" si="0" ref="F57:F71">D57*100/2.54/12</f>
        <v>0</v>
      </c>
      <c r="G57">
        <f aca="true" t="shared" si="1" ref="G57:G71">E57/6895</f>
        <v>0</v>
      </c>
    </row>
    <row r="58" spans="4:7" ht="12.75">
      <c r="D58">
        <v>0.25</v>
      </c>
      <c r="E58">
        <f aca="true" t="shared" si="2" ref="E58:E76">E$52*9.89*D58</f>
        <v>3965.8900000000003</v>
      </c>
      <c r="F58">
        <f t="shared" si="0"/>
        <v>0.8202099737532809</v>
      </c>
      <c r="G58">
        <f t="shared" si="1"/>
        <v>0.575183466279913</v>
      </c>
    </row>
    <row r="59" spans="4:7" ht="12.75">
      <c r="D59">
        <v>1</v>
      </c>
      <c r="E59">
        <f t="shared" si="2"/>
        <v>15863.560000000001</v>
      </c>
      <c r="F59">
        <f t="shared" si="0"/>
        <v>3.2808398950131235</v>
      </c>
      <c r="G59">
        <f t="shared" si="1"/>
        <v>2.300733865119652</v>
      </c>
    </row>
    <row r="60" spans="4:7" ht="12.75">
      <c r="D60">
        <v>1.5</v>
      </c>
      <c r="E60">
        <f t="shared" si="2"/>
        <v>23795.340000000004</v>
      </c>
      <c r="F60">
        <f t="shared" si="0"/>
        <v>4.921259842519685</v>
      </c>
      <c r="G60">
        <f>G$54*9.89*F60</f>
        <v>0</v>
      </c>
    </row>
    <row r="61" spans="4:7" ht="12.75">
      <c r="D61">
        <v>2</v>
      </c>
      <c r="E61">
        <f t="shared" si="2"/>
        <v>31727.120000000003</v>
      </c>
      <c r="F61">
        <f t="shared" si="0"/>
        <v>6.561679790026247</v>
      </c>
      <c r="G61">
        <f t="shared" si="1"/>
        <v>4.601467730239304</v>
      </c>
    </row>
    <row r="62" spans="4:7" ht="12.75">
      <c r="D62">
        <v>2.5</v>
      </c>
      <c r="E62">
        <f t="shared" si="2"/>
        <v>39658.9</v>
      </c>
      <c r="F62">
        <f t="shared" si="0"/>
        <v>8.202099737532809</v>
      </c>
      <c r="G62">
        <f t="shared" si="1"/>
        <v>5.75183466279913</v>
      </c>
    </row>
    <row r="63" spans="4:7" ht="12.75">
      <c r="D63">
        <v>3</v>
      </c>
      <c r="E63">
        <f t="shared" si="2"/>
        <v>47590.68000000001</v>
      </c>
      <c r="F63">
        <f t="shared" si="0"/>
        <v>9.84251968503937</v>
      </c>
      <c r="G63">
        <f t="shared" si="1"/>
        <v>6.902201595358957</v>
      </c>
    </row>
    <row r="64" spans="4:7" ht="12.75">
      <c r="D64">
        <v>3.5</v>
      </c>
      <c r="E64">
        <f t="shared" si="2"/>
        <v>55522.46000000001</v>
      </c>
      <c r="F64">
        <f t="shared" si="0"/>
        <v>11.48293963254593</v>
      </c>
      <c r="G64">
        <f t="shared" si="1"/>
        <v>8.052568527918783</v>
      </c>
    </row>
    <row r="65" spans="4:7" ht="12.75">
      <c r="D65">
        <v>4</v>
      </c>
      <c r="E65">
        <f t="shared" si="2"/>
        <v>63454.240000000005</v>
      </c>
      <c r="F65">
        <f t="shared" si="0"/>
        <v>13.123359580052494</v>
      </c>
      <c r="G65">
        <f t="shared" si="1"/>
        <v>9.202935460478608</v>
      </c>
    </row>
    <row r="66" spans="4:7" ht="12.75">
      <c r="D66">
        <v>4.5</v>
      </c>
      <c r="E66">
        <f t="shared" si="2"/>
        <v>71386.02</v>
      </c>
      <c r="F66">
        <f t="shared" si="0"/>
        <v>14.763779527559054</v>
      </c>
      <c r="G66">
        <f t="shared" si="1"/>
        <v>10.353302393038435</v>
      </c>
    </row>
    <row r="67" spans="4:7" ht="12.75">
      <c r="D67">
        <v>5</v>
      </c>
      <c r="E67">
        <f t="shared" si="2"/>
        <v>79317.8</v>
      </c>
      <c r="F67">
        <f t="shared" si="0"/>
        <v>16.404199475065617</v>
      </c>
      <c r="G67">
        <f t="shared" si="1"/>
        <v>11.50366932559826</v>
      </c>
    </row>
    <row r="68" spans="4:7" ht="12.75">
      <c r="D68">
        <v>5.5</v>
      </c>
      <c r="E68">
        <f t="shared" si="2"/>
        <v>87249.58</v>
      </c>
      <c r="F68">
        <f t="shared" si="0"/>
        <v>18.04461942257218</v>
      </c>
      <c r="G68">
        <f t="shared" si="1"/>
        <v>12.654036258158087</v>
      </c>
    </row>
    <row r="69" spans="4:7" ht="12.75">
      <c r="D69">
        <v>6</v>
      </c>
      <c r="E69">
        <f t="shared" si="2"/>
        <v>95181.36000000002</v>
      </c>
      <c r="F69">
        <f t="shared" si="0"/>
        <v>19.68503937007874</v>
      </c>
      <c r="G69">
        <f t="shared" si="1"/>
        <v>13.804403190717913</v>
      </c>
    </row>
    <row r="70" spans="4:7" ht="12.75">
      <c r="D70">
        <v>6.5</v>
      </c>
      <c r="E70">
        <f t="shared" si="2"/>
        <v>103113.14000000001</v>
      </c>
      <c r="F70">
        <f t="shared" si="0"/>
        <v>21.325459317585302</v>
      </c>
      <c r="G70">
        <f t="shared" si="1"/>
        <v>14.95477012327774</v>
      </c>
    </row>
    <row r="71" spans="4:7" ht="12.75">
      <c r="D71">
        <v>10</v>
      </c>
      <c r="E71">
        <f t="shared" si="2"/>
        <v>158635.6</v>
      </c>
      <c r="F71">
        <f t="shared" si="0"/>
        <v>32.808398950131235</v>
      </c>
      <c r="G71">
        <f t="shared" si="1"/>
        <v>23.00733865119652</v>
      </c>
    </row>
    <row r="72" spans="4:7" ht="12.75">
      <c r="D72">
        <v>5</v>
      </c>
      <c r="E72">
        <f t="shared" si="2"/>
        <v>79317.8</v>
      </c>
      <c r="F72">
        <f>D72*100/2.54/12</f>
        <v>16.404199475065617</v>
      </c>
      <c r="G72">
        <f>E72/6895</f>
        <v>11.50366932559826</v>
      </c>
    </row>
    <row r="73" spans="4:7" ht="12.75">
      <c r="D73">
        <v>5.5</v>
      </c>
      <c r="E73">
        <f t="shared" si="2"/>
        <v>87249.58</v>
      </c>
      <c r="F73">
        <f>D73*100/2.54/12</f>
        <v>18.04461942257218</v>
      </c>
      <c r="G73">
        <f>E73/6895</f>
        <v>12.654036258158087</v>
      </c>
    </row>
    <row r="74" spans="4:7" ht="12.75">
      <c r="D74">
        <v>6</v>
      </c>
      <c r="E74">
        <f t="shared" si="2"/>
        <v>95181.36000000002</v>
      </c>
      <c r="F74">
        <f>D74*100/2.54/12</f>
        <v>19.68503937007874</v>
      </c>
      <c r="G74">
        <f>E74/6895</f>
        <v>13.804403190717913</v>
      </c>
    </row>
    <row r="75" spans="4:7" ht="12.75">
      <c r="D75">
        <v>6.5</v>
      </c>
      <c r="E75">
        <f t="shared" si="2"/>
        <v>103113.14000000001</v>
      </c>
      <c r="F75">
        <f>D75*100/2.54/12</f>
        <v>21.325459317585302</v>
      </c>
      <c r="G75">
        <f>E75/6895</f>
        <v>14.95477012327774</v>
      </c>
    </row>
    <row r="76" spans="4:7" ht="12.75">
      <c r="D76">
        <v>10</v>
      </c>
      <c r="E76">
        <f t="shared" si="2"/>
        <v>158635.6</v>
      </c>
      <c r="F76">
        <f>D76*100/2.54/12</f>
        <v>32.808398950131235</v>
      </c>
      <c r="G76">
        <f>E76/6895</f>
        <v>23.00733865119652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5:I88"/>
  <sheetViews>
    <sheetView workbookViewId="0" topLeftCell="C65">
      <selection activeCell="F90" sqref="F90"/>
    </sheetView>
  </sheetViews>
  <sheetFormatPr defaultColWidth="9.140625" defaultRowHeight="12.75"/>
  <sheetData>
    <row r="5" spans="1:4" ht="12.75">
      <c r="A5" t="s">
        <v>540</v>
      </c>
      <c r="D5" t="s">
        <v>377</v>
      </c>
    </row>
    <row r="9" ht="12.75">
      <c r="D9" t="s">
        <v>378</v>
      </c>
    </row>
    <row r="10" spans="4:5" ht="12.75">
      <c r="D10">
        <v>785</v>
      </c>
      <c r="E10" t="s">
        <v>275</v>
      </c>
    </row>
    <row r="12" ht="12.75">
      <c r="D12" t="s">
        <v>379</v>
      </c>
    </row>
    <row r="13" spans="4:5" ht="12.75">
      <c r="D13" s="19">
        <v>2.8459663744710246</v>
      </c>
      <c r="E13" t="s">
        <v>275</v>
      </c>
    </row>
    <row r="15" ht="12.75">
      <c r="D15" t="s">
        <v>380</v>
      </c>
    </row>
    <row r="16" ht="12.75">
      <c r="D16">
        <v>1.0015</v>
      </c>
    </row>
    <row r="18" ht="12.75">
      <c r="D18" t="s">
        <v>381</v>
      </c>
    </row>
    <row r="19" ht="12.75">
      <c r="D19">
        <v>1.00029</v>
      </c>
    </row>
    <row r="22" ht="12.75">
      <c r="D22" t="s">
        <v>382</v>
      </c>
    </row>
    <row r="23" spans="4:6" ht="12.75">
      <c r="D23">
        <f>(D10-D13)/D10*D16+D13/D10*D19</f>
        <v>1.001495613223805</v>
      </c>
      <c r="F23" t="s">
        <v>392</v>
      </c>
    </row>
    <row r="25" ht="12.75">
      <c r="D25" t="s">
        <v>383</v>
      </c>
    </row>
    <row r="26" ht="12.75">
      <c r="D26">
        <f>D16-D23</f>
        <v>4.386776194964526E-06</v>
      </c>
    </row>
    <row r="28" ht="12.75">
      <c r="D28" t="s">
        <v>384</v>
      </c>
    </row>
    <row r="29" ht="12.75">
      <c r="D29" t="s">
        <v>385</v>
      </c>
    </row>
    <row r="30" ht="12.75">
      <c r="D30" t="s">
        <v>393</v>
      </c>
    </row>
    <row r="31" spans="4:7" ht="12.75">
      <c r="D31">
        <f>ACOS(1/D16)</f>
        <v>0.05473805617429828</v>
      </c>
      <c r="E31" t="s">
        <v>46</v>
      </c>
      <c r="F31">
        <f>D31/PI()*180</f>
        <v>3.136259597537309</v>
      </c>
      <c r="G31" t="s">
        <v>247</v>
      </c>
    </row>
    <row r="32" ht="12.75">
      <c r="D32" t="s">
        <v>387</v>
      </c>
    </row>
    <row r="33" spans="4:5" ht="12.75">
      <c r="D33">
        <f>2.92*100/2.54*SIN(D31)</f>
        <v>6.289579456419561</v>
      </c>
      <c r="E33" t="s">
        <v>386</v>
      </c>
    </row>
    <row r="35" ht="12.75">
      <c r="D35" t="s">
        <v>388</v>
      </c>
    </row>
    <row r="36" spans="4:7" ht="12.75">
      <c r="D36">
        <f>ACOS(1/D23)</f>
        <v>0.05465805614217745</v>
      </c>
      <c r="E36" t="s">
        <v>46</v>
      </c>
      <c r="F36">
        <f>D36/PI()*180</f>
        <v>3.131675933335874</v>
      </c>
      <c r="G36" t="s">
        <v>247</v>
      </c>
    </row>
    <row r="37" ht="12.75">
      <c r="D37" t="s">
        <v>389</v>
      </c>
    </row>
    <row r="38" spans="4:5" ht="12.75">
      <c r="D38">
        <f>2.92*100/2.54*SIN(D36)</f>
        <v>6.2803963568355545</v>
      </c>
      <c r="E38" t="s">
        <v>386</v>
      </c>
    </row>
    <row r="40" ht="12.75">
      <c r="D40" t="s">
        <v>390</v>
      </c>
    </row>
    <row r="41" spans="4:9" ht="12.75">
      <c r="D41">
        <f>D33-D38</f>
        <v>0.009183099584006094</v>
      </c>
      <c r="E41" t="s">
        <v>19</v>
      </c>
      <c r="F41">
        <f>D41*25.4</f>
        <v>0.23325072943375477</v>
      </c>
      <c r="G41" t="s">
        <v>391</v>
      </c>
      <c r="H41">
        <f>(D31-D36)*1000</f>
        <v>0.08000003212083051</v>
      </c>
      <c r="I41" t="s">
        <v>537</v>
      </c>
    </row>
    <row r="43" ht="12.75">
      <c r="H43" t="s">
        <v>538</v>
      </c>
    </row>
    <row r="51" spans="1:4" ht="12.75">
      <c r="A51" t="s">
        <v>539</v>
      </c>
      <c r="D51" t="s">
        <v>377</v>
      </c>
    </row>
    <row r="55" ht="12.75">
      <c r="D55" t="s">
        <v>378</v>
      </c>
    </row>
    <row r="56" spans="4:5" ht="12.75">
      <c r="D56">
        <v>785</v>
      </c>
      <c r="E56" t="s">
        <v>275</v>
      </c>
    </row>
    <row r="58" ht="12.75">
      <c r="D58" t="s">
        <v>394</v>
      </c>
    </row>
    <row r="59" spans="4:5" ht="12.75">
      <c r="D59" s="19">
        <v>0.010612776117940715</v>
      </c>
      <c r="E59" t="s">
        <v>275</v>
      </c>
    </row>
    <row r="61" ht="12.75">
      <c r="D61" t="s">
        <v>380</v>
      </c>
    </row>
    <row r="62" ht="12.75">
      <c r="D62">
        <v>1.0015</v>
      </c>
    </row>
    <row r="64" ht="12.75">
      <c r="D64" t="s">
        <v>395</v>
      </c>
    </row>
    <row r="65" spans="4:8" ht="12.75">
      <c r="D65">
        <v>1.33</v>
      </c>
      <c r="H65" t="s">
        <v>396</v>
      </c>
    </row>
    <row r="68" ht="12.75">
      <c r="D68" t="s">
        <v>382</v>
      </c>
    </row>
    <row r="69" spans="4:6" ht="12.75">
      <c r="D69">
        <f>(D56-D59)/D56*D62+D59/D56*D65</f>
        <v>1.0015044411426175</v>
      </c>
      <c r="F69" t="s">
        <v>392</v>
      </c>
    </row>
    <row r="71" ht="12.75">
      <c r="D71" t="s">
        <v>383</v>
      </c>
    </row>
    <row r="72" ht="12.75">
      <c r="D72">
        <f>ABS(D62-D69)</f>
        <v>4.441142617439553E-06</v>
      </c>
    </row>
    <row r="74" ht="12.75">
      <c r="D74" t="s">
        <v>384</v>
      </c>
    </row>
    <row r="75" ht="12.75">
      <c r="D75" t="s">
        <v>385</v>
      </c>
    </row>
    <row r="76" ht="12.75">
      <c r="D76" t="s">
        <v>393</v>
      </c>
    </row>
    <row r="77" spans="4:7" ht="12.75">
      <c r="D77">
        <f>ACOS(1/D62)</f>
        <v>0.05473805617429828</v>
      </c>
      <c r="E77" t="s">
        <v>46</v>
      </c>
      <c r="F77">
        <f>D77/PI()*180</f>
        <v>3.136259597537309</v>
      </c>
      <c r="G77" t="s">
        <v>247</v>
      </c>
    </row>
    <row r="78" ht="12.75">
      <c r="D78" t="s">
        <v>387</v>
      </c>
    </row>
    <row r="79" spans="4:5" ht="12.75">
      <c r="D79">
        <f>2.92*100/2.54*SIN(D77)</f>
        <v>6.289579456419561</v>
      </c>
      <c r="E79" t="s">
        <v>386</v>
      </c>
    </row>
    <row r="81" ht="12.75">
      <c r="D81" t="s">
        <v>388</v>
      </c>
    </row>
    <row r="82" spans="4:7" ht="12.75">
      <c r="D82">
        <f>ACOS(1/D69)</f>
        <v>0.05481892814600098</v>
      </c>
      <c r="E82" t="s">
        <v>46</v>
      </c>
      <c r="F82">
        <f>D82/PI()*180</f>
        <v>3.1408932201967747</v>
      </c>
      <c r="G82" t="s">
        <v>247</v>
      </c>
    </row>
    <row r="83" ht="12.75">
      <c r="D83" t="s">
        <v>389</v>
      </c>
    </row>
    <row r="84" spans="4:5" ht="12.75">
      <c r="D84">
        <f>2.92*100/2.54*SIN(D82)</f>
        <v>6.2988626038994795</v>
      </c>
      <c r="E84" t="s">
        <v>386</v>
      </c>
    </row>
    <row r="86" ht="12.75">
      <c r="D86" t="s">
        <v>390</v>
      </c>
    </row>
    <row r="87" spans="4:9" ht="12.75">
      <c r="D87">
        <f>ABS(D79-D84)</f>
        <v>0.009283147479918874</v>
      </c>
      <c r="E87" t="s">
        <v>19</v>
      </c>
      <c r="F87">
        <f>D87*25.4</f>
        <v>0.23579194598993938</v>
      </c>
      <c r="G87" t="s">
        <v>391</v>
      </c>
      <c r="H87">
        <f>ABS(D77-D82)*1000</f>
        <v>0.08087197170270066</v>
      </c>
      <c r="I87" t="s">
        <v>537</v>
      </c>
    </row>
    <row r="88" ht="12.75">
      <c r="H88" t="s">
        <v>538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5:O54"/>
  <sheetViews>
    <sheetView workbookViewId="0" topLeftCell="A1">
      <selection activeCell="G24" sqref="G24"/>
    </sheetView>
  </sheetViews>
  <sheetFormatPr defaultColWidth="9.140625" defaultRowHeight="12.75"/>
  <cols>
    <col min="4" max="4" width="11.7109375" style="0" customWidth="1"/>
  </cols>
  <sheetData>
    <row r="5" ht="12.75">
      <c r="A5" t="s">
        <v>536</v>
      </c>
    </row>
    <row r="8" ht="12.75">
      <c r="M8" t="s">
        <v>228</v>
      </c>
    </row>
    <row r="9" ht="12.75">
      <c r="C9" t="s">
        <v>180</v>
      </c>
    </row>
    <row r="10" spans="13:15" ht="12.75">
      <c r="M10" t="s">
        <v>229</v>
      </c>
      <c r="N10" s="1">
        <v>5E-06</v>
      </c>
      <c r="O10" t="s">
        <v>230</v>
      </c>
    </row>
    <row r="11" spans="3:15" ht="12.75">
      <c r="C11" t="s">
        <v>181</v>
      </c>
      <c r="M11" t="s">
        <v>231</v>
      </c>
      <c r="N11" s="1">
        <v>1E-06</v>
      </c>
      <c r="O11" t="s">
        <v>230</v>
      </c>
    </row>
    <row r="13" spans="3:15" ht="12.75">
      <c r="C13" t="s">
        <v>182</v>
      </c>
      <c r="M13" t="s">
        <v>34</v>
      </c>
      <c r="N13">
        <v>25</v>
      </c>
      <c r="O13" t="s">
        <v>19</v>
      </c>
    </row>
    <row r="14" spans="4:15" ht="12.75">
      <c r="D14">
        <v>0.7621</v>
      </c>
      <c r="E14" t="s">
        <v>42</v>
      </c>
      <c r="F14">
        <f>D14*100/2.54</f>
        <v>30.00393700787401</v>
      </c>
      <c r="G14" t="s">
        <v>15</v>
      </c>
      <c r="M14" t="s">
        <v>232</v>
      </c>
      <c r="N14">
        <v>10</v>
      </c>
      <c r="O14" t="s">
        <v>52</v>
      </c>
    </row>
    <row r="15" spans="3:15" ht="12.75">
      <c r="C15" t="s">
        <v>183</v>
      </c>
      <c r="M15" t="s">
        <v>22</v>
      </c>
      <c r="N15" s="21">
        <f>N13*N14*(N10-N11)</f>
        <v>0.0010000000000000002</v>
      </c>
      <c r="O15" t="s">
        <v>19</v>
      </c>
    </row>
    <row r="16" spans="4:7" ht="12.75">
      <c r="D16">
        <v>0.05</v>
      </c>
      <c r="E16" t="s">
        <v>42</v>
      </c>
      <c r="F16">
        <f>D16*100/2.54</f>
        <v>1.968503937007874</v>
      </c>
      <c r="G16" t="s">
        <v>15</v>
      </c>
    </row>
    <row r="17" ht="12.75">
      <c r="C17" t="s">
        <v>187</v>
      </c>
    </row>
    <row r="18" spans="4:7" ht="12.75">
      <c r="D18">
        <v>0.025</v>
      </c>
      <c r="E18" t="s">
        <v>42</v>
      </c>
      <c r="F18">
        <f>D18*100/2.54</f>
        <v>0.984251968503937</v>
      </c>
      <c r="G18" t="s">
        <v>15</v>
      </c>
    </row>
    <row r="20" ht="12.75">
      <c r="C20" t="s">
        <v>184</v>
      </c>
    </row>
    <row r="21" spans="4:7" ht="12.75">
      <c r="D21">
        <f>F21*2.54/100</f>
        <v>2.54E-05</v>
      </c>
      <c r="E21" t="s">
        <v>42</v>
      </c>
      <c r="F21">
        <v>0.001</v>
      </c>
      <c r="G21" t="s">
        <v>15</v>
      </c>
    </row>
    <row r="23" ht="12.75">
      <c r="C23" t="s">
        <v>185</v>
      </c>
    </row>
    <row r="24" spans="4:5" ht="12.75">
      <c r="D24">
        <f>ATAN(D21/D18)</f>
        <v>0.0010159996504095178</v>
      </c>
      <c r="E24" t="s">
        <v>46</v>
      </c>
    </row>
    <row r="25" ht="12.75">
      <c r="C25" t="s">
        <v>186</v>
      </c>
    </row>
    <row r="26" spans="4:7" ht="12.75">
      <c r="D26">
        <f>D21*D16/D18</f>
        <v>5.08E-05</v>
      </c>
      <c r="E26" t="s">
        <v>42</v>
      </c>
      <c r="F26">
        <f>D26*100/2.54</f>
        <v>0.002</v>
      </c>
      <c r="G26" t="s">
        <v>15</v>
      </c>
    </row>
    <row r="32" ht="12.75">
      <c r="A32" t="s">
        <v>530</v>
      </c>
    </row>
    <row r="34" ht="12.75">
      <c r="C34" t="s">
        <v>23</v>
      </c>
    </row>
    <row r="37" ht="12.75">
      <c r="C37" t="s">
        <v>11</v>
      </c>
    </row>
    <row r="40" spans="3:5" ht="12.75">
      <c r="C40" t="s">
        <v>12</v>
      </c>
      <c r="D40" s="1">
        <v>340000</v>
      </c>
      <c r="E40" t="s">
        <v>13</v>
      </c>
    </row>
    <row r="41" spans="3:6" ht="12.75">
      <c r="C41" t="s">
        <v>14</v>
      </c>
      <c r="D41">
        <v>0.5</v>
      </c>
      <c r="E41" t="s">
        <v>15</v>
      </c>
      <c r="F41" t="s">
        <v>531</v>
      </c>
    </row>
    <row r="42" spans="3:6" ht="12.75">
      <c r="C42" t="s">
        <v>16</v>
      </c>
      <c r="D42">
        <v>10</v>
      </c>
      <c r="E42" t="s">
        <v>17</v>
      </c>
      <c r="F42" t="s">
        <v>532</v>
      </c>
    </row>
    <row r="44" spans="3:6" ht="12.75">
      <c r="C44" t="s">
        <v>18</v>
      </c>
      <c r="D44" t="s">
        <v>362</v>
      </c>
      <c r="E44">
        <v>0.4219</v>
      </c>
      <c r="F44" t="s">
        <v>19</v>
      </c>
    </row>
    <row r="48" spans="3:5" ht="12.75">
      <c r="C48" t="s">
        <v>18</v>
      </c>
      <c r="D48">
        <f>PI()/64*(E44^4)</f>
        <v>0.0015552778977827003</v>
      </c>
      <c r="E48" t="s">
        <v>21</v>
      </c>
    </row>
    <row r="49" spans="3:5" ht="12.75">
      <c r="C49" t="s">
        <v>78</v>
      </c>
      <c r="D49">
        <f>0.098*E44^3</f>
        <v>0.007359607474982</v>
      </c>
      <c r="E49" t="s">
        <v>227</v>
      </c>
    </row>
    <row r="51" spans="3:6" ht="12.75">
      <c r="C51" t="s">
        <v>22</v>
      </c>
      <c r="D51" s="21">
        <f>D42*D41^3/(3*D40*D48)</f>
        <v>0.0007879557716505619</v>
      </c>
      <c r="E51" t="s">
        <v>19</v>
      </c>
      <c r="F51" t="s">
        <v>533</v>
      </c>
    </row>
    <row r="53" spans="3:6" ht="12.75">
      <c r="C53" t="s">
        <v>277</v>
      </c>
      <c r="D53">
        <f>D42*D41/D49</f>
        <v>679.3840591358752</v>
      </c>
      <c r="E53" t="s">
        <v>13</v>
      </c>
      <c r="F53" t="s">
        <v>534</v>
      </c>
    </row>
    <row r="54" ht="12.75">
      <c r="F54" t="s">
        <v>535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320"/>
  <sheetViews>
    <sheetView workbookViewId="0" topLeftCell="A28">
      <selection activeCell="D57" sqref="D57"/>
    </sheetView>
  </sheetViews>
  <sheetFormatPr defaultColWidth="9.140625" defaultRowHeight="12.75"/>
  <cols>
    <col min="26" max="27" width="11.421875" style="0" customWidth="1"/>
  </cols>
  <sheetData>
    <row r="1" ht="12.75">
      <c r="A1" t="s">
        <v>519</v>
      </c>
    </row>
    <row r="2" spans="1:13" ht="12.75">
      <c r="A2" t="s">
        <v>520</v>
      </c>
      <c r="F2" t="s">
        <v>80</v>
      </c>
      <c r="G2">
        <f>7-0.03</f>
        <v>6.97</v>
      </c>
      <c r="H2" t="s">
        <v>42</v>
      </c>
      <c r="I2" t="s">
        <v>41</v>
      </c>
      <c r="L2" t="s">
        <v>47</v>
      </c>
      <c r="M2" t="s">
        <v>48</v>
      </c>
    </row>
    <row r="3" spans="1:13" ht="12.75">
      <c r="A3" t="s">
        <v>521</v>
      </c>
      <c r="I3" t="s">
        <v>45</v>
      </c>
      <c r="L3" t="s">
        <v>46</v>
      </c>
      <c r="M3" t="s">
        <v>37</v>
      </c>
    </row>
    <row r="4" spans="1:13" ht="12.75">
      <c r="A4" t="s">
        <v>522</v>
      </c>
      <c r="G4">
        <v>0.7874</v>
      </c>
      <c r="H4" t="s">
        <v>42</v>
      </c>
      <c r="I4" t="s">
        <v>43</v>
      </c>
      <c r="L4">
        <f>ASIN(0.5*G4/G$2)*2</f>
        <v>0.11303002991971384</v>
      </c>
      <c r="M4">
        <f>G$2*L4</f>
        <v>0.7878193085404054</v>
      </c>
    </row>
    <row r="5" spans="1:13" ht="12.75">
      <c r="A5" t="s">
        <v>523</v>
      </c>
      <c r="G5">
        <f>SIN(30*PI()/180)*G4</f>
        <v>0.39369999999999994</v>
      </c>
      <c r="H5" t="s">
        <v>42</v>
      </c>
      <c r="I5" t="s">
        <v>50</v>
      </c>
      <c r="L5">
        <f>ASIN(0.5*G5/G$2)*2</f>
        <v>0.05649244721306673</v>
      </c>
      <c r="M5">
        <f>G$2*L5</f>
        <v>0.3937523570750751</v>
      </c>
    </row>
    <row r="6" spans="1:23" ht="12.75">
      <c r="A6" t="s">
        <v>524</v>
      </c>
      <c r="G6">
        <f>SIN(60*PI()/180)*G4</f>
        <v>0.681908402939867</v>
      </c>
      <c r="I6" t="s">
        <v>53</v>
      </c>
      <c r="L6">
        <f>ASIN(0.5*G6/G2)*2</f>
        <v>0.09787383843399482</v>
      </c>
      <c r="M6">
        <f>G$2*L6</f>
        <v>0.6821806538849439</v>
      </c>
      <c r="W6" t="s">
        <v>257</v>
      </c>
    </row>
    <row r="7" spans="7:40" ht="12.75">
      <c r="G7">
        <f>2*((G6/2)^2/(1-(G5/2)^2/G2^2))^0.5</f>
        <v>0.6821805234212612</v>
      </c>
      <c r="I7" t="s">
        <v>54</v>
      </c>
      <c r="L7">
        <f>ASIN(0.5*G7/G2)*2</f>
        <v>0.09791292692428533</v>
      </c>
      <c r="M7">
        <f>G$2*L7</f>
        <v>0.6824531006622687</v>
      </c>
      <c r="AN7" t="s">
        <v>342</v>
      </c>
    </row>
    <row r="8" spans="25:40" ht="12.75">
      <c r="Y8" s="4"/>
      <c r="Z8" s="4"/>
      <c r="AA8" s="4"/>
      <c r="AB8" s="4"/>
      <c r="AC8" s="4"/>
      <c r="AD8" s="4"/>
      <c r="AE8" s="4"/>
      <c r="AF8" s="4"/>
      <c r="AG8" s="4"/>
      <c r="AN8" t="s">
        <v>341</v>
      </c>
    </row>
    <row r="9" spans="7:46" ht="12.75">
      <c r="G9" t="s">
        <v>270</v>
      </c>
      <c r="Y9" s="4"/>
      <c r="Z9" s="4" t="s">
        <v>57</v>
      </c>
      <c r="AA9" s="4"/>
      <c r="AB9" s="4"/>
      <c r="AC9" s="4"/>
      <c r="AD9" s="4"/>
      <c r="AE9" s="4"/>
      <c r="AF9" s="4"/>
      <c r="AG9" s="4"/>
      <c r="AO9">
        <v>0</v>
      </c>
      <c r="AP9" t="s">
        <v>15</v>
      </c>
      <c r="AT9" t="s">
        <v>57</v>
      </c>
    </row>
    <row r="10" spans="8:49" ht="12.75">
      <c r="H10" t="s">
        <v>274</v>
      </c>
      <c r="I10" t="s">
        <v>179</v>
      </c>
      <c r="Y10" s="4"/>
      <c r="Z10" s="4"/>
      <c r="AA10" s="4" t="s">
        <v>274</v>
      </c>
      <c r="AB10" s="4"/>
      <c r="AC10" s="4"/>
      <c r="AD10" s="4"/>
      <c r="AE10" s="4"/>
      <c r="AF10" s="4"/>
      <c r="AG10" s="4"/>
      <c r="AO10">
        <f>AO9*2.54/100</f>
        <v>0</v>
      </c>
      <c r="AP10" t="s">
        <v>42</v>
      </c>
      <c r="AT10" t="s">
        <v>51</v>
      </c>
      <c r="AU10" t="s">
        <v>49</v>
      </c>
      <c r="AW10" t="s">
        <v>179</v>
      </c>
    </row>
    <row r="11" spans="7:48" ht="12.75">
      <c r="G11" s="5" t="s">
        <v>264</v>
      </c>
      <c r="H11" s="5" t="s">
        <v>265</v>
      </c>
      <c r="I11" t="s">
        <v>38</v>
      </c>
      <c r="J11" t="s">
        <v>36</v>
      </c>
      <c r="K11" t="s">
        <v>78</v>
      </c>
      <c r="Y11" s="6"/>
      <c r="Z11" s="6" t="s">
        <v>264</v>
      </c>
      <c r="AA11" s="6" t="s">
        <v>265</v>
      </c>
      <c r="AB11" s="6" t="s">
        <v>38</v>
      </c>
      <c r="AC11" s="6" t="s">
        <v>36</v>
      </c>
      <c r="AD11" s="6" t="s">
        <v>78</v>
      </c>
      <c r="AT11" t="s">
        <v>38</v>
      </c>
      <c r="AU11" t="s">
        <v>36</v>
      </c>
      <c r="AV11" t="s">
        <v>78</v>
      </c>
    </row>
    <row r="12" spans="6:48" ht="12.75">
      <c r="F12" t="s">
        <v>44</v>
      </c>
      <c r="G12" s="5">
        <f>Q54</f>
        <v>8.287255783415152E-09</v>
      </c>
      <c r="H12" s="5">
        <f>T54</f>
        <v>-7.285924633319196</v>
      </c>
      <c r="I12">
        <f>K54</f>
        <v>-0.8839419134717995</v>
      </c>
      <c r="J12">
        <f>J54</f>
        <v>1E-09</v>
      </c>
      <c r="K12">
        <f>L48</f>
        <v>6.87771882992012</v>
      </c>
      <c r="W12" s="7" t="s">
        <v>252</v>
      </c>
      <c r="Y12" s="5" t="s">
        <v>44</v>
      </c>
      <c r="Z12" s="8">
        <f>AG54</f>
        <v>8.223630108426895E-09</v>
      </c>
      <c r="AA12" s="8">
        <f>AJ54</f>
        <v>1.6204417783518057</v>
      </c>
      <c r="AB12" s="8">
        <f>AA48</f>
        <v>1.3604347453233245E-05</v>
      </c>
      <c r="AC12" s="8">
        <f>Z54</f>
        <v>1E-09</v>
      </c>
      <c r="AD12" s="8">
        <f>AB48</f>
        <v>6.961655710555853</v>
      </c>
      <c r="AO12" t="s">
        <v>239</v>
      </c>
      <c r="AQ12" t="s">
        <v>237</v>
      </c>
      <c r="AS12" t="s">
        <v>233</v>
      </c>
      <c r="AT12" s="9">
        <f>AU54</f>
        <v>0.19114355769781902</v>
      </c>
      <c r="AU12" s="9">
        <f>AT54</f>
        <v>1E-09</v>
      </c>
      <c r="AV12" s="9">
        <f>AV54</f>
        <v>6.782110871217114</v>
      </c>
    </row>
    <row r="13" spans="4:48" ht="12.75">
      <c r="D13" t="s">
        <v>235</v>
      </c>
      <c r="F13" t="s">
        <v>26</v>
      </c>
      <c r="G13" s="5">
        <f>Q66</f>
        <v>8.22774141523549E-09</v>
      </c>
      <c r="H13" s="5">
        <f>T66</f>
        <v>2.4302243328134674</v>
      </c>
      <c r="I13">
        <f>K66</f>
        <v>0.2955468139862438</v>
      </c>
      <c r="J13">
        <f>J66</f>
        <v>1E-09</v>
      </c>
      <c r="K13">
        <f>L66</f>
        <v>6.963731189580955</v>
      </c>
      <c r="W13" s="7" t="s">
        <v>237</v>
      </c>
      <c r="Y13" s="5" t="s">
        <v>26</v>
      </c>
      <c r="Z13" s="8">
        <f>AG66</f>
        <v>8.383917307017484E-09</v>
      </c>
      <c r="AA13" s="8">
        <f>AJ66</f>
        <v>11.33659074448447</v>
      </c>
      <c r="AB13" s="8">
        <f>AA66</f>
        <v>1.3701093015834211</v>
      </c>
      <c r="AC13" s="8">
        <f>Z66</f>
        <v>1E-09</v>
      </c>
      <c r="AD13" s="8">
        <f>AB66</f>
        <v>6.83401057225657</v>
      </c>
      <c r="AO13" t="s">
        <v>461</v>
      </c>
      <c r="AQ13" s="10">
        <v>-0.261</v>
      </c>
      <c r="AS13" t="s">
        <v>26</v>
      </c>
      <c r="AT13">
        <f>AU66</f>
        <v>1.3587986460263652</v>
      </c>
      <c r="AU13">
        <f>AT66</f>
        <v>1E-09</v>
      </c>
      <c r="AV13">
        <f>AV66</f>
        <v>6.956111473384683</v>
      </c>
    </row>
    <row r="14" spans="4:48" ht="12.75">
      <c r="D14" t="s">
        <v>236</v>
      </c>
      <c r="F14" t="s">
        <v>58</v>
      </c>
      <c r="G14" s="5">
        <f>Q79</f>
        <v>2.8393457969396314</v>
      </c>
      <c r="H14" s="5">
        <f>T79</f>
        <v>-2.4302241684066397</v>
      </c>
      <c r="I14" s="9">
        <f>K79</f>
        <v>-0.2955467940042317</v>
      </c>
      <c r="J14" s="9">
        <f>J79</f>
        <v>0.3449529654632007</v>
      </c>
      <c r="K14" s="9">
        <f>L79</f>
        <v>6.9551822078340955</v>
      </c>
      <c r="W14" s="7" t="s">
        <v>238</v>
      </c>
      <c r="Y14" s="5" t="s">
        <v>58</v>
      </c>
      <c r="Z14" s="8">
        <f>AG79</f>
        <v>2.854961186592672</v>
      </c>
      <c r="AA14" s="8">
        <f>AJ79</f>
        <v>6.465192416435924</v>
      </c>
      <c r="AB14" s="11">
        <f>AA79</f>
        <v>0.784819150105001</v>
      </c>
      <c r="AC14" s="11">
        <f>Z79</f>
        <v>0.3449529654632007</v>
      </c>
      <c r="AD14" s="11">
        <f>AB79</f>
        <v>6.91707787676607</v>
      </c>
      <c r="AO14" t="s">
        <v>240</v>
      </c>
      <c r="AS14" t="s">
        <v>58</v>
      </c>
      <c r="AT14" s="9">
        <f>AU79</f>
        <v>0.771895605628903</v>
      </c>
      <c r="AU14" s="9">
        <f>AT79</f>
        <v>0.3449529654632007</v>
      </c>
      <c r="AV14" s="9">
        <f>AV79</f>
        <v>6.885333230482498</v>
      </c>
    </row>
    <row r="15" spans="6:48" ht="12.75">
      <c r="F15" t="s">
        <v>28</v>
      </c>
      <c r="G15" s="5">
        <f>Q92</f>
        <v>2.8393457969991456</v>
      </c>
      <c r="H15" s="5">
        <f>T92</f>
        <v>7.285924797726024</v>
      </c>
      <c r="I15" s="9">
        <f>K92</f>
        <v>0.8839419333103121</v>
      </c>
      <c r="J15" s="9">
        <f>J92</f>
        <v>0.34247570885917966</v>
      </c>
      <c r="K15" s="9">
        <f>L92</f>
        <v>6.905234032773764</v>
      </c>
      <c r="W15" s="7" t="s">
        <v>246</v>
      </c>
      <c r="Y15" s="5" t="s">
        <v>28</v>
      </c>
      <c r="Z15" s="8">
        <f>AG92</f>
        <v>2.9326719455604726</v>
      </c>
      <c r="AA15" s="8">
        <f>AJ92</f>
        <v>16.18104339151845</v>
      </c>
      <c r="AB15" s="11">
        <f>AA92</f>
        <v>1.9423534069103565</v>
      </c>
      <c r="AC15" s="11">
        <f>Z92</f>
        <v>0.34247570885917966</v>
      </c>
      <c r="AD15" s="11">
        <f>AB92</f>
        <v>6.685123307127934</v>
      </c>
      <c r="AS15" t="s">
        <v>28</v>
      </c>
      <c r="AT15" s="9">
        <f>AU92</f>
        <v>1.9500821094373961</v>
      </c>
      <c r="AU15" s="9">
        <f>AT92</f>
        <v>0.34247570885917966</v>
      </c>
      <c r="AV15" s="9">
        <f>AV92</f>
        <v>6.959932428182335</v>
      </c>
    </row>
    <row r="16" spans="6:48" ht="12.75">
      <c r="F16" t="s">
        <v>25</v>
      </c>
      <c r="G16" s="12">
        <f>Q105</f>
        <v>5.678691585711037</v>
      </c>
      <c r="H16" s="12">
        <f>T105</f>
        <v>-7.285924633319196</v>
      </c>
      <c r="I16">
        <f>K105</f>
        <v>-0.8839419134717995</v>
      </c>
      <c r="J16">
        <f>J105</f>
        <v>0.6841105404974605</v>
      </c>
      <c r="K16">
        <f>L105</f>
        <v>6.879792108922194</v>
      </c>
      <c r="W16" s="7">
        <v>0</v>
      </c>
      <c r="Y16" s="5" t="s">
        <v>25</v>
      </c>
      <c r="Z16" s="13">
        <f>AG105</f>
        <v>5.6348326148852355</v>
      </c>
      <c r="AA16" s="13">
        <f>AJ105</f>
        <v>1.57724372780185</v>
      </c>
      <c r="AB16" s="8">
        <f>AA105</f>
        <v>0.19184659796904024</v>
      </c>
      <c r="AC16" s="8">
        <f>Z105</f>
        <v>0.6841105404974605</v>
      </c>
      <c r="AD16" s="8">
        <f>AB105</f>
        <v>6.933692209150041</v>
      </c>
      <c r="AN16" t="s">
        <v>241</v>
      </c>
      <c r="AS16" t="s">
        <v>25</v>
      </c>
      <c r="AT16">
        <f>AU105</f>
        <v>0.1947183266181469</v>
      </c>
      <c r="AU16">
        <f>AT105</f>
        <v>0.6841105404974605</v>
      </c>
      <c r="AV16">
        <f>AV105</f>
        <v>6.748370198167425</v>
      </c>
    </row>
    <row r="17" spans="6:48" ht="12.75">
      <c r="F17" t="s">
        <v>52</v>
      </c>
      <c r="G17" s="5">
        <f>Q118</f>
        <v>5.678691585651523</v>
      </c>
      <c r="H17" s="5">
        <f>T118</f>
        <v>2.4302243328134674</v>
      </c>
      <c r="I17" s="9">
        <f>K118</f>
        <v>0.2955468139862438</v>
      </c>
      <c r="J17" s="9">
        <f>J118</f>
        <v>0.6890589709923881</v>
      </c>
      <c r="K17" s="9">
        <f>L118</f>
        <v>6.929556249518254</v>
      </c>
      <c r="W17" s="7" t="s">
        <v>46</v>
      </c>
      <c r="Y17" s="5" t="s">
        <v>52</v>
      </c>
      <c r="Z17" s="8">
        <f>AG118</f>
        <v>5.7859475950807155</v>
      </c>
      <c r="AA17" s="8">
        <f>AJ118</f>
        <v>11.292235129143059</v>
      </c>
      <c r="AB17" s="11">
        <f>AA118</f>
        <v>1.3648183318145535</v>
      </c>
      <c r="AC17" s="11">
        <f>Z118</f>
        <v>0.6890589709923881</v>
      </c>
      <c r="AD17" s="11">
        <f>AB118</f>
        <v>6.8002476907564064</v>
      </c>
      <c r="AO17" t="s">
        <v>242</v>
      </c>
      <c r="AP17" t="s">
        <v>243</v>
      </c>
      <c r="AQ17" t="s">
        <v>27</v>
      </c>
      <c r="AS17" t="s">
        <v>52</v>
      </c>
      <c r="AT17" s="9">
        <f>AU118</f>
        <v>1.3623992726034089</v>
      </c>
      <c r="AU17" s="9">
        <f>AT118</f>
        <v>0.6890589709923881</v>
      </c>
      <c r="AV17" s="9">
        <f>AV118</f>
        <v>6.922126741275369</v>
      </c>
    </row>
    <row r="18" spans="6:48" ht="12.75">
      <c r="F18" t="s">
        <v>35</v>
      </c>
      <c r="G18" s="12">
        <f>Q131</f>
        <v>8.518037374363411</v>
      </c>
      <c r="H18" s="12">
        <f>T131</f>
        <v>-2.4302241684066397</v>
      </c>
      <c r="I18" s="9">
        <f>K131</f>
        <v>-0.2955467940042317</v>
      </c>
      <c r="J18" s="9">
        <f>J131</f>
        <v>1.0314731385194984</v>
      </c>
      <c r="K18" s="9">
        <f>L131</f>
        <v>6.886916237117056</v>
      </c>
      <c r="Y18" s="5" t="s">
        <v>35</v>
      </c>
      <c r="Z18" s="13">
        <f>AG131</f>
        <v>8.51031939391904</v>
      </c>
      <c r="AA18" s="13">
        <f>AJ131</f>
        <v>6.377763518458282</v>
      </c>
      <c r="AB18" s="11">
        <f>AA131</f>
        <v>0.7742502014354911</v>
      </c>
      <c r="AC18" s="11">
        <f>Z131</f>
        <v>1.0314731385194984</v>
      </c>
      <c r="AD18" s="11">
        <f>AB131</f>
        <v>6.849635011450598</v>
      </c>
      <c r="AO18">
        <v>0</v>
      </c>
      <c r="AP18">
        <f>0</f>
        <v>0</v>
      </c>
      <c r="AQ18">
        <f>G2+AO10</f>
        <v>6.97</v>
      </c>
      <c r="AS18" t="s">
        <v>35</v>
      </c>
      <c r="AT18" s="9">
        <f>AU131</f>
        <v>0.7790880181984781</v>
      </c>
      <c r="AU18" s="9">
        <f>AT131</f>
        <v>1.0314731385194984</v>
      </c>
      <c r="AV18" s="9">
        <f>AV131</f>
        <v>6.817447208656435</v>
      </c>
    </row>
    <row r="19" spans="6:48" ht="12.75">
      <c r="F19" t="s">
        <v>59</v>
      </c>
      <c r="G19" s="5">
        <f>Q144</f>
        <v>8.518037374422928</v>
      </c>
      <c r="H19" s="5">
        <f>T144</f>
        <v>7.285924797726024</v>
      </c>
      <c r="I19">
        <f>K144</f>
        <v>0.8839419333103121</v>
      </c>
      <c r="J19">
        <f>J144</f>
        <v>1.0240656832863335</v>
      </c>
      <c r="K19">
        <f>L144</f>
        <v>6.837458309551212</v>
      </c>
      <c r="Y19" s="5" t="s">
        <v>59</v>
      </c>
      <c r="Z19" s="8">
        <f>AG144</f>
        <v>8.79593868288961</v>
      </c>
      <c r="AA19" s="8">
        <f>AJ144</f>
        <v>16.091249419791062</v>
      </c>
      <c r="AB19" s="8">
        <f>AA144</f>
        <v>1.9318603584375356</v>
      </c>
      <c r="AC19" s="8">
        <f>Z144</f>
        <v>1.0240656832863335</v>
      </c>
      <c r="AD19" s="8">
        <f>AB144</f>
        <v>6.6181647782306605</v>
      </c>
      <c r="AS19" t="s">
        <v>60</v>
      </c>
      <c r="AT19" s="9">
        <f>AU170</f>
        <v>1.3731658117200465</v>
      </c>
      <c r="AU19" s="9">
        <f>AT170</f>
        <v>1.371354742255801</v>
      </c>
      <c r="AV19" s="9">
        <f>AV170</f>
        <v>6.820506109478602</v>
      </c>
    </row>
    <row r="20" spans="6:48" ht="12.75">
      <c r="F20" t="s">
        <v>18</v>
      </c>
      <c r="G20" s="5">
        <f>Q157</f>
        <v>11.357383163134818</v>
      </c>
      <c r="H20" s="5">
        <f>T157</f>
        <v>-7.285924633319196</v>
      </c>
      <c r="I20">
        <f>K157</f>
        <v>-0.8839419134717995</v>
      </c>
      <c r="J20">
        <f>J157</f>
        <v>1.3615064507211634</v>
      </c>
      <c r="K20">
        <f>L157</f>
        <v>6.778336586379617</v>
      </c>
      <c r="Y20" s="5" t="s">
        <v>18</v>
      </c>
      <c r="Z20" s="8">
        <f>AG157</f>
        <v>11.26811996806741</v>
      </c>
      <c r="AA20" s="8">
        <f>AJ157</f>
        <v>1.448078823084901</v>
      </c>
      <c r="AB20" s="8">
        <f>AA157</f>
        <v>0.17613923749751992</v>
      </c>
      <c r="AC20" s="8">
        <f>Z157</f>
        <v>1.3615064507211634</v>
      </c>
      <c r="AD20" s="8">
        <f>AB157</f>
        <v>6.833459969419478</v>
      </c>
      <c r="AN20" t="s">
        <v>244</v>
      </c>
      <c r="AS20" t="s">
        <v>32</v>
      </c>
      <c r="AT20" s="9">
        <f>AU183</f>
        <v>0.7934022489113327</v>
      </c>
      <c r="AU20" s="9">
        <f>AT183</f>
        <v>1.7078692755889198</v>
      </c>
      <c r="AV20" s="9">
        <f>AV183</f>
        <v>6.682341474774217</v>
      </c>
    </row>
    <row r="21" spans="6:48" ht="12.75">
      <c r="F21" t="s">
        <v>60</v>
      </c>
      <c r="G21" s="5">
        <f>Q170</f>
        <v>11.357383163075303</v>
      </c>
      <c r="H21" s="5">
        <f>T170</f>
        <v>2.4302243328134674</v>
      </c>
      <c r="I21" s="9">
        <f>K170</f>
        <v>0.2955468139862438</v>
      </c>
      <c r="J21" s="9">
        <f>J170</f>
        <v>1.371354742255801</v>
      </c>
      <c r="K21" s="9">
        <f>L170</f>
        <v>6.8273668607769356</v>
      </c>
      <c r="Y21" s="5" t="s">
        <v>60</v>
      </c>
      <c r="Z21" s="8">
        <f>AG170</f>
        <v>11.568711749727987</v>
      </c>
      <c r="AA21" s="8">
        <f>AJ170</f>
        <v>11.159644419420461</v>
      </c>
      <c r="AB21" s="11">
        <f>AA170</f>
        <v>1.3489973540589995</v>
      </c>
      <c r="AC21" s="11">
        <f>Z170</f>
        <v>1.371354742255801</v>
      </c>
      <c r="AD21" s="11">
        <f>AB170</f>
        <v>6.699290433294734</v>
      </c>
      <c r="AO21" t="s">
        <v>242</v>
      </c>
      <c r="AP21" t="s">
        <v>243</v>
      </c>
      <c r="AQ21" t="s">
        <v>27</v>
      </c>
      <c r="AS21" t="s">
        <v>61</v>
      </c>
      <c r="AT21">
        <f>AU196</f>
        <v>1.9714343042020885</v>
      </c>
      <c r="AU21">
        <f>AT196</f>
        <v>1.6956043268127168</v>
      </c>
      <c r="AV21">
        <f>AV196</f>
        <v>6.758398444166752</v>
      </c>
    </row>
    <row r="22" spans="6:48" ht="12.75">
      <c r="F22" t="s">
        <v>32</v>
      </c>
      <c r="G22" s="5">
        <f>Q183</f>
        <v>14.196728951787195</v>
      </c>
      <c r="H22" s="5">
        <f>T183</f>
        <v>-2.4302241684066397</v>
      </c>
      <c r="I22" s="9">
        <f>K183</f>
        <v>-0.2955467940042317</v>
      </c>
      <c r="J22" s="9">
        <f>J183</f>
        <v>1.7078692755889198</v>
      </c>
      <c r="K22" s="9">
        <f>L183</f>
        <v>6.751054334698632</v>
      </c>
      <c r="Y22" s="5" t="s">
        <v>32</v>
      </c>
      <c r="Z22" s="8">
        <f>AG183</f>
        <v>14.269010723366625</v>
      </c>
      <c r="AA22" s="8">
        <f>AJ183</f>
        <v>6.2038080037223935</v>
      </c>
      <c r="AB22" s="11">
        <f>AA183</f>
        <v>0.7532160396456571</v>
      </c>
      <c r="AC22" s="11">
        <f>Z183</f>
        <v>1.7078692755889198</v>
      </c>
      <c r="AD22" s="11">
        <f>AB183</f>
        <v>6.715411240953147</v>
      </c>
      <c r="AO22">
        <v>0</v>
      </c>
      <c r="AP22">
        <f>0</f>
        <v>0</v>
      </c>
      <c r="AQ22">
        <f>AQ18*COS(AQ13)</f>
        <v>6.733942928580717</v>
      </c>
      <c r="AS22" t="s">
        <v>62</v>
      </c>
      <c r="AT22" s="9">
        <f>AU209</f>
        <v>0.22310630151433797</v>
      </c>
      <c r="AU22" s="9">
        <f>AT209</f>
        <v>2.025539007321087</v>
      </c>
      <c r="AV22" s="9">
        <f>AV209</f>
        <v>6.480428577082921</v>
      </c>
    </row>
    <row r="23" spans="6:48" ht="12.75">
      <c r="F23" t="s">
        <v>61</v>
      </c>
      <c r="G23" s="5">
        <f>Q196</f>
        <v>14.19672895184671</v>
      </c>
      <c r="H23" s="5">
        <f>T196</f>
        <v>7.285924797726024</v>
      </c>
      <c r="I23">
        <f>K196</f>
        <v>0.8839419333103121</v>
      </c>
      <c r="J23">
        <f>J196</f>
        <v>1.6956043268127168</v>
      </c>
      <c r="K23">
        <f>L196</f>
        <v>6.702572090282179</v>
      </c>
      <c r="Y23" s="5" t="s">
        <v>61</v>
      </c>
      <c r="Z23" s="8">
        <f>AG196</f>
        <v>14.653048500082514</v>
      </c>
      <c r="AA23" s="8">
        <f>AJ196</f>
        <v>15.912663281614137</v>
      </c>
      <c r="AB23" s="8">
        <f>AA196</f>
        <v>1.9109772520712942</v>
      </c>
      <c r="AC23" s="8">
        <f>Z196</f>
        <v>1.6956043268127168</v>
      </c>
      <c r="AD23" s="8">
        <f>AB196</f>
        <v>6.484904926747965</v>
      </c>
      <c r="AS23" t="s">
        <v>63</v>
      </c>
      <c r="AT23" s="9">
        <f>AU222</f>
        <v>1.3909925884678396</v>
      </c>
      <c r="AU23" s="9">
        <f>AT222</f>
        <v>2.0401904977001895</v>
      </c>
      <c r="AV23" s="9">
        <f>AV222</f>
        <v>6.652246997020528</v>
      </c>
    </row>
    <row r="24" spans="6:51" ht="12.75">
      <c r="F24" t="s">
        <v>62</v>
      </c>
      <c r="G24" s="5">
        <f>Q209</f>
        <v>17.036074740558604</v>
      </c>
      <c r="H24" s="5">
        <f>T209</f>
        <v>-7.285924633319196</v>
      </c>
      <c r="I24" s="9">
        <f>K209</f>
        <v>-0.8839419134717995</v>
      </c>
      <c r="J24" s="9">
        <f>J209</f>
        <v>2.025539007321087</v>
      </c>
      <c r="K24" s="9">
        <f>L209</f>
        <v>6.610350854790427</v>
      </c>
      <c r="Y24" s="5" t="s">
        <v>62</v>
      </c>
      <c r="Z24" s="8">
        <f>AG209</f>
        <v>16.898408578739716</v>
      </c>
      <c r="AA24" s="8">
        <f>AJ209</f>
        <v>1.2342289441224776</v>
      </c>
      <c r="AB24" s="11">
        <f>AA209</f>
        <v>0.15013165926010896</v>
      </c>
      <c r="AC24" s="11">
        <f>Z209</f>
        <v>2.025539007321087</v>
      </c>
      <c r="AD24" s="11">
        <f>AB209</f>
        <v>6.667499697390959</v>
      </c>
      <c r="AT24" s="9"/>
      <c r="AU24" s="9"/>
      <c r="AV24" s="9"/>
      <c r="AW24" s="9"/>
      <c r="AX24" s="9"/>
      <c r="AY24" s="9"/>
    </row>
    <row r="25" spans="6:51" ht="12.75">
      <c r="F25" t="s">
        <v>63</v>
      </c>
      <c r="G25" s="14">
        <f>Q222</f>
        <v>17.036074740499085</v>
      </c>
      <c r="H25" s="14">
        <f>T222</f>
        <v>2.4302243328134674</v>
      </c>
      <c r="I25" s="9">
        <f>K222</f>
        <v>0.2955468139862438</v>
      </c>
      <c r="J25" s="9">
        <f>J222</f>
        <v>2.0401904977001895</v>
      </c>
      <c r="K25" s="9">
        <f>L222</f>
        <v>6.658166024802658</v>
      </c>
      <c r="Y25" s="14" t="s">
        <v>63</v>
      </c>
      <c r="Z25" s="15">
        <f>AG222</f>
        <v>17.3452338202665</v>
      </c>
      <c r="AA25" s="15">
        <f>AJ222</f>
        <v>10.940239015287174</v>
      </c>
      <c r="AB25" s="16">
        <f>AA222</f>
        <v>1.322801653163415</v>
      </c>
      <c r="AC25" s="16">
        <f>Z222</f>
        <v>2.0401904977001895</v>
      </c>
      <c r="AD25" s="16">
        <f>AB222</f>
        <v>6.5321297077968365</v>
      </c>
      <c r="AT25" s="9"/>
      <c r="AU25" s="9"/>
      <c r="AV25" s="9"/>
      <c r="AW25" s="9"/>
      <c r="AX25" s="9"/>
      <c r="AY25" s="9"/>
    </row>
    <row r="26" spans="6:51" ht="12.75">
      <c r="F26" t="s">
        <v>309</v>
      </c>
      <c r="G26" s="4">
        <f>Q235</f>
        <v>19.875420529210977</v>
      </c>
      <c r="H26" s="4">
        <f>T235</f>
        <v>-2.4302241684066397</v>
      </c>
      <c r="I26" s="9">
        <f>K235</f>
        <v>-0.2955467940042317</v>
      </c>
      <c r="J26" s="9">
        <f>J235</f>
        <v>2.3675024652181778</v>
      </c>
      <c r="K26" s="9">
        <f>L235</f>
        <v>6.548930001896467</v>
      </c>
      <c r="Y26" s="4"/>
      <c r="Z26" s="17"/>
      <c r="AA26" s="17"/>
      <c r="AB26" s="18"/>
      <c r="AC26" s="18"/>
      <c r="AD26" s="18"/>
      <c r="AT26" s="9"/>
      <c r="AU26" s="9"/>
      <c r="AV26" s="9"/>
      <c r="AW26" s="9"/>
      <c r="AX26" s="9"/>
      <c r="AY26" s="9"/>
    </row>
    <row r="27" spans="6:51" ht="12.75">
      <c r="F27" t="s">
        <v>310</v>
      </c>
      <c r="G27" s="4">
        <f>Q248</f>
        <v>19.87542052927049</v>
      </c>
      <c r="H27" s="4">
        <f>T248</f>
        <v>7.285924797726024</v>
      </c>
      <c r="I27" s="9">
        <f>K248</f>
        <v>0.8839419333103121</v>
      </c>
      <c r="J27" s="9">
        <f>J248</f>
        <v>2.3505004048828684</v>
      </c>
      <c r="K27" s="9">
        <f>L248</f>
        <v>6.5018992998339415</v>
      </c>
      <c r="Y27" s="4"/>
      <c r="Z27" s="17"/>
      <c r="AA27" s="17"/>
      <c r="AB27" s="18"/>
      <c r="AC27" s="18"/>
      <c r="AD27" s="18"/>
      <c r="AT27" s="9"/>
      <c r="AU27" s="9"/>
      <c r="AV27" s="9"/>
      <c r="AW27" s="9"/>
      <c r="AX27" s="9"/>
      <c r="AY27" s="9"/>
    </row>
    <row r="28" spans="7:51" ht="12.75">
      <c r="G28" s="4"/>
      <c r="H28" s="4"/>
      <c r="I28" s="9"/>
      <c r="J28" s="9"/>
      <c r="K28" s="9"/>
      <c r="Y28" s="4"/>
      <c r="Z28" s="17"/>
      <c r="AA28" s="17"/>
      <c r="AB28" s="18"/>
      <c r="AC28" s="18"/>
      <c r="AD28" s="18"/>
      <c r="AT28" s="9"/>
      <c r="AU28" s="9"/>
      <c r="AV28" s="9"/>
      <c r="AW28" s="9"/>
      <c r="AX28" s="9"/>
      <c r="AY28" s="9"/>
    </row>
    <row r="29" spans="7:51" ht="12.75">
      <c r="G29" s="9"/>
      <c r="H29" s="9"/>
      <c r="I29" s="9"/>
      <c r="J29" s="9"/>
      <c r="K29" s="9"/>
      <c r="L29" s="9"/>
      <c r="AT29" s="9"/>
      <c r="AU29" s="9"/>
      <c r="AV29" s="9"/>
      <c r="AW29" s="9"/>
      <c r="AX29" s="9"/>
      <c r="AY29" s="9"/>
    </row>
    <row r="30" spans="7:51" ht="12.75">
      <c r="G30" s="9"/>
      <c r="H30" s="9"/>
      <c r="I30" s="9"/>
      <c r="J30" s="9"/>
      <c r="K30" s="9"/>
      <c r="L30" s="9"/>
      <c r="AT30" s="9"/>
      <c r="AU30" s="9"/>
      <c r="AV30" s="9"/>
      <c r="AW30" s="9"/>
      <c r="AX30" s="9"/>
      <c r="AY30" s="9"/>
    </row>
    <row r="31" spans="4:51" ht="12.75">
      <c r="D31" t="s">
        <v>280</v>
      </c>
      <c r="G31" s="9"/>
      <c r="H31" s="9"/>
      <c r="I31" s="9"/>
      <c r="J31" s="9"/>
      <c r="K31" s="9"/>
      <c r="L31" s="9"/>
      <c r="AT31" s="9"/>
      <c r="AU31" s="9"/>
      <c r="AV31" s="9"/>
      <c r="AW31" s="9"/>
      <c r="AX31" s="9"/>
      <c r="AY31" s="9"/>
    </row>
    <row r="32" ht="12.75">
      <c r="D32" t="s">
        <v>281</v>
      </c>
    </row>
    <row r="33" spans="4:5" ht="12.75">
      <c r="D33">
        <f>-(L7+(0.189+0.14)*2.54/100/G$2)</f>
        <v>-0.09911186523131546</v>
      </c>
      <c r="E33" t="s">
        <v>46</v>
      </c>
    </row>
    <row r="34" spans="4:11" ht="12.75">
      <c r="D34">
        <v>0.07135980982712145</v>
      </c>
      <c r="G34" t="s">
        <v>83</v>
      </c>
      <c r="H34" t="s">
        <v>83</v>
      </c>
      <c r="J34" t="s">
        <v>196</v>
      </c>
      <c r="K34" t="s">
        <v>197</v>
      </c>
    </row>
    <row r="35" spans="1:14" ht="12.75">
      <c r="A35" t="s">
        <v>525</v>
      </c>
      <c r="F35" t="s">
        <v>234</v>
      </c>
      <c r="G35" t="s">
        <v>194</v>
      </c>
      <c r="H35" t="s">
        <v>195</v>
      </c>
      <c r="J35" t="s">
        <v>36</v>
      </c>
      <c r="K35" t="s">
        <v>38</v>
      </c>
      <c r="L35" t="s">
        <v>78</v>
      </c>
      <c r="M35" t="s">
        <v>79</v>
      </c>
      <c r="N35" t="s">
        <v>81</v>
      </c>
    </row>
    <row r="36" spans="1:14" ht="12.75">
      <c r="A36" t="s">
        <v>526</v>
      </c>
      <c r="F36" t="s">
        <v>65</v>
      </c>
      <c r="G36">
        <f>0.5*$M$4/G2</f>
        <v>0.05651501495985692</v>
      </c>
      <c r="H36">
        <f>120*PI()/180</f>
        <v>2.0943951023931953</v>
      </c>
      <c r="J36">
        <f aca="true" t="shared" si="0" ref="J36:J41">G$2*SIN(G36)*SIN(H36)</f>
        <v>0.3409542014699335</v>
      </c>
      <c r="K36">
        <f aca="true" t="shared" si="1" ref="K36:K41">G$2*SIN(G36)*COS(H36)</f>
        <v>-0.19684999999999991</v>
      </c>
      <c r="L36">
        <f>G$2*COS(G36)</f>
        <v>6.9588720573092875</v>
      </c>
      <c r="M36">
        <f aca="true" t="shared" si="2" ref="M36:M42">(K36^2+J36^2+L36^2)^0.5</f>
        <v>6.97</v>
      </c>
      <c r="N36">
        <f aca="true" t="shared" si="3" ref="N36:N41">(K36^2+J36^2+(L36-L$42)^2)^0.5</f>
        <v>0.3938572344245155</v>
      </c>
    </row>
    <row r="37" spans="6:14" ht="12.75">
      <c r="F37" t="s">
        <v>66</v>
      </c>
      <c r="G37">
        <f>G36</f>
        <v>0.05651501495985692</v>
      </c>
      <c r="H37">
        <f>60*PI()/180</f>
        <v>1.0471975511965976</v>
      </c>
      <c r="J37">
        <f t="shared" si="0"/>
        <v>0.3409542014699335</v>
      </c>
      <c r="K37">
        <f t="shared" si="1"/>
        <v>0.19685000000000005</v>
      </c>
      <c r="L37">
        <f aca="true" t="shared" si="4" ref="L37:L42">G$2*COS(G37)</f>
        <v>6.9588720573092875</v>
      </c>
      <c r="M37">
        <f t="shared" si="2"/>
        <v>6.97</v>
      </c>
      <c r="N37">
        <f t="shared" si="3"/>
        <v>0.3938572344245156</v>
      </c>
    </row>
    <row r="38" spans="6:14" ht="12.75">
      <c r="F38" t="s">
        <v>67</v>
      </c>
      <c r="G38">
        <f>G37</f>
        <v>0.05651501495985692</v>
      </c>
      <c r="H38">
        <f>0.00000000001*PI()/180</f>
        <v>1.7453292519943293E-13</v>
      </c>
      <c r="J38">
        <f t="shared" si="0"/>
        <v>6.871361265101675E-14</v>
      </c>
      <c r="K38">
        <f t="shared" si="1"/>
        <v>0.3937</v>
      </c>
      <c r="L38">
        <f t="shared" si="4"/>
        <v>6.9588720573092875</v>
      </c>
      <c r="M38">
        <f t="shared" si="2"/>
        <v>6.97</v>
      </c>
      <c r="N38">
        <f t="shared" si="3"/>
        <v>0.39385723442451553</v>
      </c>
    </row>
    <row r="39" spans="6:24" ht="12.75">
      <c r="F39" t="s">
        <v>68</v>
      </c>
      <c r="G39">
        <f>G36</f>
        <v>0.05651501495985692</v>
      </c>
      <c r="H39">
        <f>H37*-1</f>
        <v>-1.0471975511965976</v>
      </c>
      <c r="J39">
        <f t="shared" si="0"/>
        <v>-0.3409542014699335</v>
      </c>
      <c r="K39">
        <f t="shared" si="1"/>
        <v>0.19685000000000005</v>
      </c>
      <c r="L39">
        <f t="shared" si="4"/>
        <v>6.9588720573092875</v>
      </c>
      <c r="M39">
        <f t="shared" si="2"/>
        <v>6.97</v>
      </c>
      <c r="N39">
        <f t="shared" si="3"/>
        <v>0.3938572344245156</v>
      </c>
      <c r="X39">
        <f>8.346819*PI()/180</f>
        <v>0.14567947361802058</v>
      </c>
    </row>
    <row r="40" spans="6:14" ht="12.75">
      <c r="F40" t="s">
        <v>69</v>
      </c>
      <c r="G40">
        <f>G39</f>
        <v>0.05651501495985692</v>
      </c>
      <c r="H40">
        <f>-120*PI()/180</f>
        <v>-2.0943951023931953</v>
      </c>
      <c r="J40">
        <f t="shared" si="0"/>
        <v>-0.3409542014699335</v>
      </c>
      <c r="K40">
        <f t="shared" si="1"/>
        <v>-0.19684999999999991</v>
      </c>
      <c r="L40">
        <f t="shared" si="4"/>
        <v>6.9588720573092875</v>
      </c>
      <c r="M40">
        <f t="shared" si="2"/>
        <v>6.97</v>
      </c>
      <c r="N40">
        <f t="shared" si="3"/>
        <v>0.3938572344245155</v>
      </c>
    </row>
    <row r="41" spans="6:14" ht="12.75">
      <c r="F41" t="s">
        <v>70</v>
      </c>
      <c r="G41">
        <f>G40</f>
        <v>0.05651501495985692</v>
      </c>
      <c r="H41">
        <f>180*PI()/180</f>
        <v>3.141592653589793</v>
      </c>
      <c r="J41">
        <f t="shared" si="0"/>
        <v>4.8234094669752367E-17</v>
      </c>
      <c r="K41">
        <f t="shared" si="1"/>
        <v>-0.3937</v>
      </c>
      <c r="L41">
        <f t="shared" si="4"/>
        <v>6.9588720573092875</v>
      </c>
      <c r="M41">
        <f t="shared" si="2"/>
        <v>6.97</v>
      </c>
      <c r="N41">
        <f t="shared" si="3"/>
        <v>0.39385723442451553</v>
      </c>
    </row>
    <row r="42" spans="6:51" ht="12.75">
      <c r="F42" t="s">
        <v>77</v>
      </c>
      <c r="G42" s="9">
        <v>0</v>
      </c>
      <c r="H42" s="9">
        <v>0</v>
      </c>
      <c r="J42">
        <v>1E-09</v>
      </c>
      <c r="K42">
        <v>1E-08</v>
      </c>
      <c r="L42">
        <f t="shared" si="4"/>
        <v>6.97</v>
      </c>
      <c r="M42">
        <f t="shared" si="2"/>
        <v>6.97</v>
      </c>
      <c r="AX42" t="s">
        <v>487</v>
      </c>
      <c r="AY42" t="s">
        <v>486</v>
      </c>
    </row>
    <row r="43" spans="50:51" ht="12.75">
      <c r="AX43">
        <v>1.835</v>
      </c>
      <c r="AY43">
        <v>0</v>
      </c>
    </row>
    <row r="44" spans="23:50" ht="12.75">
      <c r="W44" t="s">
        <v>253</v>
      </c>
      <c r="X44" t="s">
        <v>255</v>
      </c>
      <c r="AX44">
        <f>((AU54-AX$43)^2+(AV54-AY$43)^2)^0.5</f>
        <v>6.978487792665381</v>
      </c>
    </row>
    <row r="45" spans="23:50" ht="12.75">
      <c r="W45">
        <v>0</v>
      </c>
      <c r="X45">
        <f>(0.125+0.5+0.75)*L4+0.008*2.54/100/G2+X46</f>
        <v>0.15544541827269168</v>
      </c>
      <c r="AX45">
        <f>((AU79-AX$43)^2+(AV79-AY$43)^2)^0.5</f>
        <v>6.966922178991071</v>
      </c>
    </row>
    <row r="46" spans="7:50" ht="12.75">
      <c r="G46" t="s">
        <v>83</v>
      </c>
      <c r="H46" t="s">
        <v>83</v>
      </c>
      <c r="J46" t="s">
        <v>196</v>
      </c>
      <c r="K46" t="s">
        <v>197</v>
      </c>
      <c r="Q46" t="s">
        <v>248</v>
      </c>
      <c r="T46" t="s">
        <v>55</v>
      </c>
      <c r="X46">
        <f>X39-0.1456795</f>
        <v>-2.6381979406631118E-08</v>
      </c>
      <c r="Z46" t="s">
        <v>196</v>
      </c>
      <c r="AA46" t="s">
        <v>197</v>
      </c>
      <c r="AG46" t="s">
        <v>248</v>
      </c>
      <c r="AJ46" t="s">
        <v>55</v>
      </c>
      <c r="AT46" t="s">
        <v>56</v>
      </c>
      <c r="AU46" t="s">
        <v>55</v>
      </c>
      <c r="AX46">
        <f>(AX44-6.97)^2+(AX45-6.97)^2</f>
        <v>8.151560649349824E-05</v>
      </c>
    </row>
    <row r="47" spans="1:50" ht="12.75">
      <c r="A47" t="s">
        <v>527</v>
      </c>
      <c r="D47" t="s">
        <v>262</v>
      </c>
      <c r="F47" t="s">
        <v>261</v>
      </c>
      <c r="G47" t="s">
        <v>194</v>
      </c>
      <c r="H47" t="s">
        <v>195</v>
      </c>
      <c r="J47" t="s">
        <v>36</v>
      </c>
      <c r="K47" t="s">
        <v>38</v>
      </c>
      <c r="L47" t="s">
        <v>78</v>
      </c>
      <c r="M47" t="s">
        <v>79</v>
      </c>
      <c r="N47" t="s">
        <v>81</v>
      </c>
      <c r="Q47" t="s">
        <v>247</v>
      </c>
      <c r="R47" t="s">
        <v>266</v>
      </c>
      <c r="S47" t="s">
        <v>46</v>
      </c>
      <c r="T47" t="s">
        <v>267</v>
      </c>
      <c r="Z47" t="s">
        <v>36</v>
      </c>
      <c r="AA47" t="s">
        <v>38</v>
      </c>
      <c r="AB47" t="s">
        <v>78</v>
      </c>
      <c r="AC47" t="s">
        <v>79</v>
      </c>
      <c r="AD47" t="s">
        <v>81</v>
      </c>
      <c r="AG47" t="s">
        <v>247</v>
      </c>
      <c r="AH47" t="s">
        <v>266</v>
      </c>
      <c r="AI47" t="s">
        <v>46</v>
      </c>
      <c r="AJ47" t="s">
        <v>267</v>
      </c>
      <c r="AT47" t="s">
        <v>36</v>
      </c>
      <c r="AU47" t="s">
        <v>38</v>
      </c>
      <c r="AV47" t="s">
        <v>78</v>
      </c>
      <c r="AW47" t="s">
        <v>79</v>
      </c>
      <c r="AX47" t="s">
        <v>81</v>
      </c>
    </row>
    <row r="48" spans="1:50" ht="12.75">
      <c r="A48" t="s">
        <v>528</v>
      </c>
      <c r="F48" t="s">
        <v>65</v>
      </c>
      <c r="G48">
        <f>ASIN(J48/G$2/COS(H48))</f>
        <v>0.16290540184510852</v>
      </c>
      <c r="H48">
        <f aca="true" t="shared" si="5" ref="H48:H53">ATAN(K48/J48)</f>
        <v>-1.264412101686744</v>
      </c>
      <c r="J48">
        <f>J36</f>
        <v>0.3409542014699335</v>
      </c>
      <c r="K48">
        <f aca="true" t="shared" si="6" ref="K48:K54">COS(H$55)*K36+SIN(H$55)*L36</f>
        <v>-1.0777912270297076</v>
      </c>
      <c r="L48">
        <f aca="true" t="shared" si="7" ref="L48:L54">(-SIN(H$55)*K36+COS(H$55)*L36)</f>
        <v>6.87771882992012</v>
      </c>
      <c r="M48">
        <f aca="true" t="shared" si="8" ref="M48:M54">(K48^2+J48^2+L48^2)^0.5</f>
        <v>6.97</v>
      </c>
      <c r="N48">
        <f aca="true" t="shared" si="9" ref="N48:N53">((J48-J$54)^2+(K48-K$54)^2+(L48-L$54)^2)^0.5</f>
        <v>0.3938572385568399</v>
      </c>
      <c r="P48">
        <f>ASIN(J48/R48)</f>
        <v>0.04953318337684374</v>
      </c>
      <c r="Q48">
        <f>P48*180/PI()</f>
        <v>2.8380423533407133</v>
      </c>
      <c r="R48">
        <f>G$2*COS(S48)</f>
        <v>6.886164830363691</v>
      </c>
      <c r="S48">
        <f>ASIN(K48/M48)</f>
        <v>-0.15525586080995682</v>
      </c>
      <c r="T48">
        <f>S48*180/PI()</f>
        <v>-8.895505569081084</v>
      </c>
      <c r="Y48" t="s">
        <v>65</v>
      </c>
      <c r="Z48">
        <f aca="true" t="shared" si="10" ref="Z48:Z54">J48</f>
        <v>0.3409542014699335</v>
      </c>
      <c r="AA48">
        <f aca="true" t="shared" si="11" ref="AA48:AA54">K48*COS(X$45)+L48*SIN(X$45)</f>
        <v>1.3604347453233245E-05</v>
      </c>
      <c r="AB48">
        <f aca="true" t="shared" si="12" ref="AB48:AB54">-K48*SIN(X$45)+L48*COS(X$45)</f>
        <v>6.961655710555853</v>
      </c>
      <c r="AC48">
        <f aca="true" t="shared" si="13" ref="AC48:AC54">(AA48^2+Z48^2+AB48^2)^0.5</f>
        <v>6.97</v>
      </c>
      <c r="AD48">
        <f aca="true" t="shared" si="14" ref="AD48:AD53">((Z48-Z$54)^2+(AA48-AA$54)^2+(AB48-AB$54)^2)^0.5</f>
        <v>0.39385723855683985</v>
      </c>
      <c r="AF48">
        <f>ASIN(Z48/AH48)</f>
        <v>0.048936919217090695</v>
      </c>
      <c r="AG48">
        <f>AF48*180/PI()</f>
        <v>2.80387893351195</v>
      </c>
      <c r="AH48">
        <f>G$2*COS(AI48)</f>
        <v>6.969999999986723</v>
      </c>
      <c r="AI48">
        <f>ASIN(AA48/AC48)</f>
        <v>1.9518432501064395E-06</v>
      </c>
      <c r="AJ48">
        <f>AI48*180/PI()</f>
        <v>0.00011183238050219656</v>
      </c>
      <c r="AS48" t="s">
        <v>65</v>
      </c>
      <c r="AT48">
        <f aca="true" t="shared" si="15" ref="AT48:AT54">Z48</f>
        <v>0.3409542014699335</v>
      </c>
      <c r="AU48">
        <f aca="true" t="shared" si="16" ref="AU48:AU54">AA48*COS(AQ$13)+(AB48-AQ$18)*SIN(AQ$13)</f>
        <v>0.002166360900273265</v>
      </c>
      <c r="AV48">
        <f aca="true" t="shared" si="17" ref="AV48:AV54">-AA48*SIN(AQ$13)+(AB48-AQ$18)*COS(AQ$13)+AQ$22</f>
        <v>6.725884750631842</v>
      </c>
      <c r="AW48">
        <f aca="true" t="shared" si="18" ref="AW48:AW53">(AT48^2+AU48^2+AV48^2)^0.5</f>
        <v>6.734521522677131</v>
      </c>
      <c r="AX48">
        <f aca="true" t="shared" si="19" ref="AX48:AX53">((AT48-AT$54)^2+(AU48-AU$54)^2+(AV48-AV$54)^2)^0.5</f>
        <v>0.39385723855683985</v>
      </c>
    </row>
    <row r="49" spans="1:50" ht="12.75">
      <c r="A49" t="s">
        <v>529</v>
      </c>
      <c r="F49" t="s">
        <v>66</v>
      </c>
      <c r="G49">
        <f aca="true" t="shared" si="20" ref="G49:G54">ASIN(J49/G$2/COS(H49))</f>
        <v>0.11029467187792359</v>
      </c>
      <c r="H49">
        <f t="shared" si="5"/>
        <v>-1.110274164947084</v>
      </c>
      <c r="J49">
        <f aca="true" t="shared" si="21" ref="J49:J54">J37</f>
        <v>0.3409542014699335</v>
      </c>
      <c r="K49">
        <f t="shared" si="6"/>
        <v>-0.6872701075385117</v>
      </c>
      <c r="L49">
        <f t="shared" si="7"/>
        <v>6.927648232393443</v>
      </c>
      <c r="M49">
        <f t="shared" si="8"/>
        <v>6.97</v>
      </c>
      <c r="N49">
        <f t="shared" si="9"/>
        <v>0.39385722856083205</v>
      </c>
      <c r="P49">
        <f aca="true" t="shared" si="22" ref="P49:P54">ASIN(J49/R49)</f>
        <v>0.049176761926993225</v>
      </c>
      <c r="Q49">
        <f aca="true" t="shared" si="23" ref="Q49:Q54">P49*180/PI()</f>
        <v>2.817620908536345</v>
      </c>
      <c r="R49">
        <f aca="true" t="shared" si="24" ref="R49:R54">G$2*COS(S49)</f>
        <v>6.936033434123858</v>
      </c>
      <c r="S49">
        <f aca="true" t="shared" si="25" ref="S49:S54">ASIN(K49/M49)</f>
        <v>-0.09876451962352187</v>
      </c>
      <c r="T49">
        <f aca="true" t="shared" si="26" ref="T49:T54">S49*180/PI()</f>
        <v>-5.658790140064801</v>
      </c>
      <c r="Y49" t="s">
        <v>66</v>
      </c>
      <c r="Z49">
        <f t="shared" si="10"/>
        <v>0.3409542014699335</v>
      </c>
      <c r="AA49">
        <f t="shared" si="11"/>
        <v>0.39355615965497404</v>
      </c>
      <c r="AB49">
        <f t="shared" si="12"/>
        <v>6.95052255457801</v>
      </c>
      <c r="AC49">
        <f t="shared" si="13"/>
        <v>6.97</v>
      </c>
      <c r="AD49">
        <f t="shared" si="14"/>
        <v>0.3938572285608321</v>
      </c>
      <c r="AF49">
        <f aca="true" t="shared" si="27" ref="AF49:AF54">ASIN(Z49/AH49)</f>
        <v>0.049015179642244354</v>
      </c>
      <c r="AG49">
        <f aca="true" t="shared" si="28" ref="AG49:AG54">AF49*180/PI()</f>
        <v>2.8083629255761537</v>
      </c>
      <c r="AH49">
        <f aca="true" t="shared" si="29" ref="AH49:AH54">G$2*COS(AI49)</f>
        <v>6.958880193622939</v>
      </c>
      <c r="AI49">
        <f aca="true" t="shared" si="30" ref="AI49:AI54">ASIN(AA49/AC49)</f>
        <v>0.05649434490589599</v>
      </c>
      <c r="AJ49">
        <f aca="true" t="shared" si="31" ref="AJ49:AJ54">AI49*180/PI()</f>
        <v>3.236887529464242</v>
      </c>
      <c r="AS49" t="s">
        <v>66</v>
      </c>
      <c r="AT49">
        <f t="shared" si="15"/>
        <v>0.3409542014699335</v>
      </c>
      <c r="AU49">
        <f t="shared" si="16"/>
        <v>0.3852534554612798</v>
      </c>
      <c r="AV49">
        <f t="shared" si="17"/>
        <v>6.816681050010211</v>
      </c>
      <c r="AW49">
        <f t="shared" si="18"/>
        <v>6.836066890399272</v>
      </c>
      <c r="AX49">
        <f t="shared" si="19"/>
        <v>0.39385722856083205</v>
      </c>
    </row>
    <row r="50" spans="6:50" ht="12.75">
      <c r="F50" t="s">
        <v>67</v>
      </c>
      <c r="G50">
        <f t="shared" si="20"/>
        <v>0.07061381495061066</v>
      </c>
      <c r="H50">
        <f t="shared" si="5"/>
        <v>-1.570796326794757</v>
      </c>
      <c r="J50">
        <f t="shared" si="21"/>
        <v>6.871361265101675E-14</v>
      </c>
      <c r="K50">
        <f t="shared" si="6"/>
        <v>-0.49200954779291384</v>
      </c>
      <c r="L50">
        <f t="shared" si="7"/>
        <v>6.952612933630104</v>
      </c>
      <c r="M50">
        <f t="shared" si="8"/>
        <v>6.97</v>
      </c>
      <c r="N50">
        <f t="shared" si="9"/>
        <v>0.3938572244285076</v>
      </c>
      <c r="P50">
        <f t="shared" si="22"/>
        <v>9.883135061157494E-15</v>
      </c>
      <c r="Q50">
        <f t="shared" si="23"/>
        <v>5.662619273620932E-13</v>
      </c>
      <c r="R50">
        <f t="shared" si="24"/>
        <v>6.952612933630105</v>
      </c>
      <c r="S50">
        <f t="shared" si="25"/>
        <v>-0.0706483603784438</v>
      </c>
      <c r="T50">
        <f t="shared" si="26"/>
        <v>-4.047852879204097</v>
      </c>
      <c r="Y50" t="s">
        <v>67</v>
      </c>
      <c r="Z50">
        <f t="shared" si="10"/>
        <v>6.871361265101675E-14</v>
      </c>
      <c r="AA50">
        <f t="shared" si="11"/>
        <v>0.5903274373087344</v>
      </c>
      <c r="AB50">
        <f t="shared" si="12"/>
        <v>6.944955976589088</v>
      </c>
      <c r="AC50">
        <f t="shared" si="13"/>
        <v>6.97</v>
      </c>
      <c r="AD50">
        <f t="shared" si="14"/>
        <v>0.39385722442850785</v>
      </c>
      <c r="AF50">
        <f t="shared" si="27"/>
        <v>9.894031421170276E-15</v>
      </c>
      <c r="AG50">
        <f t="shared" si="28"/>
        <v>5.668862428028807E-13</v>
      </c>
      <c r="AH50">
        <f t="shared" si="29"/>
        <v>6.944955976589089</v>
      </c>
      <c r="AI50">
        <f t="shared" si="30"/>
        <v>0.08479705789424788</v>
      </c>
      <c r="AJ50">
        <f t="shared" si="31"/>
        <v>4.858513532466903</v>
      </c>
      <c r="AS50" t="s">
        <v>67</v>
      </c>
      <c r="AT50">
        <f t="shared" si="15"/>
        <v>6.871361265101675E-14</v>
      </c>
      <c r="AU50">
        <f t="shared" si="16"/>
        <v>0.5767970027417829</v>
      </c>
      <c r="AV50">
        <f t="shared" si="17"/>
        <v>6.862079199699396</v>
      </c>
      <c r="AW50">
        <f t="shared" si="18"/>
        <v>6.886278074934166</v>
      </c>
      <c r="AX50">
        <f t="shared" si="19"/>
        <v>0.39385722442850774</v>
      </c>
    </row>
    <row r="51" spans="6:50" ht="12.75">
      <c r="F51" t="s">
        <v>68</v>
      </c>
      <c r="G51">
        <f t="shared" si="20"/>
        <v>-0.11029467187792359</v>
      </c>
      <c r="H51">
        <f t="shared" si="5"/>
        <v>1.110274164947084</v>
      </c>
      <c r="J51">
        <f t="shared" si="21"/>
        <v>-0.3409542014699335</v>
      </c>
      <c r="K51">
        <f t="shared" si="6"/>
        <v>-0.6872701075385117</v>
      </c>
      <c r="L51">
        <f t="shared" si="7"/>
        <v>6.927648232393443</v>
      </c>
      <c r="M51">
        <f t="shared" si="8"/>
        <v>6.97</v>
      </c>
      <c r="N51">
        <f t="shared" si="9"/>
        <v>0.39385723029219144</v>
      </c>
      <c r="P51">
        <f t="shared" si="22"/>
        <v>-0.049176761926993225</v>
      </c>
      <c r="Q51">
        <f t="shared" si="23"/>
        <v>-2.817620908536345</v>
      </c>
      <c r="R51">
        <f t="shared" si="24"/>
        <v>6.936033434123858</v>
      </c>
      <c r="S51">
        <f t="shared" si="25"/>
        <v>-0.09876451962352187</v>
      </c>
      <c r="T51">
        <f t="shared" si="26"/>
        <v>-5.658790140064801</v>
      </c>
      <c r="Y51" t="s">
        <v>68</v>
      </c>
      <c r="Z51">
        <f t="shared" si="10"/>
        <v>-0.3409542014699335</v>
      </c>
      <c r="AA51">
        <f t="shared" si="11"/>
        <v>0.39355615965497404</v>
      </c>
      <c r="AB51">
        <f t="shared" si="12"/>
        <v>6.95052255457801</v>
      </c>
      <c r="AC51">
        <f t="shared" si="13"/>
        <v>6.97</v>
      </c>
      <c r="AD51">
        <f t="shared" si="14"/>
        <v>0.3938572302921915</v>
      </c>
      <c r="AF51">
        <f t="shared" si="27"/>
        <v>-0.049015179642244354</v>
      </c>
      <c r="AG51">
        <f t="shared" si="28"/>
        <v>-2.8083629255761537</v>
      </c>
      <c r="AH51">
        <f t="shared" si="29"/>
        <v>6.958880193622939</v>
      </c>
      <c r="AI51">
        <f t="shared" si="30"/>
        <v>0.05649434490589599</v>
      </c>
      <c r="AJ51">
        <f t="shared" si="31"/>
        <v>3.236887529464242</v>
      </c>
      <c r="AS51" t="s">
        <v>68</v>
      </c>
      <c r="AT51">
        <f t="shared" si="15"/>
        <v>-0.3409542014699335</v>
      </c>
      <c r="AU51">
        <f t="shared" si="16"/>
        <v>0.3852534554612798</v>
      </c>
      <c r="AV51">
        <f t="shared" si="17"/>
        <v>6.816681050010211</v>
      </c>
      <c r="AW51">
        <f t="shared" si="18"/>
        <v>6.836066890399272</v>
      </c>
      <c r="AX51">
        <f t="shared" si="19"/>
        <v>0.39385723029219144</v>
      </c>
    </row>
    <row r="52" spans="6:50" ht="12.75">
      <c r="F52" t="s">
        <v>69</v>
      </c>
      <c r="G52">
        <f t="shared" si="20"/>
        <v>-0.16290540184510852</v>
      </c>
      <c r="H52">
        <f t="shared" si="5"/>
        <v>1.264412101686744</v>
      </c>
      <c r="J52">
        <f t="shared" si="21"/>
        <v>-0.3409542014699335</v>
      </c>
      <c r="K52">
        <f t="shared" si="6"/>
        <v>-1.0777912270297076</v>
      </c>
      <c r="L52">
        <f t="shared" si="7"/>
        <v>6.87771882992012</v>
      </c>
      <c r="M52">
        <f t="shared" si="8"/>
        <v>6.97</v>
      </c>
      <c r="N52">
        <f t="shared" si="9"/>
        <v>0.39385724028819924</v>
      </c>
      <c r="P52">
        <f t="shared" si="22"/>
        <v>-0.04953318337684374</v>
      </c>
      <c r="Q52">
        <f t="shared" si="23"/>
        <v>-2.8380423533407133</v>
      </c>
      <c r="R52">
        <f t="shared" si="24"/>
        <v>6.886164830363691</v>
      </c>
      <c r="S52">
        <f t="shared" si="25"/>
        <v>-0.15525586080995682</v>
      </c>
      <c r="T52">
        <f t="shared" si="26"/>
        <v>-8.895505569081084</v>
      </c>
      <c r="Y52" t="s">
        <v>69</v>
      </c>
      <c r="Z52">
        <f t="shared" si="10"/>
        <v>-0.3409542014699335</v>
      </c>
      <c r="AA52">
        <f t="shared" si="11"/>
        <v>1.3604347453233245E-05</v>
      </c>
      <c r="AB52">
        <f t="shared" si="12"/>
        <v>6.961655710555853</v>
      </c>
      <c r="AC52">
        <f t="shared" si="13"/>
        <v>6.97</v>
      </c>
      <c r="AD52">
        <f t="shared" si="14"/>
        <v>0.3938572402881992</v>
      </c>
      <c r="AF52">
        <f t="shared" si="27"/>
        <v>-0.048936919217090695</v>
      </c>
      <c r="AG52">
        <f t="shared" si="28"/>
        <v>-2.80387893351195</v>
      </c>
      <c r="AH52">
        <f t="shared" si="29"/>
        <v>6.969999999986723</v>
      </c>
      <c r="AI52">
        <f t="shared" si="30"/>
        <v>1.9518432501064395E-06</v>
      </c>
      <c r="AJ52">
        <f t="shared" si="31"/>
        <v>0.00011183238050219656</v>
      </c>
      <c r="AS52" t="s">
        <v>69</v>
      </c>
      <c r="AT52">
        <f t="shared" si="15"/>
        <v>-0.3409542014699335</v>
      </c>
      <c r="AU52">
        <f t="shared" si="16"/>
        <v>0.002166360900273265</v>
      </c>
      <c r="AV52">
        <f t="shared" si="17"/>
        <v>6.725884750631842</v>
      </c>
      <c r="AW52">
        <f t="shared" si="18"/>
        <v>6.734521522677131</v>
      </c>
      <c r="AX52">
        <f t="shared" si="19"/>
        <v>0.3938572402881992</v>
      </c>
    </row>
    <row r="53" spans="6:50" ht="12.75">
      <c r="F53" t="s">
        <v>70</v>
      </c>
      <c r="G53">
        <f t="shared" si="20"/>
        <v>0.11321155196061855</v>
      </c>
      <c r="H53">
        <f t="shared" si="5"/>
        <v>-1.5707963267948966</v>
      </c>
      <c r="J53">
        <f t="shared" si="21"/>
        <v>4.8234094669752367E-17</v>
      </c>
      <c r="K53">
        <f t="shared" si="6"/>
        <v>-1.2730517867753057</v>
      </c>
      <c r="L53">
        <f t="shared" si="7"/>
        <v>6.852754128683459</v>
      </c>
      <c r="M53">
        <f t="shared" si="8"/>
        <v>6.969999999999999</v>
      </c>
      <c r="N53">
        <f t="shared" si="9"/>
        <v>0.39385724442052344</v>
      </c>
      <c r="P53">
        <f t="shared" si="22"/>
        <v>7.03864369916027E-18</v>
      </c>
      <c r="Q53">
        <f t="shared" si="23"/>
        <v>4.0328457745823305E-16</v>
      </c>
      <c r="R53">
        <f t="shared" si="24"/>
        <v>6.8527541286834595</v>
      </c>
      <c r="S53">
        <f t="shared" si="25"/>
        <v>-0.18367839029815766</v>
      </c>
      <c r="T53">
        <f t="shared" si="26"/>
        <v>-10.52399655184112</v>
      </c>
      <c r="Y53" t="s">
        <v>70</v>
      </c>
      <c r="Z53">
        <f t="shared" si="10"/>
        <v>4.8234094669752367E-17</v>
      </c>
      <c r="AA53">
        <f t="shared" si="11"/>
        <v>-0.19675767330630722</v>
      </c>
      <c r="AB53">
        <f t="shared" si="12"/>
        <v>6.967222288544774</v>
      </c>
      <c r="AC53">
        <f t="shared" si="13"/>
        <v>6.97</v>
      </c>
      <c r="AD53">
        <f t="shared" si="14"/>
        <v>0.3938572444205234</v>
      </c>
      <c r="AF53">
        <f t="shared" si="27"/>
        <v>6.923002119375023E-18</v>
      </c>
      <c r="AG53">
        <f t="shared" si="28"/>
        <v>3.9665880300031293E-16</v>
      </c>
      <c r="AH53">
        <f t="shared" si="29"/>
        <v>6.967222288544774</v>
      </c>
      <c r="AI53">
        <f t="shared" si="30"/>
        <v>-0.02823297202546597</v>
      </c>
      <c r="AJ53">
        <f t="shared" si="31"/>
        <v>-1.6176301401701194</v>
      </c>
      <c r="AS53" t="s">
        <v>70</v>
      </c>
      <c r="AT53">
        <f t="shared" si="15"/>
        <v>4.8234094669752367E-17</v>
      </c>
      <c r="AU53">
        <f t="shared" si="16"/>
        <v>-0.18937718638023004</v>
      </c>
      <c r="AV53">
        <f t="shared" si="17"/>
        <v>6.680486600942657</v>
      </c>
      <c r="AW53">
        <f t="shared" si="18"/>
        <v>6.6831702764553045</v>
      </c>
      <c r="AX53">
        <f t="shared" si="19"/>
        <v>0.39385724442052356</v>
      </c>
    </row>
    <row r="54" spans="6:49" ht="12.75">
      <c r="F54" t="s">
        <v>77</v>
      </c>
      <c r="G54">
        <f t="shared" si="20"/>
        <v>0.12716337937684696</v>
      </c>
      <c r="H54">
        <f>ATAN(K54/J54)</f>
        <v>-1.5707963256636006</v>
      </c>
      <c r="J54">
        <f t="shared" si="21"/>
        <v>1E-09</v>
      </c>
      <c r="K54">
        <f t="shared" si="6"/>
        <v>-0.8839419134717995</v>
      </c>
      <c r="L54">
        <f t="shared" si="7"/>
        <v>6.91372162395969</v>
      </c>
      <c r="M54">
        <f t="shared" si="8"/>
        <v>6.97</v>
      </c>
      <c r="P54">
        <f t="shared" si="22"/>
        <v>1.4463989937553646E-10</v>
      </c>
      <c r="Q54">
        <f t="shared" si="23"/>
        <v>8.287255783415152E-09</v>
      </c>
      <c r="R54">
        <f t="shared" si="24"/>
        <v>6.91372162395969</v>
      </c>
      <c r="S54">
        <f t="shared" si="25"/>
        <v>-0.1271633739035805</v>
      </c>
      <c r="T54">
        <f t="shared" si="26"/>
        <v>-7.285924633319196</v>
      </c>
      <c r="Y54" t="s">
        <v>77</v>
      </c>
      <c r="Z54">
        <f t="shared" si="10"/>
        <v>1E-09</v>
      </c>
      <c r="AA54">
        <f t="shared" si="11"/>
        <v>0.19709957099566044</v>
      </c>
      <c r="AB54">
        <f t="shared" si="12"/>
        <v>6.967212624795753</v>
      </c>
      <c r="AC54">
        <f t="shared" si="13"/>
        <v>6.97</v>
      </c>
      <c r="AF54">
        <f t="shared" si="27"/>
        <v>1.435294218581876E-10</v>
      </c>
      <c r="AG54">
        <f t="shared" si="28"/>
        <v>8.223630108426895E-09</v>
      </c>
      <c r="AH54">
        <f t="shared" si="29"/>
        <v>6.967212624795753</v>
      </c>
      <c r="AI54">
        <f t="shared" si="30"/>
        <v>0.028282044369111182</v>
      </c>
      <c r="AJ54">
        <f t="shared" si="31"/>
        <v>1.6204417783518057</v>
      </c>
      <c r="AS54" t="s">
        <v>77</v>
      </c>
      <c r="AT54">
        <f t="shared" si="15"/>
        <v>1E-09</v>
      </c>
      <c r="AU54">
        <f t="shared" si="16"/>
        <v>0.19114355769781902</v>
      </c>
      <c r="AV54">
        <f t="shared" si="17"/>
        <v>6.782110871217114</v>
      </c>
      <c r="AW54">
        <f>(AT54^2+AU54^2+AV54^2)^0.5</f>
        <v>6.784803882879057</v>
      </c>
    </row>
    <row r="55" spans="8:27" ht="12.75">
      <c r="H55">
        <f>-(1.125*L4+0*2.54/100/G$2)-(0.002-0.00074)*2.54/100/G2</f>
        <v>-0.12716337533830072</v>
      </c>
      <c r="Z55">
        <f>ACOS(AB54/(Z54^2+AA54^2+AB54^2)^0.5)</f>
        <v>0.028282044369109194</v>
      </c>
      <c r="AA55">
        <f>ATAN(Z54/AA54)</f>
        <v>5.073577760461068E-09</v>
      </c>
    </row>
    <row r="58" spans="7:47" ht="12.75">
      <c r="G58" t="s">
        <v>83</v>
      </c>
      <c r="H58" t="s">
        <v>83</v>
      </c>
      <c r="J58" t="s">
        <v>56</v>
      </c>
      <c r="K58" t="s">
        <v>55</v>
      </c>
      <c r="Q58" t="s">
        <v>248</v>
      </c>
      <c r="T58" t="s">
        <v>55</v>
      </c>
      <c r="Z58" t="s">
        <v>56</v>
      </c>
      <c r="AA58" t="s">
        <v>55</v>
      </c>
      <c r="AG58" t="s">
        <v>248</v>
      </c>
      <c r="AJ58" t="s">
        <v>55</v>
      </c>
      <c r="AT58" t="s">
        <v>56</v>
      </c>
      <c r="AU58" t="s">
        <v>55</v>
      </c>
    </row>
    <row r="59" spans="7:50" ht="12.75">
      <c r="G59" t="s">
        <v>33</v>
      </c>
      <c r="H59" t="s">
        <v>84</v>
      </c>
      <c r="J59" t="s">
        <v>36</v>
      </c>
      <c r="K59" t="s">
        <v>38</v>
      </c>
      <c r="L59" t="s">
        <v>78</v>
      </c>
      <c r="M59" t="s">
        <v>79</v>
      </c>
      <c r="N59" t="s">
        <v>81</v>
      </c>
      <c r="Q59" t="s">
        <v>247</v>
      </c>
      <c r="R59" t="s">
        <v>266</v>
      </c>
      <c r="S59" t="s">
        <v>46</v>
      </c>
      <c r="T59" t="s">
        <v>267</v>
      </c>
      <c r="Z59" t="s">
        <v>36</v>
      </c>
      <c r="AA59" t="s">
        <v>38</v>
      </c>
      <c r="AB59" t="s">
        <v>78</v>
      </c>
      <c r="AC59" t="s">
        <v>79</v>
      </c>
      <c r="AD59" t="s">
        <v>81</v>
      </c>
      <c r="AG59" t="s">
        <v>247</v>
      </c>
      <c r="AH59" t="s">
        <v>266</v>
      </c>
      <c r="AI59" t="s">
        <v>46</v>
      </c>
      <c r="AJ59" t="s">
        <v>267</v>
      </c>
      <c r="AT59" t="s">
        <v>36</v>
      </c>
      <c r="AU59" t="s">
        <v>38</v>
      </c>
      <c r="AV59" t="s">
        <v>78</v>
      </c>
      <c r="AW59" t="s">
        <v>79</v>
      </c>
      <c r="AX59" t="s">
        <v>81</v>
      </c>
    </row>
    <row r="60" spans="6:50" ht="12.75">
      <c r="F60" t="s">
        <v>71</v>
      </c>
      <c r="G60">
        <f>ASIN(J60/G$2/COS(H60))</f>
        <v>0.050935939909082704</v>
      </c>
      <c r="H60">
        <f aca="true" t="shared" si="32" ref="H60:H65">ATAN(K60/J60)</f>
        <v>0.2809726205119131</v>
      </c>
      <c r="J60">
        <f>J36</f>
        <v>0.3409542014699335</v>
      </c>
      <c r="K60">
        <f>COS(H$67)*K36+SIN(H$67)*L36</f>
        <v>0.09840199586758175</v>
      </c>
      <c r="L60">
        <f>(-SIN(H$67)*K36+COS(H$67)*L36)</f>
        <v>6.9609602268443735</v>
      </c>
      <c r="M60">
        <f aca="true" t="shared" si="33" ref="M60:M65">(J60^2+K60^2+L60^2)^0.5</f>
        <v>6.97</v>
      </c>
      <c r="N60">
        <f aca="true" t="shared" si="34" ref="N60:N65">((J60-J$66)^2+(K60-K$66)^2+(L60-L$66)^2)^0.5</f>
        <v>0.39385723855683985</v>
      </c>
      <c r="P60">
        <f>ASIN(J60/R60)</f>
        <v>0.04894180080077347</v>
      </c>
      <c r="Q60">
        <f>P60*180/PI()</f>
        <v>2.8041586276543127</v>
      </c>
      <c r="R60">
        <f>G$2*COS(S60)</f>
        <v>6.969305348971967</v>
      </c>
      <c r="S60">
        <f>ASIN(K60/M60)</f>
        <v>0.01411840244049155</v>
      </c>
      <c r="T60">
        <f>S60*180/PI()</f>
        <v>0.8089248733073672</v>
      </c>
      <c r="Y60" t="s">
        <v>71</v>
      </c>
      <c r="Z60">
        <f aca="true" t="shared" si="35" ref="Z60:Z66">J60</f>
        <v>0.3409542014699335</v>
      </c>
      <c r="AA60">
        <f aca="true" t="shared" si="36" ref="AA60:AA66">K60*COS(X$45)+L60*SIN(X$45)</f>
        <v>1.1749125228811705</v>
      </c>
      <c r="AB60">
        <f aca="true" t="shared" si="37" ref="AB60:AB66">-K60*SIN(X$45)+L60*COS(X$45)</f>
        <v>6.861795012682687</v>
      </c>
      <c r="AC60">
        <f aca="true" t="shared" si="38" ref="AC60:AC65">(Z60^2+AA60^2+AB60^2)^0.5</f>
        <v>6.97</v>
      </c>
      <c r="AD60">
        <f aca="true" t="shared" si="39" ref="AD60:AD65">((Z60-Z$66)^2+(AA60-AA$66)^2+(AB60-AB$66)^2)^0.5</f>
        <v>0.3938572385568398</v>
      </c>
      <c r="AF60">
        <f>ASIN(Z60/AH60)</f>
        <v>0.049647943923338926</v>
      </c>
      <c r="AG60">
        <f>AF60*180/PI()</f>
        <v>2.844617648309503</v>
      </c>
      <c r="AH60">
        <f aca="true" t="shared" si="40" ref="AH60:AH66">G$2*COS(AI60)</f>
        <v>6.870260589204531</v>
      </c>
      <c r="AI60">
        <f>ASIN(AA60/AC60)</f>
        <v>0.16937576176992272</v>
      </c>
      <c r="AJ60">
        <f>AI60*180/PI()</f>
        <v>9.70451630122985</v>
      </c>
      <c r="AS60" t="s">
        <v>71</v>
      </c>
      <c r="AT60">
        <f aca="true" t="shared" si="41" ref="AT60:AT66">Z60</f>
        <v>0.3409542014699335</v>
      </c>
      <c r="AU60">
        <f aca="true" t="shared" si="42" ref="AU60:AU66">AA60*COS(AQ$13)+(AB60-AQ$18)*SIN(AQ$13)</f>
        <v>1.1630430246220578</v>
      </c>
      <c r="AV60">
        <f aca="true" t="shared" si="43" ref="AV60:AV66">-AA60*SIN(AQ$13)+(AB60-AQ$18)*COS(AQ$13)+AQ$22</f>
        <v>6.932585015212206</v>
      </c>
      <c r="AW60">
        <f aca="true" t="shared" si="44" ref="AW60:AW65">(AT60^2+AU60^2+AV60^2)^0.5</f>
        <v>7.037730730694863</v>
      </c>
      <c r="AX60">
        <f aca="true" t="shared" si="45" ref="AX60:AX65">((AT60-AT$66)^2+(AU60-AU$66)^2+(AV60-AV$66)^2)^0.5</f>
        <v>0.3938572385568399</v>
      </c>
    </row>
    <row r="61" spans="6:50" ht="12.75">
      <c r="F61" t="s">
        <v>72</v>
      </c>
      <c r="G61">
        <f aca="true" t="shared" si="46" ref="G61:G66">ASIN(J61/G$2/COS(H61))</f>
        <v>0.08595745838520093</v>
      </c>
      <c r="H61">
        <f t="shared" si="32"/>
        <v>0.9645463174439947</v>
      </c>
      <c r="J61">
        <f aca="true" t="shared" si="47" ref="J61:J66">J37</f>
        <v>0.3409542014699335</v>
      </c>
      <c r="K61">
        <f aca="true" t="shared" si="48" ref="K61:K66">COS(H$67)*K37+SIN(H$67)*L37</f>
        <v>0.49174790253974265</v>
      </c>
      <c r="L61">
        <f aca="true" t="shared" si="49" ref="L61:L66">(-SIN(H$67)*K37+COS(H$67)*L37)</f>
        <v>6.944266284701917</v>
      </c>
      <c r="M61">
        <f t="shared" si="33"/>
        <v>6.97</v>
      </c>
      <c r="N61">
        <f t="shared" si="34"/>
        <v>0.393857228560832</v>
      </c>
      <c r="P61">
        <f aca="true" t="shared" si="50" ref="P61:P66">ASIN(J61/R61)</f>
        <v>0.04905926790165291</v>
      </c>
      <c r="Q61">
        <f aca="true" t="shared" si="51" ref="Q61:Q66">P61*180/PI()</f>
        <v>2.810888996766342</v>
      </c>
      <c r="R61">
        <f aca="true" t="shared" si="52" ref="R61:R66">G$2*COS(S61)</f>
        <v>6.9526314443056565</v>
      </c>
      <c r="S61">
        <f aca="true" t="shared" si="53" ref="S61:S66">ASIN(K61/M61)</f>
        <v>0.07061072777796173</v>
      </c>
      <c r="T61">
        <f aca="true" t="shared" si="54" ref="T61:T66">S61*180/PI()</f>
        <v>4.045696690024373</v>
      </c>
      <c r="Y61" t="s">
        <v>72</v>
      </c>
      <c r="Z61">
        <f t="shared" si="35"/>
        <v>0.3409542014699335</v>
      </c>
      <c r="AA61">
        <f t="shared" si="36"/>
        <v>1.5609311689459218</v>
      </c>
      <c r="AB61">
        <f t="shared" si="37"/>
        <v>6.784404477794135</v>
      </c>
      <c r="AC61">
        <f t="shared" si="38"/>
        <v>6.97</v>
      </c>
      <c r="AD61">
        <f t="shared" si="39"/>
        <v>0.39385722856083194</v>
      </c>
      <c r="AF61">
        <f aca="true" t="shared" si="55" ref="AF61:AF66">ASIN(Z61/AH61)</f>
        <v>0.05021333797468003</v>
      </c>
      <c r="AG61">
        <f aca="true" t="shared" si="56" ref="AG61:AG66">AF61*180/PI()</f>
        <v>2.8770123412131503</v>
      </c>
      <c r="AH61">
        <f t="shared" si="40"/>
        <v>6.792966501154934</v>
      </c>
      <c r="AI61">
        <f aca="true" t="shared" si="57" ref="AI61:AI66">ASIN(AA61/AC61)</f>
        <v>0.2258654894729351</v>
      </c>
      <c r="AJ61">
        <f aca="true" t="shared" si="58" ref="AJ61:AJ66">AI61*180/PI()</f>
        <v>12.941139284455708</v>
      </c>
      <c r="AS61" t="s">
        <v>72</v>
      </c>
      <c r="AT61">
        <f t="shared" si="41"/>
        <v>0.3409542014699335</v>
      </c>
      <c r="AU61">
        <f t="shared" si="42"/>
        <v>1.555958532057228</v>
      </c>
      <c r="AV61">
        <f t="shared" si="43"/>
        <v>6.957426392327066</v>
      </c>
      <c r="AW61">
        <f t="shared" si="44"/>
        <v>7.137439227456223</v>
      </c>
      <c r="AX61">
        <f t="shared" si="45"/>
        <v>0.39385722856083194</v>
      </c>
    </row>
    <row r="62" spans="6:50" ht="12.75">
      <c r="F62" t="s">
        <v>73</v>
      </c>
      <c r="G62">
        <f t="shared" si="46"/>
        <v>0.09898425129153501</v>
      </c>
      <c r="H62">
        <f t="shared" si="32"/>
        <v>1.5707963267947969</v>
      </c>
      <c r="J62">
        <f t="shared" si="47"/>
        <v>6.871361265101675E-14</v>
      </c>
      <c r="K62">
        <f t="shared" si="48"/>
        <v>0.688420855875823</v>
      </c>
      <c r="L62">
        <f t="shared" si="49"/>
        <v>6.935919313630689</v>
      </c>
      <c r="M62">
        <f t="shared" si="33"/>
        <v>6.970000000000001</v>
      </c>
      <c r="N62">
        <f t="shared" si="34"/>
        <v>0.3938572244285077</v>
      </c>
      <c r="P62">
        <f t="shared" si="50"/>
        <v>9.906922145991316E-15</v>
      </c>
      <c r="Q62">
        <f t="shared" si="51"/>
        <v>5.676248269299908E-13</v>
      </c>
      <c r="R62">
        <f t="shared" si="52"/>
        <v>6.935919313630688</v>
      </c>
      <c r="S62">
        <f t="shared" si="53"/>
        <v>0.09893042969481416</v>
      </c>
      <c r="T62">
        <f t="shared" si="54"/>
        <v>5.668296086928564</v>
      </c>
      <c r="Y62" t="s">
        <v>73</v>
      </c>
      <c r="Z62">
        <f t="shared" si="35"/>
        <v>6.871361265101675E-14</v>
      </c>
      <c r="AA62">
        <f t="shared" si="36"/>
        <v>1.7539404919782977</v>
      </c>
      <c r="AB62">
        <f t="shared" si="37"/>
        <v>6.74570921034986</v>
      </c>
      <c r="AC62">
        <f t="shared" si="38"/>
        <v>6.970000000000001</v>
      </c>
      <c r="AD62">
        <f t="shared" si="39"/>
        <v>0.3938572244285076</v>
      </c>
      <c r="AF62">
        <f t="shared" si="55"/>
        <v>1.018626959869398E-14</v>
      </c>
      <c r="AG62">
        <f t="shared" si="56"/>
        <v>5.836302569875838E-13</v>
      </c>
      <c r="AH62">
        <f t="shared" si="40"/>
        <v>6.745709210349859</v>
      </c>
      <c r="AI62">
        <f t="shared" si="57"/>
        <v>0.25437584796750584</v>
      </c>
      <c r="AJ62">
        <f t="shared" si="58"/>
        <v>14.574662498599565</v>
      </c>
      <c r="AS62" t="s">
        <v>73</v>
      </c>
      <c r="AT62">
        <f t="shared" si="41"/>
        <v>6.871361265101675E-14</v>
      </c>
      <c r="AU62">
        <f t="shared" si="42"/>
        <v>1.7524162857748131</v>
      </c>
      <c r="AV62">
        <f t="shared" si="43"/>
        <v>6.969847080884496</v>
      </c>
      <c r="AW62">
        <f t="shared" si="44"/>
        <v>7.186774740421667</v>
      </c>
      <c r="AX62">
        <f t="shared" si="45"/>
        <v>0.3938572244285076</v>
      </c>
    </row>
    <row r="63" spans="6:50" ht="12.75">
      <c r="F63" t="s">
        <v>74</v>
      </c>
      <c r="G63">
        <f t="shared" si="46"/>
        <v>-0.08595745838520093</v>
      </c>
      <c r="H63">
        <f t="shared" si="32"/>
        <v>-0.9645463174439947</v>
      </c>
      <c r="J63">
        <f t="shared" si="47"/>
        <v>-0.3409542014699335</v>
      </c>
      <c r="K63">
        <f t="shared" si="48"/>
        <v>0.49174790253974265</v>
      </c>
      <c r="L63">
        <f t="shared" si="49"/>
        <v>6.944266284701917</v>
      </c>
      <c r="M63">
        <f t="shared" si="33"/>
        <v>6.97</v>
      </c>
      <c r="N63">
        <f t="shared" si="34"/>
        <v>0.39385723029219144</v>
      </c>
      <c r="P63">
        <f t="shared" si="50"/>
        <v>-0.04905926790165291</v>
      </c>
      <c r="Q63">
        <f t="shared" si="51"/>
        <v>-2.810888996766342</v>
      </c>
      <c r="R63">
        <f t="shared" si="52"/>
        <v>6.9526314443056565</v>
      </c>
      <c r="S63">
        <f t="shared" si="53"/>
        <v>0.07061072777796173</v>
      </c>
      <c r="T63">
        <f t="shared" si="54"/>
        <v>4.045696690024373</v>
      </c>
      <c r="Y63" t="s">
        <v>74</v>
      </c>
      <c r="Z63">
        <f t="shared" si="35"/>
        <v>-0.3409542014699335</v>
      </c>
      <c r="AA63">
        <f t="shared" si="36"/>
        <v>1.5609311689459218</v>
      </c>
      <c r="AB63">
        <f t="shared" si="37"/>
        <v>6.784404477794135</v>
      </c>
      <c r="AC63">
        <f t="shared" si="38"/>
        <v>6.97</v>
      </c>
      <c r="AD63">
        <f t="shared" si="39"/>
        <v>0.39385723029219133</v>
      </c>
      <c r="AF63">
        <f t="shared" si="55"/>
        <v>-0.050213337974680035</v>
      </c>
      <c r="AG63">
        <f t="shared" si="56"/>
        <v>-2.8770123412131507</v>
      </c>
      <c r="AH63">
        <f t="shared" si="40"/>
        <v>6.792966501154934</v>
      </c>
      <c r="AI63">
        <f t="shared" si="57"/>
        <v>0.2258654894729351</v>
      </c>
      <c r="AJ63">
        <f t="shared" si="58"/>
        <v>12.941139284455708</v>
      </c>
      <c r="AS63" t="s">
        <v>74</v>
      </c>
      <c r="AT63">
        <f t="shared" si="41"/>
        <v>-0.3409542014699335</v>
      </c>
      <c r="AU63">
        <f t="shared" si="42"/>
        <v>1.555958532057228</v>
      </c>
      <c r="AV63">
        <f t="shared" si="43"/>
        <v>6.957426392327066</v>
      </c>
      <c r="AW63">
        <f t="shared" si="44"/>
        <v>7.137439227456223</v>
      </c>
      <c r="AX63">
        <f t="shared" si="45"/>
        <v>0.39385723029219133</v>
      </c>
    </row>
    <row r="64" spans="6:50" ht="12.75">
      <c r="F64" t="s">
        <v>75</v>
      </c>
      <c r="G64">
        <f t="shared" si="46"/>
        <v>-0.050935939909082704</v>
      </c>
      <c r="H64">
        <f t="shared" si="32"/>
        <v>-0.2809726205119131</v>
      </c>
      <c r="J64">
        <f t="shared" si="47"/>
        <v>-0.3409542014699335</v>
      </c>
      <c r="K64">
        <f t="shared" si="48"/>
        <v>0.09840199586758175</v>
      </c>
      <c r="L64">
        <f t="shared" si="49"/>
        <v>6.9609602268443735</v>
      </c>
      <c r="M64">
        <f t="shared" si="33"/>
        <v>6.97</v>
      </c>
      <c r="N64">
        <f t="shared" si="34"/>
        <v>0.3938572402881992</v>
      </c>
      <c r="P64">
        <f t="shared" si="50"/>
        <v>-0.04894180080077346</v>
      </c>
      <c r="Q64">
        <f t="shared" si="51"/>
        <v>-2.8041586276543122</v>
      </c>
      <c r="R64">
        <f t="shared" si="52"/>
        <v>6.969305348971967</v>
      </c>
      <c r="S64">
        <f t="shared" si="53"/>
        <v>0.01411840244049155</v>
      </c>
      <c r="T64">
        <f t="shared" si="54"/>
        <v>0.8089248733073672</v>
      </c>
      <c r="Y64" t="s">
        <v>75</v>
      </c>
      <c r="Z64">
        <f t="shared" si="35"/>
        <v>-0.3409542014699335</v>
      </c>
      <c r="AA64">
        <f t="shared" si="36"/>
        <v>1.1749125228811705</v>
      </c>
      <c r="AB64">
        <f t="shared" si="37"/>
        <v>6.861795012682687</v>
      </c>
      <c r="AC64">
        <f t="shared" si="38"/>
        <v>6.97</v>
      </c>
      <c r="AD64">
        <f t="shared" si="39"/>
        <v>0.39385724028819913</v>
      </c>
      <c r="AF64">
        <f t="shared" si="55"/>
        <v>-0.049647943923338926</v>
      </c>
      <c r="AG64">
        <f t="shared" si="56"/>
        <v>-2.844617648309503</v>
      </c>
      <c r="AH64">
        <f t="shared" si="40"/>
        <v>6.870260589204531</v>
      </c>
      <c r="AI64">
        <f t="shared" si="57"/>
        <v>0.16937576176992272</v>
      </c>
      <c r="AJ64">
        <f t="shared" si="58"/>
        <v>9.70451630122985</v>
      </c>
      <c r="AS64" t="s">
        <v>75</v>
      </c>
      <c r="AT64">
        <f t="shared" si="41"/>
        <v>-0.3409542014699335</v>
      </c>
      <c r="AU64">
        <f t="shared" si="42"/>
        <v>1.1630430246220578</v>
      </c>
      <c r="AV64">
        <f t="shared" si="43"/>
        <v>6.932585015212206</v>
      </c>
      <c r="AW64">
        <f t="shared" si="44"/>
        <v>7.037730730694863</v>
      </c>
      <c r="AX64">
        <f t="shared" si="45"/>
        <v>0.39385724028819924</v>
      </c>
    </row>
    <row r="65" spans="6:50" ht="12.75">
      <c r="F65" t="s">
        <v>76</v>
      </c>
      <c r="G65">
        <f t="shared" si="46"/>
        <v>0.013694480181298195</v>
      </c>
      <c r="H65">
        <f t="shared" si="32"/>
        <v>-1.5707963267948961</v>
      </c>
      <c r="J65">
        <f t="shared" si="47"/>
        <v>4.8234094669752367E-17</v>
      </c>
      <c r="K65">
        <f t="shared" si="48"/>
        <v>-0.09827095746849879</v>
      </c>
      <c r="L65">
        <f t="shared" si="49"/>
        <v>6.969307197915602</v>
      </c>
      <c r="M65">
        <f t="shared" si="33"/>
        <v>6.97</v>
      </c>
      <c r="N65">
        <f t="shared" si="34"/>
        <v>0.3938572444205234</v>
      </c>
      <c r="P65">
        <f t="shared" si="50"/>
        <v>6.920931062441665E-18</v>
      </c>
      <c r="Q65">
        <f t="shared" si="51"/>
        <v>3.965401401789002E-16</v>
      </c>
      <c r="R65">
        <f t="shared" si="52"/>
        <v>6.969307197915602</v>
      </c>
      <c r="S65">
        <f t="shared" si="53"/>
        <v>-0.014099600224899676</v>
      </c>
      <c r="T65">
        <f t="shared" si="54"/>
        <v>-0.8078475857084578</v>
      </c>
      <c r="Y65" t="s">
        <v>76</v>
      </c>
      <c r="Z65">
        <f t="shared" si="35"/>
        <v>4.8234094669752367E-17</v>
      </c>
      <c r="AA65">
        <f t="shared" si="36"/>
        <v>0.9819031998487946</v>
      </c>
      <c r="AB65">
        <f t="shared" si="37"/>
        <v>6.900490280126963</v>
      </c>
      <c r="AC65">
        <f t="shared" si="38"/>
        <v>6.97</v>
      </c>
      <c r="AD65">
        <f t="shared" si="39"/>
        <v>0.39385724442052344</v>
      </c>
      <c r="AF65">
        <f t="shared" si="55"/>
        <v>6.989951831200159E-18</v>
      </c>
      <c r="AG65">
        <f t="shared" si="56"/>
        <v>4.0049473892751033E-16</v>
      </c>
      <c r="AH65">
        <f t="shared" si="40"/>
        <v>6.900490280126963</v>
      </c>
      <c r="AI65">
        <f t="shared" si="57"/>
        <v>0.14134581804779198</v>
      </c>
      <c r="AJ65">
        <f t="shared" si="58"/>
        <v>8.098518825962541</v>
      </c>
      <c r="AS65" t="s">
        <v>76</v>
      </c>
      <c r="AT65">
        <f t="shared" si="41"/>
        <v>4.8234094669752367E-17</v>
      </c>
      <c r="AU65">
        <f t="shared" si="42"/>
        <v>0.9665852709044725</v>
      </c>
      <c r="AV65">
        <f t="shared" si="43"/>
        <v>6.920164326654776</v>
      </c>
      <c r="AW65">
        <f t="shared" si="44"/>
        <v>6.987342942337582</v>
      </c>
      <c r="AX65">
        <f t="shared" si="45"/>
        <v>0.39385724442052356</v>
      </c>
    </row>
    <row r="66" spans="6:49" ht="12.75">
      <c r="F66" t="s">
        <v>82</v>
      </c>
      <c r="G66">
        <f t="shared" si="46"/>
        <v>0.04241541483368024</v>
      </c>
      <c r="H66">
        <f>ATAN(K66/J66)</f>
        <v>1.5707963234113378</v>
      </c>
      <c r="J66">
        <f t="shared" si="47"/>
        <v>1E-09</v>
      </c>
      <c r="K66">
        <f t="shared" si="48"/>
        <v>0.2955468139862438</v>
      </c>
      <c r="L66">
        <f t="shared" si="49"/>
        <v>6.963731189580955</v>
      </c>
      <c r="M66">
        <f>(J66^2+K66^2+L66^2)^0.5</f>
        <v>6.97</v>
      </c>
      <c r="P66">
        <f t="shared" si="50"/>
        <v>1.4360117769855723E-10</v>
      </c>
      <c r="Q66">
        <f t="shared" si="51"/>
        <v>8.22774141523549E-09</v>
      </c>
      <c r="R66">
        <f t="shared" si="52"/>
        <v>6.963731189580955</v>
      </c>
      <c r="S66">
        <f t="shared" si="53"/>
        <v>0.04241541616967748</v>
      </c>
      <c r="T66">
        <f t="shared" si="54"/>
        <v>2.4302243328134674</v>
      </c>
      <c r="Y66" t="s">
        <v>82</v>
      </c>
      <c r="Z66">
        <f t="shared" si="35"/>
        <v>1E-09</v>
      </c>
      <c r="AA66">
        <f t="shared" si="36"/>
        <v>1.3701093015834211</v>
      </c>
      <c r="AB66">
        <f t="shared" si="37"/>
        <v>6.83401057225657</v>
      </c>
      <c r="AC66">
        <f>(Z66^2+AA66^2+AB66^2)^0.5</f>
        <v>6.969999999999999</v>
      </c>
      <c r="AF66">
        <f t="shared" si="55"/>
        <v>1.4632696122239138E-10</v>
      </c>
      <c r="AG66">
        <f t="shared" si="56"/>
        <v>8.383917307017484E-09</v>
      </c>
      <c r="AH66">
        <f t="shared" si="40"/>
        <v>6.834010572256571</v>
      </c>
      <c r="AI66">
        <f t="shared" si="57"/>
        <v>0.19786083444236918</v>
      </c>
      <c r="AJ66">
        <f t="shared" si="58"/>
        <v>11.33659074448447</v>
      </c>
      <c r="AS66" t="s">
        <v>82</v>
      </c>
      <c r="AT66">
        <f t="shared" si="41"/>
        <v>1E-09</v>
      </c>
      <c r="AU66">
        <f t="shared" si="42"/>
        <v>1.3587986460263652</v>
      </c>
      <c r="AV66">
        <f t="shared" si="43"/>
        <v>6.956111473384683</v>
      </c>
      <c r="AW66">
        <f>(AT66^2+AU66^2+AV66^2)^0.5</f>
        <v>7.087582139954154</v>
      </c>
    </row>
    <row r="67" spans="6:27" ht="12.75">
      <c r="F67" t="s">
        <v>245</v>
      </c>
      <c r="H67">
        <f>(0.375*L4)+0.008*2.54/100/G2</f>
        <v>0.04241541473495725</v>
      </c>
      <c r="Z67">
        <f>ACOS(AB66/(Z66^2+AA66^2+AB66^2)^0.5)</f>
        <v>0.19786083444236913</v>
      </c>
      <c r="AA67">
        <f>ATAN(Z66/AA66)</f>
        <v>7.298687767788383E-10</v>
      </c>
    </row>
    <row r="71" spans="7:47" ht="12.75">
      <c r="G71" t="s">
        <v>83</v>
      </c>
      <c r="H71" t="s">
        <v>83</v>
      </c>
      <c r="J71" t="s">
        <v>56</v>
      </c>
      <c r="K71" t="s">
        <v>55</v>
      </c>
      <c r="Q71" t="s">
        <v>248</v>
      </c>
      <c r="T71" t="s">
        <v>55</v>
      </c>
      <c r="Z71" t="s">
        <v>56</v>
      </c>
      <c r="AA71" t="s">
        <v>55</v>
      </c>
      <c r="AG71" t="s">
        <v>248</v>
      </c>
      <c r="AJ71" t="s">
        <v>55</v>
      </c>
      <c r="AT71" t="s">
        <v>56</v>
      </c>
      <c r="AU71" t="s">
        <v>55</v>
      </c>
    </row>
    <row r="72" spans="7:50" ht="12.75">
      <c r="G72" t="s">
        <v>33</v>
      </c>
      <c r="H72" t="s">
        <v>84</v>
      </c>
      <c r="J72" t="s">
        <v>36</v>
      </c>
      <c r="K72" t="s">
        <v>38</v>
      </c>
      <c r="L72" t="s">
        <v>78</v>
      </c>
      <c r="M72" t="s">
        <v>79</v>
      </c>
      <c r="N72" t="s">
        <v>81</v>
      </c>
      <c r="Q72" t="s">
        <v>247</v>
      </c>
      <c r="R72" t="s">
        <v>266</v>
      </c>
      <c r="S72" t="s">
        <v>46</v>
      </c>
      <c r="T72" t="s">
        <v>267</v>
      </c>
      <c r="Z72" t="s">
        <v>36</v>
      </c>
      <c r="AA72" t="s">
        <v>38</v>
      </c>
      <c r="AB72" t="s">
        <v>78</v>
      </c>
      <c r="AC72" t="s">
        <v>79</v>
      </c>
      <c r="AD72" t="s">
        <v>81</v>
      </c>
      <c r="AG72" t="s">
        <v>247</v>
      </c>
      <c r="AH72" t="s">
        <v>266</v>
      </c>
      <c r="AI72" t="s">
        <v>46</v>
      </c>
      <c r="AJ72" t="s">
        <v>267</v>
      </c>
      <c r="AT72" t="s">
        <v>36</v>
      </c>
      <c r="AU72" t="s">
        <v>38</v>
      </c>
      <c r="AV72" t="s">
        <v>78</v>
      </c>
      <c r="AW72" t="s">
        <v>79</v>
      </c>
      <c r="AX72" t="s">
        <v>81</v>
      </c>
    </row>
    <row r="73" spans="6:50" ht="12.75">
      <c r="F73" t="s">
        <v>85</v>
      </c>
      <c r="G73">
        <f>ASIN(J73/G$2/COS(H73))</f>
        <v>0.12122150932493356</v>
      </c>
      <c r="H73">
        <f aca="true" t="shared" si="59" ref="H73:H78">ATAN(K73/J73)</f>
        <v>-0.6229546192704492</v>
      </c>
      <c r="J73">
        <f>J36*COS(G$80)-SIN(G$80)*(-K36*SIN(H$80)+L36*COS(H$80))</f>
        <v>0.6845243887726076</v>
      </c>
      <c r="K73">
        <f>K36*COS(H$80)+L36*SIN(H$80)</f>
        <v>-0.4917479025397425</v>
      </c>
      <c r="L73">
        <f>J36*SIN(G$80)+COS(G$80)*(-K36*SIN(H$80)+L36*COS(H$80))</f>
        <v>6.918851809478452</v>
      </c>
      <c r="M73">
        <f aca="true" t="shared" si="60" ref="M73:M78">(J73^2+K73^2+L73^2)^0.5</f>
        <v>6.97</v>
      </c>
      <c r="N73">
        <f aca="true" t="shared" si="61" ref="N73:N78">((J73-J$79)^2+(K73-K$79)^2+(L73-L$79)^2)^0.5</f>
        <v>0.3938572385568398</v>
      </c>
      <c r="P73">
        <f>ASIN(J73/R73)</f>
        <v>0.09861520051731064</v>
      </c>
      <c r="Q73">
        <f>P73*180/PI()</f>
        <v>5.650234785478232</v>
      </c>
      <c r="R73">
        <f>G$2*COS(S73)</f>
        <v>6.9526314443056565</v>
      </c>
      <c r="S73">
        <f>ASIN(K73/M73)</f>
        <v>-0.07061072777796171</v>
      </c>
      <c r="T73">
        <f>S73*180/PI()</f>
        <v>-4.045696690024371</v>
      </c>
      <c r="Y73" t="s">
        <v>85</v>
      </c>
      <c r="Z73">
        <f aca="true" t="shared" si="62" ref="Z73:Z79">J73</f>
        <v>0.6845243887726076</v>
      </c>
      <c r="AA73">
        <f aca="true" t="shared" si="63" ref="AA73:AA79">K73*COS(X$45)+L73*SIN(X$45)</f>
        <v>0.5853590250961611</v>
      </c>
      <c r="AB73">
        <f aca="true" t="shared" si="64" ref="AB73:AB79">-K73*SIN(X$45)+L73*COS(X$45)</f>
        <v>6.911561413524006</v>
      </c>
      <c r="AC73">
        <f aca="true" t="shared" si="65" ref="AC73:AC78">(Z73^2+AA73^2+AB73^2)^0.5</f>
        <v>6.97</v>
      </c>
      <c r="AD73">
        <f aca="true" t="shared" si="66" ref="AD73:AD78">((Z73-Z$79)^2+(AA73-AA$79)^2+(AB73-AB$79)^2)^0.5</f>
        <v>0.3938572385568399</v>
      </c>
      <c r="AF73">
        <f>ASIN(Z73/AH73)</f>
        <v>0.09871854684316027</v>
      </c>
      <c r="AG73">
        <f>AF73*180/PI()</f>
        <v>5.656156093777599</v>
      </c>
      <c r="AH73">
        <f aca="true" t="shared" si="67" ref="AH73:AH79">G$2*COS(AI73)</f>
        <v>6.945376506118187</v>
      </c>
      <c r="AI73">
        <f>ASIN(AA73/AC73)</f>
        <v>0.08408168092154104</v>
      </c>
      <c r="AJ73">
        <f>AI73*180/PI()</f>
        <v>4.817525451169956</v>
      </c>
      <c r="AS73" t="s">
        <v>85</v>
      </c>
      <c r="AT73">
        <f aca="true" t="shared" si="68" ref="AT73:AT79">Z73</f>
        <v>0.6845243887726076</v>
      </c>
      <c r="AU73">
        <f aca="true" t="shared" si="69" ref="AU73:AU79">AA73*COS(AQ$13)+(AB73-AQ$18)*SIN(AQ$13)</f>
        <v>0.5806142192310778</v>
      </c>
      <c r="AV73">
        <f aca="true" t="shared" si="70" ref="AV73:AV79">-AA73*SIN(AQ$13)+(AB73-AQ$18)*COS(AQ$13)+AQ$22</f>
        <v>6.8285335469185116</v>
      </c>
      <c r="AW73">
        <f aca="true" t="shared" si="71" ref="AW73:AW78">(AT73^2+AU73^2+AV73^2)^0.5</f>
        <v>6.887274998995563</v>
      </c>
      <c r="AX73">
        <f aca="true" t="shared" si="72" ref="AX73:AX78">((AT73-AT$79)^2+(AU73-AU$79)^2+(AV73-AV$79)^2)^0.5</f>
        <v>0.3938572385568399</v>
      </c>
    </row>
    <row r="74" spans="6:50" ht="12.75">
      <c r="F74" t="s">
        <v>86</v>
      </c>
      <c r="G74">
        <f aca="true" t="shared" si="73" ref="G74:G79">ASIN(J74/G$2/COS(H74))</f>
        <v>0.09950119462559646</v>
      </c>
      <c r="H74">
        <f t="shared" si="59"/>
        <v>-0.14260431246525937</v>
      </c>
      <c r="J74">
        <f aca="true" t="shared" si="74" ref="J74:J79">J37*COS(G$80)-SIN(G$80)*(-K37*SIN(H$80)+L37*COS(H$80))</f>
        <v>0.6853513340801107</v>
      </c>
      <c r="K74">
        <f aca="true" t="shared" si="75" ref="K74:K79">K37*COS(H$80)+L37*SIN(H$80)</f>
        <v>-0.09840199586758161</v>
      </c>
      <c r="L74">
        <f aca="true" t="shared" si="76" ref="L74:L79">J37*SIN(G$80)+COS(G$80)*(-K37*SIN(H$80)+L37*COS(H$80))</f>
        <v>6.935525257403644</v>
      </c>
      <c r="M74">
        <f t="shared" si="60"/>
        <v>6.97</v>
      </c>
      <c r="N74">
        <f t="shared" si="61"/>
        <v>0.39385722856083205</v>
      </c>
      <c r="P74">
        <f aca="true" t="shared" si="77" ref="P74:P79">ASIN(J74/R74)</f>
        <v>0.09849773341643119</v>
      </c>
      <c r="Q74">
        <f aca="true" t="shared" si="78" ref="Q74:Q79">P74*180/PI()</f>
        <v>5.643504416366202</v>
      </c>
      <c r="R74">
        <f aca="true" t="shared" si="79" ref="R74:R79">G$2*COS(S74)</f>
        <v>6.969305348971967</v>
      </c>
      <c r="S74">
        <f aca="true" t="shared" si="80" ref="S74:S79">ASIN(K74/M74)</f>
        <v>-0.01411840244049153</v>
      </c>
      <c r="T74">
        <f aca="true" t="shared" si="81" ref="T74:T79">S74*180/PI()</f>
        <v>-0.8089248733073661</v>
      </c>
      <c r="Y74" t="s">
        <v>86</v>
      </c>
      <c r="Z74">
        <f t="shared" si="62"/>
        <v>0.6853513340801107</v>
      </c>
      <c r="AA74">
        <f t="shared" si="63"/>
        <v>0.9765436159084392</v>
      </c>
      <c r="AB74">
        <f t="shared" si="64"/>
        <v>6.867135947038116</v>
      </c>
      <c r="AC74">
        <f t="shared" si="65"/>
        <v>6.97</v>
      </c>
      <c r="AD74">
        <f t="shared" si="66"/>
        <v>0.393857228560832</v>
      </c>
      <c r="AF74">
        <f aca="true" t="shared" si="82" ref="AF74:AF79">ASIN(Z74/AH74)</f>
        <v>0.09947223882183108</v>
      </c>
      <c r="AG74">
        <f aca="true" t="shared" si="83" ref="AG74:AG79">AF74*180/PI()</f>
        <v>5.699339463208302</v>
      </c>
      <c r="AH74">
        <f t="shared" si="67"/>
        <v>6.901250797227156</v>
      </c>
      <c r="AI74">
        <f aca="true" t="shared" si="84" ref="AI74:AI79">ASIN(AA74/AC74)</f>
        <v>0.14056916477761214</v>
      </c>
      <c r="AJ74">
        <f aca="true" t="shared" si="85" ref="AJ74:AJ79">AI74*180/PI()</f>
        <v>8.054019871436203</v>
      </c>
      <c r="AS74" t="s">
        <v>86</v>
      </c>
      <c r="AT74">
        <f t="shared" si="68"/>
        <v>0.6853513340801107</v>
      </c>
      <c r="AU74">
        <f t="shared" si="69"/>
        <v>0.9700141824907871</v>
      </c>
      <c r="AV74">
        <f t="shared" si="70"/>
        <v>6.886556600740208</v>
      </c>
      <c r="AW74">
        <f t="shared" si="71"/>
        <v>6.988225510138979</v>
      </c>
      <c r="AX74">
        <f t="shared" si="72"/>
        <v>0.39385722856083205</v>
      </c>
    </row>
    <row r="75" spans="6:50" ht="12.75">
      <c r="F75" t="s">
        <v>29</v>
      </c>
      <c r="G75">
        <f t="shared" si="73"/>
        <v>0.05152112594946208</v>
      </c>
      <c r="H75">
        <f t="shared" si="59"/>
        <v>0.27731936627764914</v>
      </c>
      <c r="J75">
        <f t="shared" si="74"/>
        <v>0.345229175630577</v>
      </c>
      <c r="K75">
        <f t="shared" si="75"/>
        <v>0.09827095746849879</v>
      </c>
      <c r="L75">
        <f t="shared" si="76"/>
        <v>6.960751370018301</v>
      </c>
      <c r="M75">
        <f t="shared" si="60"/>
        <v>6.97</v>
      </c>
      <c r="N75">
        <f t="shared" si="61"/>
        <v>0.3938572244285077</v>
      </c>
      <c r="P75">
        <f t="shared" si="77"/>
        <v>0.04955593261566759</v>
      </c>
      <c r="Q75">
        <f t="shared" si="78"/>
        <v>2.839345788712455</v>
      </c>
      <c r="R75">
        <f t="shared" si="79"/>
        <v>6.969307197915602</v>
      </c>
      <c r="S75">
        <f t="shared" si="80"/>
        <v>0.014099600224899676</v>
      </c>
      <c r="T75">
        <f t="shared" si="81"/>
        <v>0.8078475857084578</v>
      </c>
      <c r="Y75" t="s">
        <v>29</v>
      </c>
      <c r="Z75">
        <f t="shared" si="62"/>
        <v>0.345229175630577</v>
      </c>
      <c r="AA75">
        <f t="shared" si="63"/>
        <v>1.1747507292077115</v>
      </c>
      <c r="AB75">
        <f t="shared" si="64"/>
        <v>6.861608961498707</v>
      </c>
      <c r="AC75">
        <f t="shared" si="65"/>
        <v>6.969999999999999</v>
      </c>
      <c r="AD75">
        <f t="shared" si="66"/>
        <v>0.3938572244285077</v>
      </c>
      <c r="AF75">
        <f t="shared" si="82"/>
        <v>0.050270762048748543</v>
      </c>
      <c r="AG75">
        <f t="shared" si="83"/>
        <v>2.880302498299723</v>
      </c>
      <c r="AH75">
        <f t="shared" si="67"/>
        <v>6.87028825626887</v>
      </c>
      <c r="AI75">
        <f t="shared" si="84"/>
        <v>0.16935221195757227</v>
      </c>
      <c r="AJ75">
        <f t="shared" si="85"/>
        <v>9.703166996373845</v>
      </c>
      <c r="AS75" t="s">
        <v>29</v>
      </c>
      <c r="AT75">
        <f t="shared" si="68"/>
        <v>0.345229175630577</v>
      </c>
      <c r="AU75">
        <f t="shared" si="69"/>
        <v>1.162934720424792</v>
      </c>
      <c r="AV75">
        <f t="shared" si="70"/>
        <v>6.932363514790793</v>
      </c>
      <c r="AW75">
        <f t="shared" si="71"/>
        <v>7.037703052053177</v>
      </c>
      <c r="AX75">
        <f t="shared" si="72"/>
        <v>0.3938572244285078</v>
      </c>
    </row>
    <row r="76" spans="6:50" ht="12.75">
      <c r="F76" t="s">
        <v>87</v>
      </c>
      <c r="G76">
        <f t="shared" si="73"/>
        <v>0.014131752201969109</v>
      </c>
      <c r="H76">
        <f t="shared" si="59"/>
        <v>-1.5273279422009982</v>
      </c>
      <c r="J76">
        <f t="shared" si="74"/>
        <v>0.0042800718734029575</v>
      </c>
      <c r="K76">
        <f t="shared" si="75"/>
        <v>-0.09840199586758161</v>
      </c>
      <c r="L76">
        <f t="shared" si="76"/>
        <v>6.969304034707773</v>
      </c>
      <c r="M76">
        <f t="shared" si="60"/>
        <v>6.970000000000001</v>
      </c>
      <c r="N76">
        <f t="shared" si="61"/>
        <v>0.39385723029219144</v>
      </c>
      <c r="P76">
        <f t="shared" si="77"/>
        <v>0.0006141318148842663</v>
      </c>
      <c r="Q76">
        <f t="shared" si="78"/>
        <v>0.035187161057578006</v>
      </c>
      <c r="R76">
        <f t="shared" si="79"/>
        <v>6.969305348971967</v>
      </c>
      <c r="S76">
        <f t="shared" si="80"/>
        <v>-0.014118402440491529</v>
      </c>
      <c r="T76">
        <f t="shared" si="81"/>
        <v>-0.8089248733073661</v>
      </c>
      <c r="Y76" t="s">
        <v>87</v>
      </c>
      <c r="Z76">
        <f t="shared" si="62"/>
        <v>0.0042800718734029575</v>
      </c>
      <c r="AA76">
        <f t="shared" si="63"/>
        <v>0.981773251694707</v>
      </c>
      <c r="AB76">
        <f t="shared" si="64"/>
        <v>6.900507442445198</v>
      </c>
      <c r="AC76">
        <f t="shared" si="65"/>
        <v>6.970000000000001</v>
      </c>
      <c r="AD76">
        <f t="shared" si="66"/>
        <v>0.39385723029219133</v>
      </c>
      <c r="AF76">
        <f t="shared" si="82"/>
        <v>0.0006202545769613661</v>
      </c>
      <c r="AG76">
        <f t="shared" si="83"/>
        <v>0.035537969483558585</v>
      </c>
      <c r="AH76">
        <f t="shared" si="67"/>
        <v>6.900508769812324</v>
      </c>
      <c r="AI76">
        <f t="shared" si="84"/>
        <v>0.14132698634530239</v>
      </c>
      <c r="AJ76">
        <f t="shared" si="85"/>
        <v>8.097439848888841</v>
      </c>
      <c r="AS76" t="s">
        <v>87</v>
      </c>
      <c r="AT76">
        <f t="shared" si="68"/>
        <v>0.0042800718734029575</v>
      </c>
      <c r="AU76">
        <f t="shared" si="69"/>
        <v>0.966455295099086</v>
      </c>
      <c r="AV76">
        <f t="shared" si="70"/>
        <v>6.92014737501969</v>
      </c>
      <c r="AW76">
        <f t="shared" si="71"/>
        <v>6.987309485662719</v>
      </c>
      <c r="AX76">
        <f t="shared" si="72"/>
        <v>0.3938572302921913</v>
      </c>
    </row>
    <row r="77" spans="6:50" ht="12.75">
      <c r="F77" t="s">
        <v>88</v>
      </c>
      <c r="G77">
        <f t="shared" si="73"/>
        <v>0.07061247158307277</v>
      </c>
      <c r="H77">
        <f t="shared" si="59"/>
        <v>-1.563774294181831</v>
      </c>
      <c r="J77">
        <f t="shared" si="74"/>
        <v>0.0034531265658998556</v>
      </c>
      <c r="K77">
        <f t="shared" si="75"/>
        <v>-0.4917479025397425</v>
      </c>
      <c r="L77">
        <f t="shared" si="76"/>
        <v>6.952630586782581</v>
      </c>
      <c r="M77">
        <f t="shared" si="60"/>
        <v>6.970000000000001</v>
      </c>
      <c r="N77">
        <f t="shared" si="61"/>
        <v>0.39385724028819913</v>
      </c>
      <c r="P77">
        <f t="shared" si="77"/>
        <v>0.000496664714004823</v>
      </c>
      <c r="Q77">
        <f t="shared" si="78"/>
        <v>0.02845679194554843</v>
      </c>
      <c r="R77">
        <f t="shared" si="79"/>
        <v>6.9526314443056565</v>
      </c>
      <c r="S77">
        <f t="shared" si="80"/>
        <v>-0.0706107277779617</v>
      </c>
      <c r="T77">
        <f t="shared" si="81"/>
        <v>-4.0456966900243705</v>
      </c>
      <c r="Y77" t="s">
        <v>88</v>
      </c>
      <c r="Z77">
        <f t="shared" si="62"/>
        <v>0.0034531265658998556</v>
      </c>
      <c r="AA77">
        <f t="shared" si="63"/>
        <v>0.5905886608824289</v>
      </c>
      <c r="AB77">
        <f t="shared" si="64"/>
        <v>6.944932908931088</v>
      </c>
      <c r="AC77">
        <f t="shared" si="65"/>
        <v>6.970000000000001</v>
      </c>
      <c r="AD77">
        <f t="shared" si="66"/>
        <v>0.3938572402881993</v>
      </c>
      <c r="AF77">
        <f t="shared" si="82"/>
        <v>0.0004972152109482749</v>
      </c>
      <c r="AG77">
        <f t="shared" si="83"/>
        <v>0.028488333097043076</v>
      </c>
      <c r="AH77">
        <f t="shared" si="67"/>
        <v>6.944933767404632</v>
      </c>
      <c r="AI77">
        <f t="shared" si="84"/>
        <v>0.08483467137836882</v>
      </c>
      <c r="AJ77">
        <f t="shared" si="85"/>
        <v>4.860668626359816</v>
      </c>
      <c r="AS77" t="s">
        <v>88</v>
      </c>
      <c r="AT77">
        <f t="shared" si="68"/>
        <v>0.0034531265658998556</v>
      </c>
      <c r="AU77">
        <f t="shared" si="69"/>
        <v>0.5770553318393767</v>
      </c>
      <c r="AV77">
        <f t="shared" si="70"/>
        <v>6.862124321197994</v>
      </c>
      <c r="AW77">
        <f t="shared" si="71"/>
        <v>6.886345546054479</v>
      </c>
      <c r="AX77">
        <f t="shared" si="72"/>
        <v>0.3938572402881993</v>
      </c>
    </row>
    <row r="78" spans="6:50" ht="12.75">
      <c r="F78" t="s">
        <v>89</v>
      </c>
      <c r="G78">
        <f t="shared" si="73"/>
        <v>0.11061194347699806</v>
      </c>
      <c r="H78">
        <f t="shared" si="59"/>
        <v>-1.1078870769339753</v>
      </c>
      <c r="J78">
        <f>J41*COS(G$80)-SIN(G$80)*(-K41*SIN(H$80)+L41*COS(H$80))</f>
        <v>0.3435752850155023</v>
      </c>
      <c r="K78">
        <f t="shared" si="75"/>
        <v>-0.688420855875823</v>
      </c>
      <c r="L78">
        <f t="shared" si="76"/>
        <v>6.92740447416792</v>
      </c>
      <c r="M78">
        <f t="shared" si="60"/>
        <v>6.97</v>
      </c>
      <c r="N78">
        <f t="shared" si="61"/>
        <v>0.39385724442052333</v>
      </c>
      <c r="P78">
        <f t="shared" si="77"/>
        <v>0.049555932615657744</v>
      </c>
      <c r="Q78">
        <f t="shared" si="78"/>
        <v>2.839345788711891</v>
      </c>
      <c r="R78">
        <f t="shared" si="79"/>
        <v>6.935919313630688</v>
      </c>
      <c r="S78">
        <f t="shared" si="80"/>
        <v>-0.09893042969481418</v>
      </c>
      <c r="T78">
        <f t="shared" si="81"/>
        <v>-5.6682960869285655</v>
      </c>
      <c r="Y78" t="s">
        <v>89</v>
      </c>
      <c r="Z78">
        <f t="shared" si="62"/>
        <v>0.3435752850155023</v>
      </c>
      <c r="AA78">
        <f t="shared" si="63"/>
        <v>0.392381547583156</v>
      </c>
      <c r="AB78">
        <f t="shared" si="64"/>
        <v>6.950459894470493</v>
      </c>
      <c r="AC78">
        <f t="shared" si="65"/>
        <v>6.970000000000001</v>
      </c>
      <c r="AD78">
        <f t="shared" si="66"/>
        <v>0.39385724442052344</v>
      </c>
      <c r="AF78">
        <f t="shared" si="82"/>
        <v>0.04939181793584268</v>
      </c>
      <c r="AG78">
        <f t="shared" si="83"/>
        <v>2.829942710202347</v>
      </c>
      <c r="AH78">
        <f t="shared" si="67"/>
        <v>6.958946523800584</v>
      </c>
      <c r="AI78">
        <f t="shared" si="84"/>
        <v>0.056325552451028195</v>
      </c>
      <c r="AJ78">
        <f t="shared" si="85"/>
        <v>3.227216434186665</v>
      </c>
      <c r="AS78" t="s">
        <v>89</v>
      </c>
      <c r="AT78">
        <f t="shared" si="68"/>
        <v>0.3435752850155023</v>
      </c>
      <c r="AU78">
        <f t="shared" si="69"/>
        <v>0.38413479390537253</v>
      </c>
      <c r="AV78">
        <f t="shared" si="70"/>
        <v>6.816317407147405</v>
      </c>
      <c r="AW78">
        <f t="shared" si="71"/>
        <v>6.835772561411251</v>
      </c>
      <c r="AX78">
        <f t="shared" si="72"/>
        <v>0.3938572444205235</v>
      </c>
    </row>
    <row r="79" spans="6:49" ht="12.75">
      <c r="F79" t="s">
        <v>90</v>
      </c>
      <c r="G79">
        <f t="shared" si="73"/>
        <v>0.06521797780179456</v>
      </c>
      <c r="H79">
        <f>ATAN(K79/J79)</f>
        <v>-0.7084137016785044</v>
      </c>
      <c r="J79">
        <f t="shared" si="74"/>
        <v>0.3449529654632007</v>
      </c>
      <c r="K79">
        <f t="shared" si="75"/>
        <v>-0.2955467940042317</v>
      </c>
      <c r="L79">
        <f t="shared" si="76"/>
        <v>6.9551822078340955</v>
      </c>
      <c r="M79">
        <f>(J79^2+K79^2+L79^2)^0.5</f>
        <v>6.97</v>
      </c>
      <c r="P79">
        <f t="shared" si="77"/>
        <v>0.0495559327592589</v>
      </c>
      <c r="Q79">
        <f t="shared" si="78"/>
        <v>2.8393457969396314</v>
      </c>
      <c r="R79">
        <f t="shared" si="79"/>
        <v>6.963731190429009</v>
      </c>
      <c r="S79">
        <f t="shared" si="80"/>
        <v>-0.04241541330023702</v>
      </c>
      <c r="T79">
        <f t="shared" si="81"/>
        <v>-2.4302241684066397</v>
      </c>
      <c r="Y79" t="s">
        <v>90</v>
      </c>
      <c r="Z79">
        <f t="shared" si="62"/>
        <v>0.3449529654632007</v>
      </c>
      <c r="AA79">
        <f t="shared" si="63"/>
        <v>0.784819150105001</v>
      </c>
      <c r="AB79">
        <f t="shared" si="64"/>
        <v>6.91707787676607</v>
      </c>
      <c r="AC79">
        <f>(Z79^2+AA79^2+AB79^2)^0.5</f>
        <v>6.97</v>
      </c>
      <c r="AF79">
        <f t="shared" si="82"/>
        <v>0.04982847272268631</v>
      </c>
      <c r="AG79">
        <f t="shared" si="83"/>
        <v>2.854961186592672</v>
      </c>
      <c r="AH79">
        <f t="shared" si="67"/>
        <v>6.925673895125908</v>
      </c>
      <c r="AI79">
        <f t="shared" si="84"/>
        <v>0.11283889444177524</v>
      </c>
      <c r="AJ79">
        <f t="shared" si="85"/>
        <v>6.465192416435924</v>
      </c>
      <c r="AS79" t="s">
        <v>90</v>
      </c>
      <c r="AT79">
        <f t="shared" si="68"/>
        <v>0.3449529654632007</v>
      </c>
      <c r="AU79">
        <f t="shared" si="69"/>
        <v>0.771895605628903</v>
      </c>
      <c r="AV79">
        <f t="shared" si="70"/>
        <v>6.885333230482498</v>
      </c>
      <c r="AW79">
        <f>(AT79^2+AU79^2+AV79^2)^0.5</f>
        <v>6.937047575817656</v>
      </c>
    </row>
    <row r="80" spans="6:27" ht="12.75">
      <c r="F80" t="s">
        <v>296</v>
      </c>
      <c r="G80">
        <f>0.5*D33</f>
        <v>-0.04955593261565773</v>
      </c>
      <c r="H80">
        <f>-0.375*L4-0.008*2.54/100/G2</f>
        <v>-0.04241541473495725</v>
      </c>
      <c r="Z80">
        <f>ACOS(AB79/(Z79^2+AA79^2+AB79^2)^0.5)</f>
        <v>0.12330833004252639</v>
      </c>
      <c r="AA80">
        <f>ATAN(Z79/AA79)</f>
        <v>0.41411453936127596</v>
      </c>
    </row>
    <row r="84" spans="7:47" ht="12.75">
      <c r="G84" t="s">
        <v>83</v>
      </c>
      <c r="H84" t="s">
        <v>83</v>
      </c>
      <c r="J84" t="s">
        <v>56</v>
      </c>
      <c r="K84" t="s">
        <v>55</v>
      </c>
      <c r="Q84" t="s">
        <v>248</v>
      </c>
      <c r="T84" t="s">
        <v>55</v>
      </c>
      <c r="Z84" t="s">
        <v>56</v>
      </c>
      <c r="AA84" t="s">
        <v>55</v>
      </c>
      <c r="AG84" t="s">
        <v>248</v>
      </c>
      <c r="AJ84" t="s">
        <v>55</v>
      </c>
      <c r="AT84" t="s">
        <v>56</v>
      </c>
      <c r="AU84" t="s">
        <v>55</v>
      </c>
    </row>
    <row r="85" spans="7:50" ht="12.75">
      <c r="G85" t="s">
        <v>33</v>
      </c>
      <c r="H85" t="s">
        <v>84</v>
      </c>
      <c r="J85" t="s">
        <v>36</v>
      </c>
      <c r="K85" t="s">
        <v>38</v>
      </c>
      <c r="L85" t="s">
        <v>78</v>
      </c>
      <c r="M85" t="s">
        <v>79</v>
      </c>
      <c r="N85" t="s">
        <v>81</v>
      </c>
      <c r="Q85" t="s">
        <v>247</v>
      </c>
      <c r="R85" t="s">
        <v>266</v>
      </c>
      <c r="S85" t="s">
        <v>46</v>
      </c>
      <c r="T85" t="s">
        <v>267</v>
      </c>
      <c r="Z85" t="s">
        <v>36</v>
      </c>
      <c r="AA85" t="s">
        <v>38</v>
      </c>
      <c r="AB85" t="s">
        <v>78</v>
      </c>
      <c r="AC85" t="s">
        <v>79</v>
      </c>
      <c r="AD85" t="s">
        <v>81</v>
      </c>
      <c r="AG85" t="s">
        <v>247</v>
      </c>
      <c r="AH85" t="s">
        <v>266</v>
      </c>
      <c r="AI85" t="s">
        <v>46</v>
      </c>
      <c r="AJ85" t="s">
        <v>267</v>
      </c>
      <c r="AT85" t="s">
        <v>36</v>
      </c>
      <c r="AU85" t="s">
        <v>38</v>
      </c>
      <c r="AV85" t="s">
        <v>78</v>
      </c>
      <c r="AW85" t="s">
        <v>79</v>
      </c>
      <c r="AX85" t="s">
        <v>81</v>
      </c>
    </row>
    <row r="86" spans="6:50" ht="12.75">
      <c r="F86" t="s">
        <v>91</v>
      </c>
      <c r="G86">
        <f>ASIN(J86/G$2/COS(H86))</f>
        <v>0.139537945488669</v>
      </c>
      <c r="H86">
        <f aca="true" t="shared" si="86" ref="H86:H91">ATAN(K86/J86)</f>
        <v>0.7880013519052125</v>
      </c>
      <c r="J86">
        <f>J36*COS(G$93)-SIN(G$93)*(-K36*SIN(H$93)+L36*COS(H$93))</f>
        <v>0.6837012027175067</v>
      </c>
      <c r="K86">
        <f>K36*COS(H$93)+L36*SIN(H$93)</f>
        <v>0.6872701075385119</v>
      </c>
      <c r="L86">
        <f>J36*SIN(G$93)+COS(G$93)*(-K36*SIN(H$93)+L36*COS(H$93))</f>
        <v>6.902254158221546</v>
      </c>
      <c r="M86">
        <f aca="true" t="shared" si="87" ref="M86:M91">(J86^2+K86^2+L86^2)^0.5</f>
        <v>6.97</v>
      </c>
      <c r="N86">
        <f aca="true" t="shared" si="88" ref="N86:N91">((J86-J$92)^2+(K86-K$92)^2+(L86-L$92)^2)^0.5</f>
        <v>0.39385723855683985</v>
      </c>
      <c r="P86">
        <f>ASIN(J86/R86)</f>
        <v>0.09873269454265095</v>
      </c>
      <c r="Q86">
        <f>P86*180/PI()</f>
        <v>5.656966697248235</v>
      </c>
      <c r="R86">
        <f>G$2*COS(S86)</f>
        <v>6.936033434123858</v>
      </c>
      <c r="S86">
        <f>ASIN(K86/M86)</f>
        <v>0.0987645196235219</v>
      </c>
      <c r="T86">
        <f>S86*180/PI()</f>
        <v>5.658790140064803</v>
      </c>
      <c r="Y86" t="s">
        <v>91</v>
      </c>
      <c r="Z86">
        <f aca="true" t="shared" si="89" ref="Z86:Z92">J86</f>
        <v>0.6837012027175067</v>
      </c>
      <c r="AA86">
        <f aca="true" t="shared" si="90" ref="AA86:AA92">K86*COS(X$45)+L86*SIN(X$45)</f>
        <v>1.7475915737684904</v>
      </c>
      <c r="AB86">
        <f aca="true" t="shared" si="91" ref="AB86:AB92">-K86*SIN(X$45)+L86*COS(X$45)</f>
        <v>6.712628125905382</v>
      </c>
      <c r="AC86">
        <f aca="true" t="shared" si="92" ref="AC86:AC91">(Z86^2+AA86^2+AB86^2)^0.5</f>
        <v>6.97</v>
      </c>
      <c r="AD86">
        <f aca="true" t="shared" si="93" ref="AD86:AD91">((Z86-Z$92)^2+(AA86-AA$92)^2+(AB86-AB$92)^2)^0.5</f>
        <v>0.3938572385568399</v>
      </c>
      <c r="AF86">
        <f>ASIN(Z86/AH86)</f>
        <v>0.10150295117774467</v>
      </c>
      <c r="AG86">
        <f>AF86*180/PI()</f>
        <v>5.815690710607218</v>
      </c>
      <c r="AH86">
        <f aca="true" t="shared" si="94" ref="AH86:AH92">G$2*COS(AI86)</f>
        <v>6.747356792944432</v>
      </c>
      <c r="AI86">
        <f>ASIN(AA86/AC86)</f>
        <v>0.2534347842033909</v>
      </c>
      <c r="AJ86">
        <f>AI86*180/PI()</f>
        <v>14.520743516663083</v>
      </c>
      <c r="AS86" t="s">
        <v>91</v>
      </c>
      <c r="AT86">
        <f aca="true" t="shared" si="95" ref="AT86:AT92">Z86</f>
        <v>0.6837012027175067</v>
      </c>
      <c r="AU86">
        <f aca="true" t="shared" si="96" ref="AU86:AU92">AA86*COS(AQ$13)+(AB86-AQ$18)*SIN(AQ$13)</f>
        <v>1.754818858512821</v>
      </c>
      <c r="AV86">
        <f aca="true" t="shared" si="97" ref="AV86:AV92">-AA86*SIN(AQ$13)+(AB86-AQ$18)*COS(AQ$13)+AQ$22</f>
        <v>6.936248054787062</v>
      </c>
      <c r="AW86">
        <f aca="true" t="shared" si="98" ref="AW86:AW91">(AT86^2+AU86^2+AV86^2)^0.5</f>
        <v>7.18737599116165</v>
      </c>
      <c r="AX86">
        <f aca="true" t="shared" si="99" ref="AX86:AX91">((AT86-AT$92)^2+(AU86-AU$92)^2+(AV86-AV$92)^2)^0.5</f>
        <v>0.39385723855683985</v>
      </c>
    </row>
    <row r="87" spans="6:50" ht="12.75">
      <c r="F87" t="s">
        <v>92</v>
      </c>
      <c r="G87">
        <f aca="true" t="shared" si="100" ref="G87:G92">ASIN(J87/G$2/COS(H87))</f>
        <v>0.1839672956104014</v>
      </c>
      <c r="H87">
        <f t="shared" si="86"/>
        <v>1.0071367929799544</v>
      </c>
      <c r="J87">
        <f aca="true" t="shared" si="101" ref="J87:J92">J37*COS(G$93)-SIN(G$93)*(-K37*SIN(H$93)+L37*COS(H$93))</f>
        <v>0.6812279172149327</v>
      </c>
      <c r="K87">
        <f aca="true" t="shared" si="102" ref="K87:K92">K37*COS(H$93)+L37*SIN(H$93)</f>
        <v>1.0777912270297079</v>
      </c>
      <c r="L87">
        <f aca="true" t="shared" si="103" ref="L87:L92">J37*SIN(G$93)+COS(G$93)*(-K37*SIN(H$93)+L37*COS(H$93))</f>
        <v>6.85238605127767</v>
      </c>
      <c r="M87">
        <f t="shared" si="87"/>
        <v>6.969999999999999</v>
      </c>
      <c r="N87">
        <f t="shared" si="88"/>
        <v>0.39385722856083216</v>
      </c>
      <c r="P87">
        <f aca="true" t="shared" si="104" ref="P87:P92">ASIN(J87/R87)</f>
        <v>0.09908911599250148</v>
      </c>
      <c r="Q87">
        <f aca="true" t="shared" si="105" ref="Q87:Q92">P87*180/PI()</f>
        <v>5.677388142052604</v>
      </c>
      <c r="R87">
        <f aca="true" t="shared" si="106" ref="R87:R92">G$2*COS(S87)</f>
        <v>6.886164830363691</v>
      </c>
      <c r="S87">
        <f aca="true" t="shared" si="107" ref="S87:S92">ASIN(K87/M87)</f>
        <v>0.15525586080995687</v>
      </c>
      <c r="T87">
        <f aca="true" t="shared" si="108" ref="T87:T92">S87*180/PI()</f>
        <v>8.895505569081088</v>
      </c>
      <c r="Y87" t="s">
        <v>92</v>
      </c>
      <c r="Z87">
        <f t="shared" si="89"/>
        <v>0.6812279172149327</v>
      </c>
      <c r="AA87">
        <f t="shared" si="90"/>
        <v>2.1256834624657435</v>
      </c>
      <c r="AB87">
        <f t="shared" si="91"/>
        <v>6.602900752109381</v>
      </c>
      <c r="AC87">
        <f t="shared" si="92"/>
        <v>6.969999999999999</v>
      </c>
      <c r="AD87">
        <f t="shared" si="93"/>
        <v>0.3938572285608323</v>
      </c>
      <c r="AF87">
        <f aca="true" t="shared" si="109" ref="AF87:AF92">ASIN(Z87/AH87)</f>
        <v>0.10280726729504706</v>
      </c>
      <c r="AG87">
        <f aca="true" t="shared" si="110" ref="AG87:AG92">AF87*180/PI()</f>
        <v>5.890422519279537</v>
      </c>
      <c r="AH87">
        <f t="shared" si="94"/>
        <v>6.6379492177478765</v>
      </c>
      <c r="AI87">
        <f aca="true" t="shared" si="111" ref="AI87:AI92">ASIN(AA87/AC87)</f>
        <v>0.3099133404747891</v>
      </c>
      <c r="AJ87">
        <f aca="true" t="shared" si="112" ref="AJ87:AJ92">AI87*180/PI()</f>
        <v>17.756726424006327</v>
      </c>
      <c r="AS87" t="s">
        <v>92</v>
      </c>
      <c r="AT87">
        <f t="shared" si="95"/>
        <v>0.6812279172149327</v>
      </c>
      <c r="AU87">
        <f t="shared" si="96"/>
        <v>2.1484204869419505</v>
      </c>
      <c r="AV87">
        <f t="shared" si="97"/>
        <v>6.92780228917577</v>
      </c>
      <c r="AW87">
        <f t="shared" si="98"/>
        <v>7.285206010938464</v>
      </c>
      <c r="AX87">
        <f t="shared" si="99"/>
        <v>0.3938572285608325</v>
      </c>
    </row>
    <row r="88" spans="6:50" ht="12.75">
      <c r="F88" t="s">
        <v>93</v>
      </c>
      <c r="G88">
        <f t="shared" si="100"/>
        <v>0.19017322917177507</v>
      </c>
      <c r="H88">
        <f t="shared" si="86"/>
        <v>1.3102121468394727</v>
      </c>
      <c r="J88">
        <f t="shared" si="101"/>
        <v>0.3394556433603604</v>
      </c>
      <c r="K88">
        <f t="shared" si="102"/>
        <v>1.2730517867753057</v>
      </c>
      <c r="L88">
        <f t="shared" si="103"/>
        <v>6.844341386457794</v>
      </c>
      <c r="M88">
        <f t="shared" si="87"/>
        <v>6.97</v>
      </c>
      <c r="N88">
        <f t="shared" si="88"/>
        <v>0.3938572244285076</v>
      </c>
      <c r="P88">
        <f t="shared" si="104"/>
        <v>0.04955593261566774</v>
      </c>
      <c r="Q88">
        <f t="shared" si="105"/>
        <v>2.839345788712464</v>
      </c>
      <c r="R88">
        <f t="shared" si="106"/>
        <v>6.8527541286834595</v>
      </c>
      <c r="S88">
        <f t="shared" si="107"/>
        <v>0.18367839029815763</v>
      </c>
      <c r="T88">
        <f t="shared" si="108"/>
        <v>10.523996551841119</v>
      </c>
      <c r="Y88" t="s">
        <v>93</v>
      </c>
      <c r="Z88">
        <f t="shared" si="89"/>
        <v>0.3394556433603604</v>
      </c>
      <c r="AA88">
        <f t="shared" si="90"/>
        <v>2.3173442247075027</v>
      </c>
      <c r="AB88">
        <f t="shared" si="91"/>
        <v>6.564722812914919</v>
      </c>
      <c r="AC88">
        <f t="shared" si="92"/>
        <v>6.969999999999999</v>
      </c>
      <c r="AD88">
        <f t="shared" si="93"/>
        <v>0.3938572244285076</v>
      </c>
      <c r="AF88">
        <f t="shared" si="109"/>
        <v>0.05166304639823002</v>
      </c>
      <c r="AG88">
        <f t="shared" si="110"/>
        <v>2.960074515407129</v>
      </c>
      <c r="AH88">
        <f t="shared" si="94"/>
        <v>6.573493420108883</v>
      </c>
      <c r="AI88">
        <f t="shared" si="111"/>
        <v>0.33892566315047534</v>
      </c>
      <c r="AJ88">
        <f t="shared" si="112"/>
        <v>19.419010067194847</v>
      </c>
      <c r="AS88" t="s">
        <v>93</v>
      </c>
      <c r="AT88">
        <f t="shared" si="95"/>
        <v>0.3394556433603604</v>
      </c>
      <c r="AU88">
        <f t="shared" si="96"/>
        <v>2.343441857460664</v>
      </c>
      <c r="AV88">
        <f t="shared" si="97"/>
        <v>6.9403747935098625</v>
      </c>
      <c r="AW88">
        <f t="shared" si="98"/>
        <v>7.333195220877115</v>
      </c>
      <c r="AX88">
        <f t="shared" si="99"/>
        <v>0.3938572244285078</v>
      </c>
    </row>
    <row r="89" spans="6:50" ht="12.75">
      <c r="F89" t="s">
        <v>94</v>
      </c>
      <c r="G89">
        <f t="shared" si="100"/>
        <v>0.15525586246322606</v>
      </c>
      <c r="H89">
        <f t="shared" si="86"/>
        <v>1.5706509786020435</v>
      </c>
      <c r="J89">
        <f t="shared" si="101"/>
        <v>0.00015665500822487077</v>
      </c>
      <c r="K89">
        <f t="shared" si="102"/>
        <v>1.0777912270297079</v>
      </c>
      <c r="L89">
        <f t="shared" si="103"/>
        <v>6.886164828581799</v>
      </c>
      <c r="M89">
        <f t="shared" si="87"/>
        <v>6.969999999999999</v>
      </c>
      <c r="N89">
        <f t="shared" si="88"/>
        <v>0.39385723029219144</v>
      </c>
      <c r="P89">
        <f t="shared" si="104"/>
        <v>2.2749238813981355E-05</v>
      </c>
      <c r="Q89">
        <f t="shared" si="105"/>
        <v>0.00130343537117633</v>
      </c>
      <c r="R89">
        <f t="shared" si="106"/>
        <v>6.886164830363691</v>
      </c>
      <c r="S89">
        <f t="shared" si="107"/>
        <v>0.15525586080995687</v>
      </c>
      <c r="T89">
        <f t="shared" si="108"/>
        <v>8.895505569081088</v>
      </c>
      <c r="Y89" t="s">
        <v>94</v>
      </c>
      <c r="Z89">
        <f t="shared" si="89"/>
        <v>0.00015665500822487077</v>
      </c>
      <c r="AA89">
        <f>K89*COS(X$45)+L89*SIN(X$45)</f>
        <v>2.130913098252011</v>
      </c>
      <c r="AB89">
        <f t="shared" si="91"/>
        <v>6.636272247516463</v>
      </c>
      <c r="AC89">
        <f t="shared" si="92"/>
        <v>6.969999999999999</v>
      </c>
      <c r="AD89">
        <f t="shared" si="93"/>
        <v>0.39385723029219144</v>
      </c>
      <c r="AF89">
        <f t="shared" si="109"/>
        <v>2.3605874254842215E-05</v>
      </c>
      <c r="AG89">
        <f t="shared" si="110"/>
        <v>0.001352516966518986</v>
      </c>
      <c r="AH89">
        <f t="shared" si="94"/>
        <v>6.636272249365454</v>
      </c>
      <c r="AI89">
        <f t="shared" si="111"/>
        <v>0.3107012790410782</v>
      </c>
      <c r="AJ89">
        <f t="shared" si="112"/>
        <v>17.801871978370283</v>
      </c>
      <c r="AS89" t="s">
        <v>94</v>
      </c>
      <c r="AT89">
        <f t="shared" si="95"/>
        <v>0.00015665500822487077</v>
      </c>
      <c r="AU89">
        <f t="shared" si="96"/>
        <v>2.144861599550249</v>
      </c>
      <c r="AV89">
        <f t="shared" si="97"/>
        <v>6.961393063455253</v>
      </c>
      <c r="AW89">
        <f t="shared" si="98"/>
        <v>7.2843273326841205</v>
      </c>
      <c r="AX89">
        <f t="shared" si="99"/>
        <v>0.3938572302921915</v>
      </c>
    </row>
    <row r="90" spans="6:50" ht="12.75">
      <c r="F90" t="s">
        <v>95</v>
      </c>
      <c r="G90">
        <f t="shared" si="100"/>
        <v>0.09876524509717759</v>
      </c>
      <c r="H90">
        <f t="shared" si="86"/>
        <v>1.5669696978681884</v>
      </c>
      <c r="J90">
        <f t="shared" si="101"/>
        <v>0.002629940510798845</v>
      </c>
      <c r="K90">
        <f t="shared" si="102"/>
        <v>0.6872701075385119</v>
      </c>
      <c r="L90">
        <f t="shared" si="103"/>
        <v>6.936032935525675</v>
      </c>
      <c r="M90">
        <f t="shared" si="87"/>
        <v>6.97</v>
      </c>
      <c r="N90">
        <f t="shared" si="88"/>
        <v>0.3938572402881992</v>
      </c>
      <c r="P90">
        <f t="shared" si="104"/>
        <v>0.0003791706886645063</v>
      </c>
      <c r="Q90">
        <f t="shared" si="105"/>
        <v>0.02172488017554514</v>
      </c>
      <c r="R90">
        <f t="shared" si="106"/>
        <v>6.936033434123858</v>
      </c>
      <c r="S90">
        <f t="shared" si="107"/>
        <v>0.0987645196235219</v>
      </c>
      <c r="T90">
        <f t="shared" si="108"/>
        <v>5.658790140064803</v>
      </c>
      <c r="Y90" t="s">
        <v>95</v>
      </c>
      <c r="Z90">
        <f t="shared" si="89"/>
        <v>0.002629940510798845</v>
      </c>
      <c r="AA90">
        <f t="shared" si="90"/>
        <v>1.7528212095547584</v>
      </c>
      <c r="AB90">
        <f t="shared" si="91"/>
        <v>6.745999621312463</v>
      </c>
      <c r="AC90">
        <f t="shared" si="92"/>
        <v>6.969999999999999</v>
      </c>
      <c r="AD90">
        <f t="shared" si="93"/>
        <v>0.3938572402881992</v>
      </c>
      <c r="AF90">
        <f t="shared" si="109"/>
        <v>0.00038985184186098173</v>
      </c>
      <c r="AG90">
        <f t="shared" si="110"/>
        <v>0.022336865174035846</v>
      </c>
      <c r="AH90">
        <f t="shared" si="94"/>
        <v>6.746000133956046</v>
      </c>
      <c r="AI90">
        <f t="shared" si="111"/>
        <v>0.25420992645342533</v>
      </c>
      <c r="AJ90">
        <f t="shared" si="112"/>
        <v>14.56515589611233</v>
      </c>
      <c r="AS90" t="s">
        <v>95</v>
      </c>
      <c r="AT90">
        <f t="shared" si="95"/>
        <v>0.002629940510798845</v>
      </c>
      <c r="AU90">
        <f t="shared" si="96"/>
        <v>1.7512599711211203</v>
      </c>
      <c r="AV90">
        <f t="shared" si="97"/>
        <v>6.969838829066543</v>
      </c>
      <c r="AW90">
        <f t="shared" si="98"/>
        <v>7.186485351421926</v>
      </c>
      <c r="AX90">
        <f t="shared" si="99"/>
        <v>0.3938572402881992</v>
      </c>
    </row>
    <row r="91" spans="6:50" ht="12.75">
      <c r="F91" t="s">
        <v>96</v>
      </c>
      <c r="G91">
        <f t="shared" si="100"/>
        <v>0.08627220572134976</v>
      </c>
      <c r="H91">
        <f t="shared" si="86"/>
        <v>0.9600764586324911</v>
      </c>
      <c r="J91">
        <f t="shared" si="101"/>
        <v>0.3444022143654398</v>
      </c>
      <c r="K91">
        <f t="shared" si="102"/>
        <v>0.49200954779291384</v>
      </c>
      <c r="L91">
        <f t="shared" si="103"/>
        <v>6.944077600345548</v>
      </c>
      <c r="M91">
        <f t="shared" si="87"/>
        <v>6.97</v>
      </c>
      <c r="N91">
        <f t="shared" si="88"/>
        <v>0.39385724442052344</v>
      </c>
      <c r="P91">
        <f t="shared" si="104"/>
        <v>0.04955593261565773</v>
      </c>
      <c r="Q91">
        <f t="shared" si="105"/>
        <v>2.8393457887118903</v>
      </c>
      <c r="R91">
        <f t="shared" si="106"/>
        <v>6.952612933630105</v>
      </c>
      <c r="S91">
        <f t="shared" si="107"/>
        <v>0.0706483603784438</v>
      </c>
      <c r="T91">
        <f t="shared" si="108"/>
        <v>4.047852879204097</v>
      </c>
      <c r="Y91" t="s">
        <v>96</v>
      </c>
      <c r="Z91">
        <f t="shared" si="89"/>
        <v>0.3444022143654398</v>
      </c>
      <c r="AA91">
        <f t="shared" si="90"/>
        <v>1.5611604473129979</v>
      </c>
      <c r="AB91">
        <f t="shared" si="91"/>
        <v>6.784177560506922</v>
      </c>
      <c r="AC91">
        <f t="shared" si="92"/>
        <v>6.97</v>
      </c>
      <c r="AD91">
        <f t="shared" si="93"/>
        <v>0.39385724442052356</v>
      </c>
      <c r="AF91">
        <f t="shared" si="109"/>
        <v>0.05072196456203017</v>
      </c>
      <c r="AG91">
        <f t="shared" si="110"/>
        <v>2.906154498016456</v>
      </c>
      <c r="AH91">
        <f t="shared" si="94"/>
        <v>6.792913812035707</v>
      </c>
      <c r="AI91">
        <f t="shared" si="111"/>
        <v>0.22589924192206154</v>
      </c>
      <c r="AJ91">
        <f t="shared" si="112"/>
        <v>12.943073157338882</v>
      </c>
      <c r="AS91" t="s">
        <v>96</v>
      </c>
      <c r="AT91">
        <f t="shared" si="95"/>
        <v>0.3444022143654398</v>
      </c>
      <c r="AU91">
        <f t="shared" si="96"/>
        <v>1.556238600602406</v>
      </c>
      <c r="AV91">
        <f t="shared" si="97"/>
        <v>6.957266324732448</v>
      </c>
      <c r="AW91">
        <f t="shared" si="98"/>
        <v>7.137509802481597</v>
      </c>
      <c r="AX91">
        <f t="shared" si="99"/>
        <v>0.3938572444205236</v>
      </c>
    </row>
    <row r="92" spans="6:49" ht="12.75">
      <c r="F92" t="s">
        <v>97</v>
      </c>
      <c r="G92">
        <f t="shared" si="100"/>
        <v>0.13642969350938688</v>
      </c>
      <c r="H92">
        <f>ATAN(K92/J92)</f>
        <v>1.2011629800482846</v>
      </c>
      <c r="J92">
        <f t="shared" si="101"/>
        <v>0.34247570885917966</v>
      </c>
      <c r="K92">
        <f t="shared" si="102"/>
        <v>0.8839419333103121</v>
      </c>
      <c r="L92">
        <f t="shared" si="103"/>
        <v>6.905234032773764</v>
      </c>
      <c r="M92">
        <f>(J92^2+K92^2+L92^2)^0.5</f>
        <v>6.97</v>
      </c>
      <c r="P92">
        <f t="shared" si="104"/>
        <v>0.04955593276029763</v>
      </c>
      <c r="Q92">
        <f t="shared" si="105"/>
        <v>2.8393457969991456</v>
      </c>
      <c r="R92">
        <f t="shared" si="106"/>
        <v>6.913721621423271</v>
      </c>
      <c r="S92">
        <f t="shared" si="107"/>
        <v>0.12716337677302098</v>
      </c>
      <c r="T92">
        <f t="shared" si="108"/>
        <v>7.285924797726024</v>
      </c>
      <c r="Y92" t="s">
        <v>97</v>
      </c>
      <c r="Z92">
        <f t="shared" si="89"/>
        <v>0.34247570885917966</v>
      </c>
      <c r="AA92">
        <f t="shared" si="90"/>
        <v>1.9423534069103565</v>
      </c>
      <c r="AB92">
        <f t="shared" si="91"/>
        <v>6.685123307127934</v>
      </c>
      <c r="AC92">
        <f>(Z92^2+AA92^2+AB92^2)^0.5</f>
        <v>6.969999999999999</v>
      </c>
      <c r="AF92">
        <f t="shared" si="109"/>
        <v>0.05118478133089815</v>
      </c>
      <c r="AG92">
        <f t="shared" si="110"/>
        <v>2.9326719455604726</v>
      </c>
      <c r="AH92">
        <f t="shared" si="94"/>
        <v>6.6938899933195595</v>
      </c>
      <c r="AI92">
        <f t="shared" si="111"/>
        <v>0.2824124835900669</v>
      </c>
      <c r="AJ92">
        <f t="shared" si="112"/>
        <v>16.18104339151845</v>
      </c>
      <c r="AS92" t="s">
        <v>97</v>
      </c>
      <c r="AT92">
        <f t="shared" si="95"/>
        <v>0.34247570885917966</v>
      </c>
      <c r="AU92">
        <f t="shared" si="96"/>
        <v>1.9500821094373961</v>
      </c>
      <c r="AV92">
        <f t="shared" si="97"/>
        <v>6.959932428182335</v>
      </c>
      <c r="AW92">
        <f>(AT92^2+AU92^2+AV92^2)^0.5</f>
        <v>7.236074160038056</v>
      </c>
    </row>
    <row r="93" spans="6:27" ht="12.75">
      <c r="F93" t="s">
        <v>296</v>
      </c>
      <c r="G93">
        <f>0.5*D33</f>
        <v>-0.04955593261565773</v>
      </c>
      <c r="H93">
        <f>(1.125*L4-0*2.54/100/G$2)+(0.002-0.00074)*2.54/100/G2</f>
        <v>0.12716337533830072</v>
      </c>
      <c r="Z93">
        <f>ACOS(AB92/(Z92^2+AA92^2+AB92^2)^0.5)</f>
        <v>0.2868913669470259</v>
      </c>
      <c r="AA93">
        <f>ATAN(Z92/AA92)</f>
        <v>0.1745261330833554</v>
      </c>
    </row>
    <row r="97" spans="7:36" ht="12.75">
      <c r="G97" t="s">
        <v>83</v>
      </c>
      <c r="H97" t="s">
        <v>83</v>
      </c>
      <c r="Q97" t="s">
        <v>248</v>
      </c>
      <c r="T97" t="s">
        <v>55</v>
      </c>
      <c r="AG97" t="s">
        <v>248</v>
      </c>
      <c r="AJ97" t="s">
        <v>55</v>
      </c>
    </row>
    <row r="98" spans="4:50" ht="12.75">
      <c r="D98" t="s">
        <v>256</v>
      </c>
      <c r="G98" t="s">
        <v>33</v>
      </c>
      <c r="H98" t="s">
        <v>84</v>
      </c>
      <c r="J98" t="s">
        <v>36</v>
      </c>
      <c r="K98" t="s">
        <v>38</v>
      </c>
      <c r="L98" t="s">
        <v>78</v>
      </c>
      <c r="M98" t="s">
        <v>79</v>
      </c>
      <c r="N98" t="s">
        <v>81</v>
      </c>
      <c r="Q98" t="s">
        <v>247</v>
      </c>
      <c r="R98" t="s">
        <v>266</v>
      </c>
      <c r="S98" t="s">
        <v>46</v>
      </c>
      <c r="T98" t="s">
        <v>267</v>
      </c>
      <c r="Z98" t="s">
        <v>36</v>
      </c>
      <c r="AA98" t="s">
        <v>38</v>
      </c>
      <c r="AB98" t="s">
        <v>78</v>
      </c>
      <c r="AC98" t="s">
        <v>79</v>
      </c>
      <c r="AD98" t="s">
        <v>81</v>
      </c>
      <c r="AG98" t="s">
        <v>247</v>
      </c>
      <c r="AH98" t="s">
        <v>266</v>
      </c>
      <c r="AI98" t="s">
        <v>46</v>
      </c>
      <c r="AJ98" t="s">
        <v>267</v>
      </c>
      <c r="AT98" t="s">
        <v>36</v>
      </c>
      <c r="AU98" t="s">
        <v>38</v>
      </c>
      <c r="AV98" t="s">
        <v>78</v>
      </c>
      <c r="AW98" t="s">
        <v>79</v>
      </c>
      <c r="AX98" t="s">
        <v>81</v>
      </c>
    </row>
    <row r="99" spans="6:50" ht="12.75">
      <c r="F99" t="s">
        <v>98</v>
      </c>
      <c r="G99">
        <f>ASIN(J99/G$2/COS(H99))</f>
        <v>0.2145265820666121</v>
      </c>
      <c r="H99">
        <f aca="true" t="shared" si="113" ref="H99:H105">ATAN(K99/J99)</f>
        <v>-0.8130234970214166</v>
      </c>
      <c r="J99">
        <f>J48*COS(G$106)-L48*SIN(G$106)</f>
        <v>1.0198290222819957</v>
      </c>
      <c r="K99">
        <f>K48</f>
        <v>-1.0777912270297076</v>
      </c>
      <c r="L99">
        <f>J48*SIN(G$106)+L48*COS(G$106)</f>
        <v>6.8102286919199075</v>
      </c>
      <c r="M99">
        <f aca="true" t="shared" si="114" ref="M99:M104">(J99^2+K99^2+L99^2)^0.5</f>
        <v>6.969999999999999</v>
      </c>
      <c r="N99">
        <f aca="true" t="shared" si="115" ref="N99:N104">((J99-J$105)^2+(K99-K$105)^2+(L99-L$105)^2)^0.5</f>
        <v>0.3938572385568399</v>
      </c>
      <c r="P99">
        <f>ASIN(J99/R99)</f>
        <v>0.14864504860815922</v>
      </c>
      <c r="Q99">
        <f>P99*180/PI()</f>
        <v>8.516733930764495</v>
      </c>
      <c r="R99">
        <f>G$2*COS(S99)</f>
        <v>6.886164830363691</v>
      </c>
      <c r="S99">
        <f>ASIN(K99/M99)</f>
        <v>-0.15525586080995685</v>
      </c>
      <c r="T99">
        <f>S99*180/PI()</f>
        <v>-8.895505569081086</v>
      </c>
      <c r="Y99" t="s">
        <v>98</v>
      </c>
      <c r="Z99">
        <f aca="true" t="shared" si="116" ref="Z99:Z105">J99</f>
        <v>1.0198290222819957</v>
      </c>
      <c r="AA99">
        <f aca="true" t="shared" si="117" ref="AA99:AA105">K99*COS(X$45)+L99*SIN(X$45)</f>
        <v>-0.010435229774879762</v>
      </c>
      <c r="AB99">
        <f aca="true" t="shared" si="118" ref="AB99:AB105">-K99*SIN(X$45)+L99*COS(X$45)</f>
        <v>6.894979323485378</v>
      </c>
      <c r="AC99">
        <f aca="true" t="shared" si="119" ref="AC99:AC104">(Z99^2+AA99^2+AB99^2)^0.5</f>
        <v>6.969999999999999</v>
      </c>
      <c r="AD99">
        <f aca="true" t="shared" si="120" ref="AD99:AD104">((Z99-Z$105)^2+(AA99-AA$105)^2+(AB99-AB$105)^2)^0.5</f>
        <v>0.3938572385568399</v>
      </c>
      <c r="AF99">
        <f>ASIN(Z99/AH99)</f>
        <v>0.14684426785762753</v>
      </c>
      <c r="AG99">
        <f>AF99*180/PI()</f>
        <v>8.413556793930628</v>
      </c>
      <c r="AH99">
        <f aca="true" t="shared" si="121" ref="AH99:AH105">G$2*COS(AI99)</f>
        <v>6.969992188372921</v>
      </c>
      <c r="AI99">
        <f>ASIN(AA99/AC99)</f>
        <v>-0.0014971640851232746</v>
      </c>
      <c r="AJ99">
        <f>AI99*180/PI()</f>
        <v>-0.08578118331612876</v>
      </c>
      <c r="AS99" t="s">
        <v>98</v>
      </c>
      <c r="AT99">
        <f aca="true" t="shared" si="122" ref="AT99:AT105">Z99</f>
        <v>1.0198290222819957</v>
      </c>
      <c r="AU99">
        <f aca="true" t="shared" si="123" ref="AU99:AU105">AA99*COS(AQ$13)+(AB99-AQ$18)*SIN(AQ$13)</f>
        <v>0.009277032758835655</v>
      </c>
      <c r="AV99">
        <f aca="true" t="shared" si="124" ref="AV99:AV105">-AA99*SIN(AQ$13)+(AB99-AQ$18)*COS(AQ$13)+AQ$22</f>
        <v>6.658770243459341</v>
      </c>
      <c r="AW99">
        <f aca="true" t="shared" si="125" ref="AW99:AW104">(AT99^2+AU99^2+AV99^2)^0.5</f>
        <v>6.73642029962539</v>
      </c>
      <c r="AX99">
        <f aca="true" t="shared" si="126" ref="AX99:AX104">((AT99-AT$105)^2+(AU99-AU$105)^2+(AV99-AV$105)^2)^0.5</f>
        <v>0.3938572385568398</v>
      </c>
    </row>
    <row r="100" spans="6:50" ht="12.75">
      <c r="F100" t="s">
        <v>99</v>
      </c>
      <c r="G100">
        <f aca="true" t="shared" si="127" ref="G100:G105">ASIN(J100/G$2/COS(H100))</f>
        <v>0.17796712477582405</v>
      </c>
      <c r="H100">
        <f t="shared" si="113"/>
        <v>-0.5907609014334735</v>
      </c>
      <c r="J100">
        <f aca="true" t="shared" si="128" ref="J100:J105">J49*COS(G$106)-L49*SIN(G$106)</f>
        <v>1.024769520659119</v>
      </c>
      <c r="K100">
        <f aca="true" t="shared" si="129" ref="K100:K105">K49</f>
        <v>-0.6872701075385117</v>
      </c>
      <c r="L100">
        <f aca="true" t="shared" si="130" ref="L100:L105">J49*SIN(G$106)+L49*COS(G$106)</f>
        <v>6.8599130627736145</v>
      </c>
      <c r="M100">
        <f t="shared" si="114"/>
        <v>6.97</v>
      </c>
      <c r="N100">
        <f t="shared" si="115"/>
        <v>0.393857228560832</v>
      </c>
      <c r="P100">
        <f aca="true" t="shared" si="131" ref="P100:P105">ASIN(J100/R100)</f>
        <v>0.14828862715830868</v>
      </c>
      <c r="Q100">
        <f aca="true" t="shared" si="132" ref="Q100:Q105">P100*180/PI()</f>
        <v>8.496312485960125</v>
      </c>
      <c r="R100">
        <f aca="true" t="shared" si="133" ref="R100:R105">G$2*COS(S100)</f>
        <v>6.936033434123858</v>
      </c>
      <c r="S100">
        <f aca="true" t="shared" si="134" ref="S100:S105">ASIN(K100/M100)</f>
        <v>-0.09876451962352187</v>
      </c>
      <c r="T100">
        <f aca="true" t="shared" si="135" ref="T100:T105">S100*180/PI()</f>
        <v>-5.658790140064801</v>
      </c>
      <c r="Y100" t="s">
        <v>99</v>
      </c>
      <c r="Z100">
        <f t="shared" si="116"/>
        <v>1.024769520659119</v>
      </c>
      <c r="AA100">
        <f t="shared" si="117"/>
        <v>0.3830693896975109</v>
      </c>
      <c r="AB100">
        <f t="shared" si="118"/>
        <v>6.8836040903152504</v>
      </c>
      <c r="AC100">
        <f t="shared" si="119"/>
        <v>6.97</v>
      </c>
      <c r="AD100">
        <f t="shared" si="120"/>
        <v>0.39385722856083194</v>
      </c>
      <c r="AF100">
        <f aca="true" t="shared" si="136" ref="AF100:AF105">ASIN(Z100/AH100)</f>
        <v>0.14778567918611227</v>
      </c>
      <c r="AG100">
        <f aca="true" t="shared" si="137" ref="AG100:AG105">AF100*180/PI()</f>
        <v>8.467495689838607</v>
      </c>
      <c r="AH100">
        <f t="shared" si="121"/>
        <v>6.959465341725381</v>
      </c>
      <c r="AI100">
        <f aca="true" t="shared" si="138" ref="AI100:AI105">ASIN(AA100/AC100)</f>
        <v>0.05498744626676782</v>
      </c>
      <c r="AJ100">
        <f aca="true" t="shared" si="139" ref="AJ100:AJ105">AI100*180/PI()</f>
        <v>3.1505485972881906</v>
      </c>
      <c r="AS100" t="s">
        <v>99</v>
      </c>
      <c r="AT100">
        <f t="shared" si="122"/>
        <v>1.024769520659119</v>
      </c>
      <c r="AU100">
        <f t="shared" si="123"/>
        <v>0.3923899435278644</v>
      </c>
      <c r="AV100">
        <f t="shared" si="124"/>
        <v>6.74932287499409</v>
      </c>
      <c r="AW100">
        <f t="shared" si="125"/>
        <v>6.837944260461049</v>
      </c>
      <c r="AX100">
        <f t="shared" si="126"/>
        <v>0.393857228560832</v>
      </c>
    </row>
    <row r="101" spans="6:50" ht="12.75">
      <c r="F101" t="s">
        <v>100</v>
      </c>
      <c r="G101">
        <f t="shared" si="127"/>
        <v>0.1216470033286896</v>
      </c>
      <c r="H101">
        <f t="shared" si="113"/>
        <v>-0.620836740604963</v>
      </c>
      <c r="J101">
        <f t="shared" si="128"/>
        <v>0.6879588221333681</v>
      </c>
      <c r="K101">
        <f t="shared" si="129"/>
        <v>-0.49200954779291384</v>
      </c>
      <c r="L101">
        <f t="shared" si="130"/>
        <v>6.918492557192605</v>
      </c>
      <c r="M101">
        <f t="shared" si="114"/>
        <v>6.969999999999999</v>
      </c>
      <c r="N101">
        <f t="shared" si="115"/>
        <v>0.3938572244285075</v>
      </c>
      <c r="P101">
        <f t="shared" si="131"/>
        <v>0.09911186523132534</v>
      </c>
      <c r="Q101">
        <f t="shared" si="132"/>
        <v>5.678691577424347</v>
      </c>
      <c r="R101">
        <f t="shared" si="133"/>
        <v>6.952612933630105</v>
      </c>
      <c r="S101">
        <f t="shared" si="134"/>
        <v>-0.07064836037844381</v>
      </c>
      <c r="T101">
        <f t="shared" si="135"/>
        <v>-4.047852879204098</v>
      </c>
      <c r="Y101" t="s">
        <v>100</v>
      </c>
      <c r="Z101">
        <f t="shared" si="116"/>
        <v>0.6879588221333681</v>
      </c>
      <c r="AA101">
        <f t="shared" si="117"/>
        <v>0.5850449150891788</v>
      </c>
      <c r="AB101">
        <f t="shared" si="118"/>
        <v>6.911247000822438</v>
      </c>
      <c r="AC101">
        <f t="shared" si="119"/>
        <v>6.969999999999998</v>
      </c>
      <c r="AD101">
        <f t="shared" si="120"/>
        <v>0.3938572244285076</v>
      </c>
      <c r="AF101">
        <f t="shared" si="136"/>
        <v>0.09921509113275295</v>
      </c>
      <c r="AG101">
        <f t="shared" si="137"/>
        <v>5.684605985912582</v>
      </c>
      <c r="AH101">
        <f t="shared" si="121"/>
        <v>6.945402972278016</v>
      </c>
      <c r="AI101">
        <f t="shared" si="138"/>
        <v>0.08403645523677408</v>
      </c>
      <c r="AJ101">
        <f t="shared" si="139"/>
        <v>4.81493421030722</v>
      </c>
      <c r="AS101" t="s">
        <v>100</v>
      </c>
      <c r="AT101">
        <f t="shared" si="122"/>
        <v>0.6879588221333681</v>
      </c>
      <c r="AU101">
        <f t="shared" si="123"/>
        <v>0.5803918805672946</v>
      </c>
      <c r="AV101">
        <f t="shared" si="124"/>
        <v>6.828148727529732</v>
      </c>
      <c r="AW101">
        <f t="shared" si="125"/>
        <v>6.887216935834494</v>
      </c>
      <c r="AX101">
        <f t="shared" si="126"/>
        <v>0.3938572244285077</v>
      </c>
    </row>
    <row r="102" spans="6:50" ht="12.75">
      <c r="F102" t="s">
        <v>101</v>
      </c>
      <c r="G102">
        <f t="shared" si="127"/>
        <v>0.11063376813178306</v>
      </c>
      <c r="H102">
        <f t="shared" si="113"/>
        <v>-1.104158664592553</v>
      </c>
      <c r="J102">
        <f t="shared" si="128"/>
        <v>0.34620762523035686</v>
      </c>
      <c r="K102">
        <f t="shared" si="129"/>
        <v>-0.6872701075385117</v>
      </c>
      <c r="L102">
        <f t="shared" si="130"/>
        <v>6.927387680757903</v>
      </c>
      <c r="M102">
        <f t="shared" si="114"/>
        <v>6.97</v>
      </c>
      <c r="N102">
        <f t="shared" si="115"/>
        <v>0.39385723029219144</v>
      </c>
      <c r="P102">
        <f t="shared" si="131"/>
        <v>0.049935103304322236</v>
      </c>
      <c r="Q102">
        <f t="shared" si="132"/>
        <v>2.8610706688874354</v>
      </c>
      <c r="R102">
        <f t="shared" si="133"/>
        <v>6.936033434123858</v>
      </c>
      <c r="S102">
        <f t="shared" si="134"/>
        <v>-0.09876451962352187</v>
      </c>
      <c r="T102">
        <f t="shared" si="135"/>
        <v>-5.658790140064801</v>
      </c>
      <c r="Y102" t="s">
        <v>101</v>
      </c>
      <c r="Z102">
        <f t="shared" si="116"/>
        <v>0.34620762523035686</v>
      </c>
      <c r="AA102">
        <f t="shared" si="117"/>
        <v>0.3935158210084587</v>
      </c>
      <c r="AB102">
        <f t="shared" si="118"/>
        <v>6.9502651444997685</v>
      </c>
      <c r="AC102">
        <f t="shared" si="119"/>
        <v>6.97</v>
      </c>
      <c r="AD102">
        <f t="shared" si="120"/>
        <v>0.39385723029219144</v>
      </c>
      <c r="AF102">
        <f t="shared" si="136"/>
        <v>0.04977100887919921</v>
      </c>
      <c r="AG102">
        <f t="shared" si="137"/>
        <v>2.8516687508862604</v>
      </c>
      <c r="AH102">
        <f t="shared" si="121"/>
        <v>6.958882474838616</v>
      </c>
      <c r="AI102">
        <f t="shared" si="138"/>
        <v>0.05648854819165734</v>
      </c>
      <c r="AJ102">
        <f t="shared" si="139"/>
        <v>3.236555402203324</v>
      </c>
      <c r="AS102" t="s">
        <v>101</v>
      </c>
      <c r="AT102">
        <f t="shared" si="122"/>
        <v>0.34620762523035686</v>
      </c>
      <c r="AU102">
        <f t="shared" si="123"/>
        <v>0.3852809068376947</v>
      </c>
      <c r="AV102">
        <f t="shared" si="124"/>
        <v>6.816421948530641</v>
      </c>
      <c r="AW102">
        <f t="shared" si="125"/>
        <v>6.836074112921215</v>
      </c>
      <c r="AX102">
        <f t="shared" si="126"/>
        <v>0.39385723029219155</v>
      </c>
    </row>
    <row r="103" spans="6:50" ht="12.75">
      <c r="F103" t="s">
        <v>102</v>
      </c>
      <c r="G103">
        <f t="shared" si="127"/>
        <v>0.16291913051177953</v>
      </c>
      <c r="H103">
        <f t="shared" si="113"/>
        <v>-1.264148196552792</v>
      </c>
      <c r="J103">
        <f t="shared" si="128"/>
        <v>0.34126712685323346</v>
      </c>
      <c r="K103">
        <f t="shared" si="129"/>
        <v>-1.0777912270297076</v>
      </c>
      <c r="L103">
        <f t="shared" si="130"/>
        <v>6.877703309904196</v>
      </c>
      <c r="M103">
        <f t="shared" si="114"/>
        <v>6.97</v>
      </c>
      <c r="N103">
        <f t="shared" si="115"/>
        <v>0.3938572402881992</v>
      </c>
      <c r="P103">
        <f t="shared" si="131"/>
        <v>0.0495786818544717</v>
      </c>
      <c r="Q103">
        <f t="shared" si="132"/>
        <v>2.840649224083066</v>
      </c>
      <c r="R103">
        <f t="shared" si="133"/>
        <v>6.886164830363691</v>
      </c>
      <c r="S103">
        <f t="shared" si="134"/>
        <v>-0.15525586080995682</v>
      </c>
      <c r="T103">
        <f t="shared" si="135"/>
        <v>-8.895505569081084</v>
      </c>
      <c r="Y103" t="s">
        <v>102</v>
      </c>
      <c r="Z103">
        <f t="shared" si="116"/>
        <v>0.34126712685323346</v>
      </c>
      <c r="AA103">
        <f t="shared" si="117"/>
        <v>1.120153606803953E-05</v>
      </c>
      <c r="AB103">
        <f t="shared" si="118"/>
        <v>6.961640377669896</v>
      </c>
      <c r="AC103">
        <f t="shared" si="119"/>
        <v>6.97</v>
      </c>
      <c r="AD103">
        <f t="shared" si="120"/>
        <v>0.3938572402881993</v>
      </c>
      <c r="AF103">
        <f t="shared" si="136"/>
        <v>0.04898186911703611</v>
      </c>
      <c r="AG103">
        <f t="shared" si="137"/>
        <v>2.806454373068357</v>
      </c>
      <c r="AH103">
        <f t="shared" si="121"/>
        <v>6.969999999990999</v>
      </c>
      <c r="AI103">
        <f t="shared" si="138"/>
        <v>1.6071070398915857E-06</v>
      </c>
      <c r="AJ103">
        <f t="shared" si="139"/>
        <v>9.208045061155068E-05</v>
      </c>
      <c r="AS103" t="s">
        <v>102</v>
      </c>
      <c r="AT103">
        <f t="shared" si="122"/>
        <v>0.34126712685323346</v>
      </c>
      <c r="AU103">
        <f t="shared" si="123"/>
        <v>0.002167996068666013</v>
      </c>
      <c r="AV103">
        <f t="shared" si="124"/>
        <v>6.725869316995892</v>
      </c>
      <c r="AW103">
        <f t="shared" si="125"/>
        <v>6.734521959380963</v>
      </c>
      <c r="AX103">
        <f t="shared" si="126"/>
        <v>0.39385724028819924</v>
      </c>
    </row>
    <row r="104" spans="6:50" ht="12.75">
      <c r="F104" t="s">
        <v>103</v>
      </c>
      <c r="G104">
        <f t="shared" si="127"/>
        <v>0.20844692662141523</v>
      </c>
      <c r="H104">
        <f t="shared" si="113"/>
        <v>-1.081379241016427</v>
      </c>
      <c r="J104">
        <f t="shared" si="128"/>
        <v>0.6780778253790529</v>
      </c>
      <c r="K104">
        <f t="shared" si="129"/>
        <v>-1.2730517867753057</v>
      </c>
      <c r="L104">
        <f t="shared" si="130"/>
        <v>6.819123815485198</v>
      </c>
      <c r="M104">
        <f t="shared" si="114"/>
        <v>6.969999999999999</v>
      </c>
      <c r="N104">
        <f t="shared" si="115"/>
        <v>0.39385724442052356</v>
      </c>
      <c r="P104">
        <f t="shared" si="131"/>
        <v>0.09911186523131546</v>
      </c>
      <c r="Q104">
        <f t="shared" si="132"/>
        <v>5.6786915774237805</v>
      </c>
      <c r="R104">
        <f t="shared" si="133"/>
        <v>6.8527541286834595</v>
      </c>
      <c r="S104">
        <f t="shared" si="134"/>
        <v>-0.18367839029815766</v>
      </c>
      <c r="T104">
        <f t="shared" si="135"/>
        <v>-10.52399655184112</v>
      </c>
      <c r="Y104" t="s">
        <v>103</v>
      </c>
      <c r="Z104">
        <f t="shared" si="116"/>
        <v>0.6780778253790529</v>
      </c>
      <c r="AA104">
        <f t="shared" si="117"/>
        <v>-0.20196432385560104</v>
      </c>
      <c r="AB104">
        <f t="shared" si="118"/>
        <v>6.933997467162701</v>
      </c>
      <c r="AC104">
        <f t="shared" si="119"/>
        <v>6.97</v>
      </c>
      <c r="AD104">
        <f t="shared" si="120"/>
        <v>0.39385724442052333</v>
      </c>
      <c r="AF104">
        <f t="shared" si="136"/>
        <v>0.0974803744208439</v>
      </c>
      <c r="AG104">
        <f t="shared" si="137"/>
        <v>5.585214039669381</v>
      </c>
      <c r="AH104">
        <f t="shared" si="121"/>
        <v>6.9670733031804355</v>
      </c>
      <c r="AI104">
        <f t="shared" si="138"/>
        <v>-0.028980286487500024</v>
      </c>
      <c r="AJ104">
        <f t="shared" si="139"/>
        <v>-1.6604481048137605</v>
      </c>
      <c r="AS104" t="s">
        <v>103</v>
      </c>
      <c r="AT104">
        <f t="shared" si="122"/>
        <v>0.6780778253790529</v>
      </c>
      <c r="AU104">
        <f t="shared" si="123"/>
        <v>-0.1858339409707634</v>
      </c>
      <c r="AV104">
        <f t="shared" si="124"/>
        <v>6.647043464460242</v>
      </c>
      <c r="AW104">
        <f t="shared" si="125"/>
        <v>6.684123772740233</v>
      </c>
      <c r="AX104">
        <f t="shared" si="126"/>
        <v>0.39385724442052333</v>
      </c>
    </row>
    <row r="105" spans="6:49" ht="12.75">
      <c r="F105" t="s">
        <v>104</v>
      </c>
      <c r="G105">
        <f t="shared" si="127"/>
        <v>0.16106099836883997</v>
      </c>
      <c r="H105">
        <f t="shared" si="113"/>
        <v>-0.9121541206228136</v>
      </c>
      <c r="J105">
        <f t="shared" si="128"/>
        <v>0.6841105404974605</v>
      </c>
      <c r="K105">
        <f t="shared" si="129"/>
        <v>-0.8839419134717995</v>
      </c>
      <c r="L105">
        <f t="shared" si="130"/>
        <v>6.879792108922194</v>
      </c>
      <c r="M105">
        <f>(J105^2+K105^2+L105^2)^0.5</f>
        <v>6.970000000000001</v>
      </c>
      <c r="P105">
        <f t="shared" si="131"/>
        <v>0.09911186537595537</v>
      </c>
      <c r="Q105">
        <f t="shared" si="132"/>
        <v>5.678691585711037</v>
      </c>
      <c r="R105">
        <f t="shared" si="133"/>
        <v>6.91372162395969</v>
      </c>
      <c r="S105">
        <f t="shared" si="134"/>
        <v>-0.1271633739035805</v>
      </c>
      <c r="T105">
        <f t="shared" si="135"/>
        <v>-7.285924633319196</v>
      </c>
      <c r="Y105" t="s">
        <v>104</v>
      </c>
      <c r="Z105">
        <f t="shared" si="116"/>
        <v>0.6841105404974605</v>
      </c>
      <c r="AA105">
        <f t="shared" si="117"/>
        <v>0.19184659796904024</v>
      </c>
      <c r="AB105">
        <f t="shared" si="118"/>
        <v>6.933692209150041</v>
      </c>
      <c r="AC105">
        <f>(Z105^2+AA105^2+AB105^2)^0.5</f>
        <v>6.97</v>
      </c>
      <c r="AF105">
        <f t="shared" si="136"/>
        <v>0.09834638192850899</v>
      </c>
      <c r="AG105">
        <f t="shared" si="137"/>
        <v>5.6348326148852355</v>
      </c>
      <c r="AH105">
        <f t="shared" si="121"/>
        <v>6.967359247437131</v>
      </c>
      <c r="AI105">
        <f t="shared" si="138"/>
        <v>0.027528096156571508</v>
      </c>
      <c r="AJ105">
        <f t="shared" si="139"/>
        <v>1.57724372780185</v>
      </c>
      <c r="AS105" t="s">
        <v>104</v>
      </c>
      <c r="AT105">
        <f t="shared" si="122"/>
        <v>0.6841105404974605</v>
      </c>
      <c r="AU105">
        <f t="shared" si="123"/>
        <v>0.1947183266181469</v>
      </c>
      <c r="AV105">
        <f t="shared" si="124"/>
        <v>6.748370198167425</v>
      </c>
      <c r="AW105">
        <f>(AT105^2+AU105^2+AV105^2)^0.5</f>
        <v>6.785751453586769</v>
      </c>
    </row>
    <row r="106" spans="6:27" ht="12.75">
      <c r="F106" t="s">
        <v>225</v>
      </c>
      <c r="G106">
        <f>D$33</f>
        <v>-0.09911186523131546</v>
      </c>
      <c r="Z106">
        <f>ACOS(AB105/(Z105^2+AA105^2+AB105^2)^0.5)</f>
        <v>0.10211445577950085</v>
      </c>
      <c r="AA106">
        <f>ATAN(Z105/AA105)</f>
        <v>1.297386924928735</v>
      </c>
    </row>
    <row r="110" spans="7:36" ht="12.75">
      <c r="G110" t="s">
        <v>83</v>
      </c>
      <c r="H110" t="s">
        <v>83</v>
      </c>
      <c r="Q110" t="s">
        <v>248</v>
      </c>
      <c r="T110" t="s">
        <v>55</v>
      </c>
      <c r="AG110" t="s">
        <v>248</v>
      </c>
      <c r="AJ110" t="s">
        <v>55</v>
      </c>
    </row>
    <row r="111" spans="7:50" ht="12.75">
      <c r="G111" t="s">
        <v>33</v>
      </c>
      <c r="H111" t="s">
        <v>84</v>
      </c>
      <c r="J111" t="s">
        <v>36</v>
      </c>
      <c r="K111" t="s">
        <v>38</v>
      </c>
      <c r="L111" t="s">
        <v>78</v>
      </c>
      <c r="M111" t="s">
        <v>79</v>
      </c>
      <c r="N111" t="s">
        <v>81</v>
      </c>
      <c r="Q111" t="s">
        <v>247</v>
      </c>
      <c r="R111" t="s">
        <v>266</v>
      </c>
      <c r="S111" t="s">
        <v>46</v>
      </c>
      <c r="T111" t="s">
        <v>267</v>
      </c>
      <c r="Z111" t="s">
        <v>36</v>
      </c>
      <c r="AA111" t="s">
        <v>38</v>
      </c>
      <c r="AB111" t="s">
        <v>78</v>
      </c>
      <c r="AC111" t="s">
        <v>79</v>
      </c>
      <c r="AD111" t="s">
        <v>81</v>
      </c>
      <c r="AG111" t="s">
        <v>247</v>
      </c>
      <c r="AH111" t="s">
        <v>266</v>
      </c>
      <c r="AI111" t="s">
        <v>46</v>
      </c>
      <c r="AJ111" t="s">
        <v>267</v>
      </c>
      <c r="AT111" t="s">
        <v>36</v>
      </c>
      <c r="AU111" t="s">
        <v>38</v>
      </c>
      <c r="AV111" t="s">
        <v>78</v>
      </c>
      <c r="AW111" t="s">
        <v>79</v>
      </c>
      <c r="AX111" t="s">
        <v>81</v>
      </c>
    </row>
    <row r="112" spans="4:50" ht="12.75">
      <c r="D112" t="s">
        <v>256</v>
      </c>
      <c r="F112" t="s">
        <v>105</v>
      </c>
      <c r="G112">
        <f>ASIN(J112/G$2/COS(H112))</f>
        <v>0.1487204045709761</v>
      </c>
      <c r="H112">
        <f aca="true" t="shared" si="140" ref="H112:H118">ATAN(K112/J112)</f>
        <v>0.09542496263240796</v>
      </c>
      <c r="J112">
        <f>J60*COS(G$119)-L60*SIN(G$119)</f>
        <v>1.0280657318367212</v>
      </c>
      <c r="K112">
        <f>K60</f>
        <v>0.09840199586758175</v>
      </c>
      <c r="L112">
        <f>J60*SIN(G$119)+L60*COS(G$119)</f>
        <v>6.893061576558873</v>
      </c>
      <c r="M112">
        <f aca="true" t="shared" si="141" ref="M112:M117">(J112^2+K112^2+L112^2)^0.5</f>
        <v>6.97</v>
      </c>
      <c r="N112">
        <f aca="true" t="shared" si="142" ref="N112:N117">((J112-J$118)^2+(K112-K$118)^2+(L112-L$118)^2)^0.5</f>
        <v>0.39385723855683974</v>
      </c>
      <c r="P112">
        <f>ASIN(J112/R112)</f>
        <v>0.14805366603208894</v>
      </c>
      <c r="Q112">
        <f>P112*180/PI()</f>
        <v>8.482850205078094</v>
      </c>
      <c r="R112">
        <f>G$2*COS(S112)</f>
        <v>6.969305348971967</v>
      </c>
      <c r="S112">
        <f>ASIN(K112/M112)</f>
        <v>0.01411840244049155</v>
      </c>
      <c r="T112">
        <f>S112*180/PI()</f>
        <v>0.8089248733073672</v>
      </c>
      <c r="Y112" t="s">
        <v>105</v>
      </c>
      <c r="Z112">
        <f aca="true" t="shared" si="143" ref="Z112:Z118">J112</f>
        <v>1.0280657318367212</v>
      </c>
      <c r="AA112">
        <f aca="true" t="shared" si="144" ref="AA112:AA118">K112*COS(X$45)+L112*SIN(X$45)</f>
        <v>1.1644004428205066</v>
      </c>
      <c r="AB112">
        <f aca="true" t="shared" si="145" ref="AB112:AB118">-K112*SIN(X$45)+L112*COS(X$45)</f>
        <v>6.794715038894746</v>
      </c>
      <c r="AC112">
        <f aca="true" t="shared" si="146" ref="AC112:AC117">(Z112^2+AA112^2+AB112^2)^0.5</f>
        <v>6.97</v>
      </c>
      <c r="AD112">
        <f aca="true" t="shared" si="147" ref="AD112:AD117">((Z112-Z$118)^2+(AA112-AA$118)^2+(AB112-AB$118)^2)^0.5</f>
        <v>0.39385723855683963</v>
      </c>
      <c r="AF112">
        <f>ASIN(Z112/AH112)</f>
        <v>0.15016474498218763</v>
      </c>
      <c r="AG112">
        <f>AF112*180/PI()</f>
        <v>8.603806119137658</v>
      </c>
      <c r="AH112">
        <f aca="true" t="shared" si="148" ref="AH112:AH118">G$2*COS(AI112)</f>
        <v>6.872050029558822</v>
      </c>
      <c r="AI112">
        <f>ASIN(AA112/AC112)</f>
        <v>0.16784587668699133</v>
      </c>
      <c r="AJ112">
        <f>AI112*180/PI()</f>
        <v>9.61686034283786</v>
      </c>
      <c r="AS112" t="s">
        <v>105</v>
      </c>
      <c r="AT112">
        <f aca="true" t="shared" si="149" ref="AT112:AT118">Z112</f>
        <v>1.0280657318367212</v>
      </c>
      <c r="AU112">
        <f aca="true" t="shared" si="150" ref="AU112:AU118">AA112*COS(AQ$13)+(AB112-AQ$18)*SIN(AQ$13)</f>
        <v>1.1701967367957973</v>
      </c>
      <c r="AV112">
        <f aca="true" t="shared" si="151" ref="AV112:AV118">-AA112*SIN(AQ$13)+(AB112-AQ$18)*COS(AQ$13)+AQ$22</f>
        <v>6.865064269417096</v>
      </c>
      <c r="AW112">
        <f aca="true" t="shared" si="152" ref="AW112:AW117">(AT112^2+AU112^2+AV112^2)^0.5</f>
        <v>7.03955872019062</v>
      </c>
      <c r="AX112">
        <f aca="true" t="shared" si="153" ref="AX112:AX117">((AT112-AT$118)^2+(AU112-AU$118)^2+(AV112-AV$118)^2)^0.5</f>
        <v>0.3938572385568396</v>
      </c>
    </row>
    <row r="113" spans="4:50" ht="12.75">
      <c r="D113" t="s">
        <v>254</v>
      </c>
      <c r="F113" t="s">
        <v>106</v>
      </c>
      <c r="G113">
        <f aca="true" t="shared" si="154" ref="G113:G118">ASIN(J113/G$2/COS(H113))</f>
        <v>0.16402440733308585</v>
      </c>
      <c r="H113">
        <f t="shared" si="140"/>
        <v>0.44678271542208664</v>
      </c>
      <c r="J113">
        <f aca="true" t="shared" si="155" ref="J113:J118">J61*COS(G$119)-L61*SIN(G$119)</f>
        <v>1.0264138716105418</v>
      </c>
      <c r="K113">
        <f aca="true" t="shared" si="156" ref="K113:K118">K61</f>
        <v>0.49174790253974265</v>
      </c>
      <c r="L113">
        <f aca="true" t="shared" si="157" ref="L113:L118">J61*SIN(G$119)+L61*COS(G$119)</f>
        <v>6.876449560966271</v>
      </c>
      <c r="M113">
        <f t="shared" si="141"/>
        <v>6.97</v>
      </c>
      <c r="N113">
        <f t="shared" si="142"/>
        <v>0.3938572285608321</v>
      </c>
      <c r="P113">
        <f aca="true" t="shared" si="158" ref="P113:P118">ASIN(J113/R113)</f>
        <v>0.1481711331329684</v>
      </c>
      <c r="Q113">
        <f aca="true" t="shared" si="159" ref="Q113:Q118">P113*180/PI()</f>
        <v>8.489580574190125</v>
      </c>
      <c r="R113">
        <f aca="true" t="shared" si="160" ref="R113:R118">G$2*COS(S113)</f>
        <v>6.9526314443056565</v>
      </c>
      <c r="S113">
        <f aca="true" t="shared" si="161" ref="S113:S118">ASIN(K113/M113)</f>
        <v>0.07061072777796173</v>
      </c>
      <c r="T113">
        <f aca="true" t="shared" si="162" ref="T113:T118">S113*180/PI()</f>
        <v>4.045696690024373</v>
      </c>
      <c r="Y113" t="s">
        <v>106</v>
      </c>
      <c r="Z113">
        <f t="shared" si="143"/>
        <v>1.0264138716105418</v>
      </c>
      <c r="AA113">
        <f t="shared" si="144"/>
        <v>1.5504317727670074</v>
      </c>
      <c r="AB113">
        <f t="shared" si="145"/>
        <v>6.717405442740524</v>
      </c>
      <c r="AC113">
        <f t="shared" si="146"/>
        <v>6.97</v>
      </c>
      <c r="AD113">
        <f t="shared" si="147"/>
        <v>0.393857228560832</v>
      </c>
      <c r="AF113">
        <f aca="true" t="shared" si="163" ref="AF113:AF118">ASIN(Z113/AH113)</f>
        <v>0.15162637645026128</v>
      </c>
      <c r="AG113">
        <f aca="true" t="shared" si="164" ref="AG113:AG118">AF113*180/PI()</f>
        <v>8.687551433461788</v>
      </c>
      <c r="AH113">
        <f t="shared" si="148"/>
        <v>6.795370579887057</v>
      </c>
      <c r="AI113">
        <f aca="true" t="shared" si="165" ref="AI113:AI118">ASIN(AA113/AC113)</f>
        <v>0.22432013568507841</v>
      </c>
      <c r="AJ113">
        <f aca="true" t="shared" si="166" ref="AJ113:AJ118">AI113*180/PI()</f>
        <v>12.852597034556963</v>
      </c>
      <c r="AS113" t="s">
        <v>106</v>
      </c>
      <c r="AT113">
        <f t="shared" si="149"/>
        <v>1.0264138716105418</v>
      </c>
      <c r="AU113">
        <f t="shared" si="150"/>
        <v>1.5631036125578106</v>
      </c>
      <c r="AV113">
        <f t="shared" si="151"/>
        <v>6.889987117102038</v>
      </c>
      <c r="AW113">
        <f t="shared" si="152"/>
        <v>7.139239512249038</v>
      </c>
      <c r="AX113">
        <f t="shared" si="153"/>
        <v>0.39385722856083183</v>
      </c>
    </row>
    <row r="114" spans="6:50" ht="12.75">
      <c r="F114" t="s">
        <v>107</v>
      </c>
      <c r="G114">
        <f t="shared" si="154"/>
        <v>0.13992248808212682</v>
      </c>
      <c r="H114">
        <f t="shared" si="140"/>
        <v>0.7869358207797512</v>
      </c>
      <c r="J114">
        <f t="shared" si="155"/>
        <v>0.6863069937831391</v>
      </c>
      <c r="K114">
        <f t="shared" si="156"/>
        <v>0.688420855875823</v>
      </c>
      <c r="L114">
        <f t="shared" si="157"/>
        <v>6.901880862162107</v>
      </c>
      <c r="M114">
        <f t="shared" si="141"/>
        <v>6.970000000000001</v>
      </c>
      <c r="N114">
        <f t="shared" si="142"/>
        <v>0.3938572244285077</v>
      </c>
      <c r="P114">
        <f t="shared" si="158"/>
        <v>0.09911186523132538</v>
      </c>
      <c r="Q114">
        <f t="shared" si="159"/>
        <v>5.678691577424349</v>
      </c>
      <c r="R114">
        <f t="shared" si="160"/>
        <v>6.935919313630688</v>
      </c>
      <c r="S114">
        <f t="shared" si="161"/>
        <v>0.09893042969481416</v>
      </c>
      <c r="T114">
        <f t="shared" si="162"/>
        <v>5.668296086928564</v>
      </c>
      <c r="Y114" t="s">
        <v>107</v>
      </c>
      <c r="Z114">
        <f t="shared" si="143"/>
        <v>0.6863069937831391</v>
      </c>
      <c r="AA114">
        <f t="shared" si="144"/>
        <v>1.7486706533957308</v>
      </c>
      <c r="AB114">
        <f t="shared" si="145"/>
        <v>6.712081171755664</v>
      </c>
      <c r="AC114">
        <f t="shared" si="146"/>
        <v>6.97</v>
      </c>
      <c r="AD114">
        <f t="shared" si="147"/>
        <v>0.3938572244285079</v>
      </c>
      <c r="AF114">
        <f t="shared" si="163"/>
        <v>0.10189538796368156</v>
      </c>
      <c r="AG114">
        <f t="shared" si="164"/>
        <v>5.838175682167081</v>
      </c>
      <c r="AH114">
        <f t="shared" si="148"/>
        <v>6.747077215057832</v>
      </c>
      <c r="AI114">
        <f t="shared" si="165"/>
        <v>0.25359471378981147</v>
      </c>
      <c r="AJ114">
        <f t="shared" si="166"/>
        <v>14.529906806984254</v>
      </c>
      <c r="AS114" t="s">
        <v>107</v>
      </c>
      <c r="AT114">
        <f t="shared" si="149"/>
        <v>0.6863069937831391</v>
      </c>
      <c r="AU114">
        <f t="shared" si="150"/>
        <v>1.7560025320937336</v>
      </c>
      <c r="AV114">
        <f t="shared" si="151"/>
        <v>6.935998077712777</v>
      </c>
      <c r="AW114">
        <f t="shared" si="152"/>
        <v>7.187672190387553</v>
      </c>
      <c r="AX114">
        <f t="shared" si="153"/>
        <v>0.3938572244285077</v>
      </c>
    </row>
    <row r="115" spans="6:50" ht="12.75">
      <c r="F115" t="s">
        <v>108</v>
      </c>
      <c r="G115">
        <f t="shared" si="154"/>
        <v>0.08652728850178132</v>
      </c>
      <c r="H115">
        <f t="shared" si="140"/>
        <v>0.9551353836266245</v>
      </c>
      <c r="J115">
        <f t="shared" si="155"/>
        <v>0.34785197618177943</v>
      </c>
      <c r="K115">
        <f t="shared" si="156"/>
        <v>0.49174790253974265</v>
      </c>
      <c r="L115">
        <f t="shared" si="157"/>
        <v>6.943924178950559</v>
      </c>
      <c r="M115">
        <f t="shared" si="141"/>
        <v>6.970000000000001</v>
      </c>
      <c r="N115">
        <f t="shared" si="142"/>
        <v>0.3938572302921915</v>
      </c>
      <c r="P115">
        <f t="shared" si="158"/>
        <v>0.050052597329662565</v>
      </c>
      <c r="Q115">
        <f t="shared" si="159"/>
        <v>2.8678025806574396</v>
      </c>
      <c r="R115">
        <f t="shared" si="160"/>
        <v>6.9526314443056565</v>
      </c>
      <c r="S115">
        <f t="shared" si="161"/>
        <v>0.07061072777796172</v>
      </c>
      <c r="T115">
        <f t="shared" si="162"/>
        <v>4.045696690024372</v>
      </c>
      <c r="Y115" t="s">
        <v>108</v>
      </c>
      <c r="Z115">
        <f t="shared" si="143"/>
        <v>0.34785197618177943</v>
      </c>
      <c r="AA115">
        <f t="shared" si="144"/>
        <v>1.5608782040779552</v>
      </c>
      <c r="AB115">
        <f t="shared" si="145"/>
        <v>6.784066496925042</v>
      </c>
      <c r="AC115">
        <f t="shared" si="146"/>
        <v>6.97</v>
      </c>
      <c r="AD115">
        <f t="shared" si="147"/>
        <v>0.39385723029219144</v>
      </c>
      <c r="AF115">
        <f t="shared" si="163"/>
        <v>0.05122998267885326</v>
      </c>
      <c r="AG115">
        <f t="shared" si="164"/>
        <v>2.9352617920266026</v>
      </c>
      <c r="AH115">
        <f t="shared" si="148"/>
        <v>6.792978671542726</v>
      </c>
      <c r="AI115">
        <f t="shared" si="165"/>
        <v>0.22585769246399787</v>
      </c>
      <c r="AJ115">
        <f t="shared" si="166"/>
        <v>12.940692548750777</v>
      </c>
      <c r="AS115" t="s">
        <v>108</v>
      </c>
      <c r="AT115">
        <f t="shared" si="149"/>
        <v>0.34785197618177943</v>
      </c>
      <c r="AU115">
        <f t="shared" si="150"/>
        <v>1.5559945758676412</v>
      </c>
      <c r="AV115">
        <f t="shared" si="151"/>
        <v>6.957086190638589</v>
      </c>
      <c r="AW115">
        <f t="shared" si="152"/>
        <v>7.137448310246263</v>
      </c>
      <c r="AX115">
        <f t="shared" si="153"/>
        <v>0.3938572302921915</v>
      </c>
    </row>
    <row r="116" spans="6:50" ht="12.75">
      <c r="F116" t="s">
        <v>109</v>
      </c>
      <c r="G116">
        <f t="shared" si="154"/>
        <v>0.0521171505602827</v>
      </c>
      <c r="H116">
        <f t="shared" si="140"/>
        <v>0.27444329300239756</v>
      </c>
      <c r="J116">
        <f t="shared" si="155"/>
        <v>0.3495038364079591</v>
      </c>
      <c r="K116">
        <f t="shared" si="156"/>
        <v>0.09840199586758175</v>
      </c>
      <c r="L116">
        <f t="shared" si="157"/>
        <v>6.960536194543161</v>
      </c>
      <c r="M116">
        <f t="shared" si="141"/>
        <v>6.97</v>
      </c>
      <c r="N116">
        <f t="shared" si="142"/>
        <v>0.39385724028819924</v>
      </c>
      <c r="P116">
        <f t="shared" si="158"/>
        <v>0.050170064430542</v>
      </c>
      <c r="Q116">
        <f t="shared" si="159"/>
        <v>2.8745329497694683</v>
      </c>
      <c r="R116">
        <f t="shared" si="160"/>
        <v>6.969305348971967</v>
      </c>
      <c r="S116">
        <f t="shared" si="161"/>
        <v>0.01411840244049155</v>
      </c>
      <c r="T116">
        <f t="shared" si="162"/>
        <v>0.8089248733073672</v>
      </c>
      <c r="Y116" t="s">
        <v>109</v>
      </c>
      <c r="Z116">
        <f t="shared" si="143"/>
        <v>0.3495038364079591</v>
      </c>
      <c r="AA116">
        <f t="shared" si="144"/>
        <v>1.1748468741314544</v>
      </c>
      <c r="AB116">
        <f t="shared" si="145"/>
        <v>6.861376093079264</v>
      </c>
      <c r="AC116">
        <f t="shared" si="146"/>
        <v>6.97</v>
      </c>
      <c r="AD116">
        <f t="shared" si="147"/>
        <v>0.3938572402881993</v>
      </c>
      <c r="AF116">
        <f t="shared" si="163"/>
        <v>0.050893876023860744</v>
      </c>
      <c r="AG116">
        <f t="shared" si="164"/>
        <v>2.916004299229272</v>
      </c>
      <c r="AH116">
        <f t="shared" si="148"/>
        <v>6.870271815753984</v>
      </c>
      <c r="AI116">
        <f t="shared" si="165"/>
        <v>0.16936620628141894</v>
      </c>
      <c r="AJ116">
        <f t="shared" si="166"/>
        <v>9.703968812067398</v>
      </c>
      <c r="AS116" t="s">
        <v>109</v>
      </c>
      <c r="AT116">
        <f t="shared" si="149"/>
        <v>0.3495038364079591</v>
      </c>
      <c r="AU116">
        <f t="shared" si="150"/>
        <v>1.1630877001056275</v>
      </c>
      <c r="AV116">
        <f t="shared" si="151"/>
        <v>6.932163342953646</v>
      </c>
      <c r="AW116">
        <f t="shared" si="152"/>
        <v>7.037742148103407</v>
      </c>
      <c r="AX116">
        <f t="shared" si="153"/>
        <v>0.3938572402881994</v>
      </c>
    </row>
    <row r="117" spans="6:50" ht="12.75">
      <c r="F117" t="s">
        <v>110</v>
      </c>
      <c r="G117">
        <f t="shared" si="154"/>
        <v>0.10010648918433265</v>
      </c>
      <c r="H117">
        <f t="shared" si="140"/>
        <v>-0.14154907046155793</v>
      </c>
      <c r="J117">
        <f t="shared" si="155"/>
        <v>0.6896107142354301</v>
      </c>
      <c r="K117">
        <f t="shared" si="156"/>
        <v>-0.09827095746849879</v>
      </c>
      <c r="L117">
        <f t="shared" si="157"/>
        <v>6.935104893347318</v>
      </c>
      <c r="M117">
        <f t="shared" si="141"/>
        <v>6.97</v>
      </c>
      <c r="N117">
        <f t="shared" si="142"/>
        <v>0.3938572444205234</v>
      </c>
      <c r="P117">
        <f t="shared" si="158"/>
        <v>0.09911186523131547</v>
      </c>
      <c r="Q117">
        <f t="shared" si="159"/>
        <v>5.678691577423781</v>
      </c>
      <c r="R117">
        <f t="shared" si="160"/>
        <v>6.969307197915602</v>
      </c>
      <c r="S117">
        <f t="shared" si="161"/>
        <v>-0.014099600224899676</v>
      </c>
      <c r="T117">
        <f t="shared" si="162"/>
        <v>-0.8078475857084578</v>
      </c>
      <c r="Y117" t="s">
        <v>110</v>
      </c>
      <c r="Z117">
        <f t="shared" si="143"/>
        <v>0.6896107142354301</v>
      </c>
      <c r="AA117">
        <f t="shared" si="144"/>
        <v>0.9766079935027299</v>
      </c>
      <c r="AB117">
        <f t="shared" si="145"/>
        <v>6.8667003640641155</v>
      </c>
      <c r="AC117">
        <f t="shared" si="146"/>
        <v>6.969999999999999</v>
      </c>
      <c r="AD117">
        <f t="shared" si="147"/>
        <v>0.3938572444205234</v>
      </c>
      <c r="AF117">
        <f t="shared" si="163"/>
        <v>0.10009264632075641</v>
      </c>
      <c r="AG117">
        <f t="shared" si="164"/>
        <v>5.73488619447499</v>
      </c>
      <c r="AH117">
        <f t="shared" si="148"/>
        <v>6.901241687336168</v>
      </c>
      <c r="AI117">
        <f t="shared" si="165"/>
        <v>0.14057849317889362</v>
      </c>
      <c r="AJ117">
        <f t="shared" si="166"/>
        <v>8.054554349459236</v>
      </c>
      <c r="AS117" t="s">
        <v>110</v>
      </c>
      <c r="AT117">
        <f t="shared" si="149"/>
        <v>0.6896107142354301</v>
      </c>
      <c r="AU117">
        <f t="shared" si="150"/>
        <v>0.9701887805697056</v>
      </c>
      <c r="AV117">
        <f t="shared" si="151"/>
        <v>6.886152382342899</v>
      </c>
      <c r="AW117">
        <f t="shared" si="152"/>
        <v>6.988270446968865</v>
      </c>
      <c r="AX117">
        <f t="shared" si="153"/>
        <v>0.3938572444205236</v>
      </c>
    </row>
    <row r="118" spans="6:49" ht="12.75">
      <c r="F118" t="s">
        <v>111</v>
      </c>
      <c r="G118">
        <f t="shared" si="154"/>
        <v>0.1077790980495561</v>
      </c>
      <c r="H118">
        <f t="shared" si="140"/>
        <v>0.4051808877717918</v>
      </c>
      <c r="J118">
        <f t="shared" si="155"/>
        <v>0.6890589709923881</v>
      </c>
      <c r="K118">
        <f t="shared" si="156"/>
        <v>0.2955468139862438</v>
      </c>
      <c r="L118">
        <f t="shared" si="157"/>
        <v>6.929556249518254</v>
      </c>
      <c r="M118">
        <f>(J118^2+K118^2+L118^2)^0.5</f>
        <v>6.97</v>
      </c>
      <c r="P118">
        <f t="shared" si="158"/>
        <v>0.09911186537491666</v>
      </c>
      <c r="Q118">
        <f t="shared" si="159"/>
        <v>5.678691585651523</v>
      </c>
      <c r="R118">
        <f t="shared" si="160"/>
        <v>6.963731189580955</v>
      </c>
      <c r="S118">
        <f t="shared" si="161"/>
        <v>0.04241541616967748</v>
      </c>
      <c r="T118">
        <f t="shared" si="162"/>
        <v>2.4302243328134674</v>
      </c>
      <c r="Y118" t="s">
        <v>111</v>
      </c>
      <c r="Z118">
        <f t="shared" si="143"/>
        <v>0.6890589709923881</v>
      </c>
      <c r="AA118">
        <f t="shared" si="144"/>
        <v>1.3648183318145535</v>
      </c>
      <c r="AB118">
        <f t="shared" si="145"/>
        <v>6.8002476907564064</v>
      </c>
      <c r="AC118">
        <f>(Z118^2+AA118^2+AB118^2)^0.5</f>
        <v>6.969999999999999</v>
      </c>
      <c r="AF118">
        <f t="shared" si="163"/>
        <v>0.10098383588200614</v>
      </c>
      <c r="AG118">
        <f t="shared" si="164"/>
        <v>5.7859475950807155</v>
      </c>
      <c r="AH118">
        <f t="shared" si="148"/>
        <v>6.835069196514614</v>
      </c>
      <c r="AI118">
        <f t="shared" si="165"/>
        <v>0.19708668291291345</v>
      </c>
      <c r="AJ118">
        <f t="shared" si="166"/>
        <v>11.292235129143059</v>
      </c>
      <c r="AS118" t="s">
        <v>111</v>
      </c>
      <c r="AT118">
        <f t="shared" si="149"/>
        <v>0.6890589709923881</v>
      </c>
      <c r="AU118">
        <f t="shared" si="150"/>
        <v>1.3623992726034089</v>
      </c>
      <c r="AV118">
        <f t="shared" si="151"/>
        <v>6.922126741275369</v>
      </c>
      <c r="AW118">
        <f>(AT118^2+AU118^2+AV118^2)^0.5</f>
        <v>7.088495797119085</v>
      </c>
    </row>
    <row r="119" spans="6:27" ht="12.75">
      <c r="F119" t="s">
        <v>225</v>
      </c>
      <c r="G119">
        <f>D$33</f>
        <v>-0.09911186523131546</v>
      </c>
      <c r="H119">
        <v>0</v>
      </c>
      <c r="Z119">
        <f>ACOS(AB118/(Z118^2+AA118^2+AB118^2)^0.5)</f>
        <v>0.22115249468148468</v>
      </c>
      <c r="AA119">
        <f>ATAN(Z118/AA118)</f>
        <v>0.4675378479982614</v>
      </c>
    </row>
    <row r="123" spans="7:36" ht="12.75">
      <c r="G123" t="s">
        <v>83</v>
      </c>
      <c r="H123" t="s">
        <v>83</v>
      </c>
      <c r="Q123" t="s">
        <v>248</v>
      </c>
      <c r="T123" t="s">
        <v>55</v>
      </c>
      <c r="AG123" t="s">
        <v>248</v>
      </c>
      <c r="AJ123" t="s">
        <v>55</v>
      </c>
    </row>
    <row r="124" spans="7:50" ht="12.75">
      <c r="G124" t="s">
        <v>33</v>
      </c>
      <c r="H124" t="s">
        <v>84</v>
      </c>
      <c r="J124" t="s">
        <v>36</v>
      </c>
      <c r="K124" t="s">
        <v>38</v>
      </c>
      <c r="L124" t="s">
        <v>78</v>
      </c>
      <c r="M124" t="s">
        <v>79</v>
      </c>
      <c r="N124" t="s">
        <v>81</v>
      </c>
      <c r="Q124" t="s">
        <v>247</v>
      </c>
      <c r="R124" t="s">
        <v>266</v>
      </c>
      <c r="S124" t="s">
        <v>46</v>
      </c>
      <c r="T124" t="s">
        <v>267</v>
      </c>
      <c r="Z124" t="s">
        <v>36</v>
      </c>
      <c r="AA124" t="s">
        <v>38</v>
      </c>
      <c r="AB124" t="s">
        <v>78</v>
      </c>
      <c r="AC124" t="s">
        <v>79</v>
      </c>
      <c r="AD124" t="s">
        <v>81</v>
      </c>
      <c r="AG124" t="s">
        <v>247</v>
      </c>
      <c r="AH124" t="s">
        <v>266</v>
      </c>
      <c r="AI124" t="s">
        <v>46</v>
      </c>
      <c r="AJ124" t="s">
        <v>267</v>
      </c>
      <c r="AT124" t="s">
        <v>36</v>
      </c>
      <c r="AU124" t="s">
        <v>38</v>
      </c>
      <c r="AV124" t="s">
        <v>78</v>
      </c>
      <c r="AW124" t="s">
        <v>79</v>
      </c>
      <c r="AX124" t="s">
        <v>81</v>
      </c>
    </row>
    <row r="125" spans="4:50" ht="12.75">
      <c r="D125" t="s">
        <v>256</v>
      </c>
      <c r="F125" t="s">
        <v>112</v>
      </c>
      <c r="G125">
        <f>ASIN(J125/G$2/COS(H125))</f>
        <v>0.20980157307968086</v>
      </c>
      <c r="H125">
        <f aca="true" t="shared" si="167" ref="H125:H131">ATAN(K125/J125)</f>
        <v>-0.34559832453790684</v>
      </c>
      <c r="J125">
        <f>J73*COS(G$132)-L73*SIN(G$132)</f>
        <v>1.3657832128655287</v>
      </c>
      <c r="K125">
        <f>K73</f>
        <v>-0.4917479025397425</v>
      </c>
      <c r="L125">
        <f>J73*SIN(G$132)+L73*COS(G$132)</f>
        <v>6.817163648894053</v>
      </c>
      <c r="M125">
        <f aca="true" t="shared" si="168" ref="M125:M130">(J125^2+K125^2+L125^2)^0.5</f>
        <v>6.97</v>
      </c>
      <c r="N125">
        <f aca="true" t="shared" si="169" ref="N125:N130">((J125-J$131)^2+(K125-K$131)^2+(L125-L$131)^2)^0.5</f>
        <v>0.3938572385568398</v>
      </c>
      <c r="P125">
        <f aca="true" t="shared" si="170" ref="P125:P131">ASIN(J125/R125)</f>
        <v>0.1977270657486261</v>
      </c>
      <c r="Q125">
        <f>P125*180/PI()</f>
        <v>11.328926362902013</v>
      </c>
      <c r="R125">
        <f>G$2*COS(S125)</f>
        <v>6.9526314443056565</v>
      </c>
      <c r="S125">
        <f aca="true" t="shared" si="171" ref="S125:S131">ASIN(K125/M125)</f>
        <v>-0.07061072777796171</v>
      </c>
      <c r="T125">
        <f>S125*180/PI()</f>
        <v>-4.045696690024371</v>
      </c>
      <c r="Y125" t="s">
        <v>112</v>
      </c>
      <c r="Z125">
        <f aca="true" t="shared" si="172" ref="Z125:Z131">J125</f>
        <v>1.3657832128655287</v>
      </c>
      <c r="AA125">
        <f aca="true" t="shared" si="173" ref="AA125:AA131">K125*COS(X$45)+L125*SIN(X$45)</f>
        <v>0.5696156475652367</v>
      </c>
      <c r="AB125">
        <f aca="true" t="shared" si="174" ref="AB125:AB130">-K125*SIN(X$45)+L125*COS(X$45)</f>
        <v>6.811099340745483</v>
      </c>
      <c r="AC125">
        <f aca="true" t="shared" si="175" ref="AC125:AC130">(Z125^2+AA125^2+AB125^2)^0.5</f>
        <v>6.97</v>
      </c>
      <c r="AD125">
        <f aca="true" t="shared" si="176" ref="AD125:AD130">((Z125-Z$131)^2+(AA125-AA$131)^2+(AB125-AB$131)^2)^0.5</f>
        <v>0.3938572385568398</v>
      </c>
      <c r="AF125">
        <f aca="true" t="shared" si="177" ref="AF125:AF130">ASIN(Z125/AH125)</f>
        <v>0.19789855471967507</v>
      </c>
      <c r="AG125">
        <f>AF125*180/PI()</f>
        <v>11.33875195717616</v>
      </c>
      <c r="AH125">
        <f>G$2*COS(AI125)</f>
        <v>6.946685397659004</v>
      </c>
      <c r="AI125">
        <f aca="true" t="shared" si="178" ref="AI125:AI131">ASIN(AA125/AC125)</f>
        <v>0.08181515333185725</v>
      </c>
      <c r="AJ125">
        <f aca="true" t="shared" si="179" ref="AJ125:AJ131">AI125*180/PI()</f>
        <v>4.687662986131116</v>
      </c>
      <c r="AS125" t="s">
        <v>112</v>
      </c>
      <c r="AT125">
        <f aca="true" t="shared" si="180" ref="AT125:AT131">Z125</f>
        <v>1.3657832128655287</v>
      </c>
      <c r="AU125">
        <f aca="true" t="shared" si="181" ref="AU125:AU131">AA125*COS(AQ$13)+(AB125-AQ$18)*SIN(AQ$13)</f>
        <v>0.5913279496106806</v>
      </c>
      <c r="AV125">
        <f aca="true" t="shared" si="182" ref="AV125:AV131">-AA125*SIN(AQ$13)+(AB125-AQ$18)*COS(AQ$13)+AQ$22</f>
        <v>6.727411353585932</v>
      </c>
      <c r="AW125">
        <f aca="true" t="shared" si="183" ref="AW125:AW130">(AT125^2+AU125^2+AV125^2)^0.5</f>
        <v>6.890072281833693</v>
      </c>
      <c r="AX125">
        <f aca="true" t="shared" si="184" ref="AX125:AX130">((AT125-AT$131)^2+(AU125-AU$131)^2+(AV125-AV$131)^2)^0.5</f>
        <v>0.3938572385568397</v>
      </c>
    </row>
    <row r="126" spans="6:50" ht="12.75">
      <c r="F126" t="s">
        <v>113</v>
      </c>
      <c r="G126">
        <f aca="true" t="shared" si="185" ref="G126:G131">ASIN(J126/G$2/COS(H126))</f>
        <v>0.1981067423841796</v>
      </c>
      <c r="H126">
        <f t="shared" si="167"/>
        <v>-0.0717942216392718</v>
      </c>
      <c r="J126">
        <f aca="true" t="shared" si="186" ref="J126:J131">J74*COS(G$132)-L74*SIN(G$132)</f>
        <v>1.368255932217921</v>
      </c>
      <c r="K126">
        <f aca="true" t="shared" si="187" ref="K126:K131">K74</f>
        <v>-0.09840199586758161</v>
      </c>
      <c r="L126">
        <f aca="true" t="shared" si="188" ref="L126:L131">J74*SIN(G$132)+L74*COS(G$132)</f>
        <v>6.8336734448728045</v>
      </c>
      <c r="M126">
        <f t="shared" si="168"/>
        <v>6.97</v>
      </c>
      <c r="N126">
        <f t="shared" si="169"/>
        <v>0.39385722856083194</v>
      </c>
      <c r="P126">
        <f t="shared" si="170"/>
        <v>0.19760959864774666</v>
      </c>
      <c r="Q126">
        <f aca="true" t="shared" si="189" ref="Q126:Q131">P126*180/PI()</f>
        <v>11.322195993789983</v>
      </c>
      <c r="R126">
        <f aca="true" t="shared" si="190" ref="R126:R131">G$2*COS(S126)</f>
        <v>6.969305348971967</v>
      </c>
      <c r="S126">
        <f t="shared" si="171"/>
        <v>-0.01411840244049153</v>
      </c>
      <c r="T126">
        <f aca="true" t="shared" si="191" ref="T126:T131">S126*180/PI()</f>
        <v>-0.8089248733073661</v>
      </c>
      <c r="Y126" t="s">
        <v>113</v>
      </c>
      <c r="Z126">
        <f t="shared" si="172"/>
        <v>1.368255932217921</v>
      </c>
      <c r="AA126">
        <f t="shared" si="173"/>
        <v>0.9607749017565975</v>
      </c>
      <c r="AB126">
        <f t="shared" si="174"/>
        <v>6.76651219551883</v>
      </c>
      <c r="AC126">
        <f t="shared" si="175"/>
        <v>6.97</v>
      </c>
      <c r="AD126">
        <f t="shared" si="176"/>
        <v>0.393857228560832</v>
      </c>
      <c r="AF126">
        <f t="shared" si="177"/>
        <v>0.19951958308846426</v>
      </c>
      <c r="AG126">
        <f aca="true" t="shared" si="192" ref="AG126:AG131">AF126*180/PI()</f>
        <v>11.431630041178758</v>
      </c>
      <c r="AH126">
        <f aca="true" t="shared" si="193" ref="AH126:AH131">G$2*COS(AI126)</f>
        <v>6.903463738454385</v>
      </c>
      <c r="AI126">
        <f t="shared" si="178"/>
        <v>0.13828462535409153</v>
      </c>
      <c r="AJ126">
        <f t="shared" si="179"/>
        <v>7.923125404337222</v>
      </c>
      <c r="AS126" t="s">
        <v>113</v>
      </c>
      <c r="AT126">
        <f t="shared" si="180"/>
        <v>1.368255932217921</v>
      </c>
      <c r="AU126">
        <f t="shared" si="181"/>
        <v>0.9807451550234604</v>
      </c>
      <c r="AV126">
        <f t="shared" si="182"/>
        <v>6.78527166630117</v>
      </c>
      <c r="AW126">
        <f t="shared" si="183"/>
        <v>6.990986835966792</v>
      </c>
      <c r="AX126">
        <f t="shared" si="184"/>
        <v>0.393857228560832</v>
      </c>
    </row>
    <row r="127" spans="6:50" ht="12.75">
      <c r="F127" t="s">
        <v>114</v>
      </c>
      <c r="G127">
        <f t="shared" si="185"/>
        <v>0.14932999041438108</v>
      </c>
      <c r="H127">
        <f t="shared" si="167"/>
        <v>0.09491019683387189</v>
      </c>
      <c r="J127">
        <f t="shared" si="186"/>
        <v>1.0322990599821982</v>
      </c>
      <c r="K127">
        <f t="shared" si="187"/>
        <v>0.09827095746849879</v>
      </c>
      <c r="L127">
        <f t="shared" si="188"/>
        <v>6.8924307373870715</v>
      </c>
      <c r="M127">
        <f t="shared" si="168"/>
        <v>6.97</v>
      </c>
      <c r="N127">
        <f t="shared" si="169"/>
        <v>0.39385722442850774</v>
      </c>
      <c r="P127">
        <f t="shared" si="170"/>
        <v>0.14866779784698303</v>
      </c>
      <c r="Q127">
        <f t="shared" si="189"/>
        <v>8.518037366136234</v>
      </c>
      <c r="R127">
        <f t="shared" si="190"/>
        <v>6.969307197915602</v>
      </c>
      <c r="S127">
        <f t="shared" si="171"/>
        <v>0.014099600224899676</v>
      </c>
      <c r="T127">
        <f t="shared" si="191"/>
        <v>0.8078475857084578</v>
      </c>
      <c r="Y127" t="s">
        <v>114</v>
      </c>
      <c r="Z127">
        <f t="shared" si="172"/>
        <v>1.0322990599821982</v>
      </c>
      <c r="AA127">
        <f t="shared" si="173"/>
        <v>1.1641733177717724</v>
      </c>
      <c r="AB127">
        <f t="shared" si="174"/>
        <v>6.794112093345835</v>
      </c>
      <c r="AC127">
        <f t="shared" si="175"/>
        <v>6.97</v>
      </c>
      <c r="AD127">
        <f t="shared" si="176"/>
        <v>0.39385722442850774</v>
      </c>
      <c r="AF127">
        <f t="shared" si="177"/>
        <v>0.1507869560753721</v>
      </c>
      <c r="AG127">
        <f t="shared" si="192"/>
        <v>8.639456188743349</v>
      </c>
      <c r="AH127">
        <f t="shared" si="193"/>
        <v>6.872088509775486</v>
      </c>
      <c r="AI127">
        <f t="shared" si="178"/>
        <v>0.16781282622725335</v>
      </c>
      <c r="AJ127">
        <f t="shared" si="179"/>
        <v>9.614966690983907</v>
      </c>
      <c r="AS127" t="s">
        <v>114</v>
      </c>
      <c r="AT127">
        <f t="shared" si="180"/>
        <v>1.0322990599821982</v>
      </c>
      <c r="AU127">
        <f t="shared" si="181"/>
        <v>1.1701328921014968</v>
      </c>
      <c r="AV127">
        <f t="shared" si="182"/>
        <v>6.86442313528314</v>
      </c>
      <c r="AW127">
        <f t="shared" si="183"/>
        <v>7.039542408042469</v>
      </c>
      <c r="AX127">
        <f t="shared" si="184"/>
        <v>0.39385722442850785</v>
      </c>
    </row>
    <row r="128" spans="6:50" ht="12.75">
      <c r="F128" t="s">
        <v>115</v>
      </c>
      <c r="G128">
        <f t="shared" si="185"/>
        <v>0.10071714120349924</v>
      </c>
      <c r="H128">
        <f t="shared" si="167"/>
        <v>-0.14087687348641348</v>
      </c>
      <c r="J128">
        <f t="shared" si="186"/>
        <v>0.6938694683939469</v>
      </c>
      <c r="K128">
        <f t="shared" si="187"/>
        <v>-0.09840199586758161</v>
      </c>
      <c r="L128">
        <f t="shared" si="188"/>
        <v>6.934678233922608</v>
      </c>
      <c r="M128">
        <f t="shared" si="168"/>
        <v>6.970000000000001</v>
      </c>
      <c r="N128">
        <f t="shared" si="169"/>
        <v>0.39385723029219144</v>
      </c>
      <c r="P128">
        <f t="shared" si="170"/>
        <v>0.09972599704619972</v>
      </c>
      <c r="Q128">
        <f t="shared" si="189"/>
        <v>5.713878738481358</v>
      </c>
      <c r="R128">
        <f t="shared" si="190"/>
        <v>6.969305348971967</v>
      </c>
      <c r="S128">
        <f t="shared" si="171"/>
        <v>-0.014118402440491529</v>
      </c>
      <c r="T128">
        <f t="shared" si="191"/>
        <v>-0.8089248733073661</v>
      </c>
      <c r="Y128" t="s">
        <v>115</v>
      </c>
      <c r="Z128">
        <f t="shared" si="172"/>
        <v>0.6938694683939469</v>
      </c>
      <c r="AA128">
        <f t="shared" si="173"/>
        <v>0.9764124795955896</v>
      </c>
      <c r="AB128">
        <f t="shared" si="174"/>
        <v>6.866299136399513</v>
      </c>
      <c r="AC128">
        <f t="shared" si="175"/>
        <v>6.97</v>
      </c>
      <c r="AD128">
        <f t="shared" si="176"/>
        <v>0.39385723029219144</v>
      </c>
      <c r="AF128">
        <f t="shared" si="177"/>
        <v>0.10071246445696325</v>
      </c>
      <c r="AG128">
        <f t="shared" si="192"/>
        <v>5.770399157745306</v>
      </c>
      <c r="AH128">
        <f t="shared" si="193"/>
        <v>6.901269352060531</v>
      </c>
      <c r="AI128">
        <f t="shared" si="178"/>
        <v>0.14055016298497902</v>
      </c>
      <c r="AJ128">
        <f t="shared" si="179"/>
        <v>8.052931148915143</v>
      </c>
      <c r="AS128" t="s">
        <v>115</v>
      </c>
      <c r="AT128">
        <f t="shared" si="180"/>
        <v>0.6938694683939469</v>
      </c>
      <c r="AU128">
        <f t="shared" si="181"/>
        <v>0.9701034237667515</v>
      </c>
      <c r="AV128">
        <f t="shared" si="182"/>
        <v>6.885714291549892</v>
      </c>
      <c r="AW128">
        <f t="shared" si="183"/>
        <v>6.988248478469243</v>
      </c>
      <c r="AX128">
        <f t="shared" si="184"/>
        <v>0.39385723029219144</v>
      </c>
    </row>
    <row r="129" spans="6:50" ht="12.75">
      <c r="F129" t="s">
        <v>116</v>
      </c>
      <c r="G129">
        <f t="shared" si="185"/>
        <v>0.12202961938872144</v>
      </c>
      <c r="H129">
        <f t="shared" si="167"/>
        <v>-0.6182287456258262</v>
      </c>
      <c r="J129">
        <f t="shared" si="186"/>
        <v>0.6913967490415545</v>
      </c>
      <c r="K129">
        <f t="shared" si="187"/>
        <v>-0.4917479025397425</v>
      </c>
      <c r="L129">
        <f t="shared" si="188"/>
        <v>6.918168437943857</v>
      </c>
      <c r="M129">
        <f t="shared" si="168"/>
        <v>6.970000000000001</v>
      </c>
      <c r="N129">
        <f t="shared" si="169"/>
        <v>0.3938572402881991</v>
      </c>
      <c r="P129">
        <f t="shared" si="170"/>
        <v>0.0996085299453203</v>
      </c>
      <c r="Q129">
        <f t="shared" si="189"/>
        <v>5.70714836936933</v>
      </c>
      <c r="R129">
        <f t="shared" si="190"/>
        <v>6.9526314443056565</v>
      </c>
      <c r="S129">
        <f t="shared" si="171"/>
        <v>-0.0706107277779617</v>
      </c>
      <c r="T129">
        <f t="shared" si="191"/>
        <v>-4.0456966900243705</v>
      </c>
      <c r="Y129" t="s">
        <v>116</v>
      </c>
      <c r="Z129">
        <f t="shared" si="172"/>
        <v>0.6913967490415545</v>
      </c>
      <c r="AA129">
        <f t="shared" si="173"/>
        <v>0.5852532254042286</v>
      </c>
      <c r="AB129">
        <f t="shared" si="174"/>
        <v>6.910886281626166</v>
      </c>
      <c r="AC129">
        <f t="shared" si="175"/>
        <v>6.970000000000001</v>
      </c>
      <c r="AD129">
        <f t="shared" si="176"/>
        <v>0.3938572402881991</v>
      </c>
      <c r="AF129">
        <f t="shared" si="177"/>
        <v>0.09971279571937589</v>
      </c>
      <c r="AG129">
        <f t="shared" si="192"/>
        <v>5.71312235817038</v>
      </c>
      <c r="AH129">
        <f t="shared" si="193"/>
        <v>6.945385422145696</v>
      </c>
      <c r="AI129">
        <f t="shared" si="178"/>
        <v>0.08406644782022135</v>
      </c>
      <c r="AJ129">
        <f t="shared" si="179"/>
        <v>4.816652658755443</v>
      </c>
      <c r="AS129" t="s">
        <v>116</v>
      </c>
      <c r="AT129">
        <f t="shared" si="180"/>
        <v>0.6913967490415545</v>
      </c>
      <c r="AU129">
        <f t="shared" si="181"/>
        <v>0.5806862183539715</v>
      </c>
      <c r="AV129">
        <f t="shared" si="182"/>
        <v>6.827853978834654</v>
      </c>
      <c r="AW129">
        <f t="shared" si="183"/>
        <v>6.88729380127345</v>
      </c>
      <c r="AX129">
        <f t="shared" si="184"/>
        <v>0.393857240288199</v>
      </c>
    </row>
    <row r="130" spans="6:50" ht="12.75">
      <c r="F130" t="s">
        <v>117</v>
      </c>
      <c r="G130">
        <f t="shared" si="185"/>
        <v>0.1783734411730906</v>
      </c>
      <c r="H130">
        <f t="shared" si="167"/>
        <v>-0.5903698464233796</v>
      </c>
      <c r="J130">
        <f t="shared" si="186"/>
        <v>1.0273536212773453</v>
      </c>
      <c r="K130">
        <f t="shared" si="187"/>
        <v>-0.688420855875823</v>
      </c>
      <c r="L130">
        <f t="shared" si="188"/>
        <v>6.859411145429579</v>
      </c>
      <c r="M130">
        <f t="shared" si="168"/>
        <v>6.970000000000001</v>
      </c>
      <c r="N130">
        <f t="shared" si="169"/>
        <v>0.3938572444205233</v>
      </c>
      <c r="P130">
        <f t="shared" si="170"/>
        <v>0.14866779784697318</v>
      </c>
      <c r="Q130">
        <f t="shared" si="189"/>
        <v>8.51803736613567</v>
      </c>
      <c r="R130">
        <f t="shared" si="190"/>
        <v>6.935919313630688</v>
      </c>
      <c r="S130">
        <f t="shared" si="171"/>
        <v>-0.09893042969481416</v>
      </c>
      <c r="T130">
        <f t="shared" si="191"/>
        <v>-5.668296086928564</v>
      </c>
      <c r="Y130" t="s">
        <v>117</v>
      </c>
      <c r="Z130">
        <f t="shared" si="172"/>
        <v>1.0273536212773453</v>
      </c>
      <c r="AA130">
        <f t="shared" si="173"/>
        <v>0.38185480938905214</v>
      </c>
      <c r="AB130">
        <f t="shared" si="174"/>
        <v>6.883286383799151</v>
      </c>
      <c r="AC130">
        <f t="shared" si="175"/>
        <v>6.970000000000001</v>
      </c>
      <c r="AD130">
        <f t="shared" si="176"/>
        <v>0.3938572444205233</v>
      </c>
      <c r="AF130">
        <f t="shared" si="177"/>
        <v>0.14815965757336924</v>
      </c>
      <c r="AG130">
        <f t="shared" si="192"/>
        <v>8.488923073057542</v>
      </c>
      <c r="AH130">
        <f t="shared" si="193"/>
        <v>6.959532089483203</v>
      </c>
      <c r="AI130">
        <f t="shared" si="178"/>
        <v>0.05481292503255123</v>
      </c>
      <c r="AJ130">
        <f t="shared" si="179"/>
        <v>3.140549267132166</v>
      </c>
      <c r="AS130" t="s">
        <v>117</v>
      </c>
      <c r="AT130">
        <f t="shared" si="180"/>
        <v>1.0273536212773453</v>
      </c>
      <c r="AU130">
        <f t="shared" si="181"/>
        <v>0.3912984812759359</v>
      </c>
      <c r="AV130">
        <f t="shared" si="182"/>
        <v>6.7487025098526745</v>
      </c>
      <c r="AW130">
        <f t="shared" si="183"/>
        <v>6.837657166829317</v>
      </c>
      <c r="AX130">
        <f t="shared" si="184"/>
        <v>0.3938572444205232</v>
      </c>
    </row>
    <row r="131" spans="6:49" ht="12.75">
      <c r="F131" t="s">
        <v>118</v>
      </c>
      <c r="G131">
        <f t="shared" si="185"/>
        <v>0.1545571282519859</v>
      </c>
      <c r="H131">
        <f t="shared" si="167"/>
        <v>-0.2790525683036892</v>
      </c>
      <c r="J131">
        <f t="shared" si="186"/>
        <v>1.0314731385194984</v>
      </c>
      <c r="K131">
        <f t="shared" si="187"/>
        <v>-0.2955467940042317</v>
      </c>
      <c r="L131">
        <f t="shared" si="188"/>
        <v>6.886916237117056</v>
      </c>
      <c r="M131">
        <f>(J131^2+K131^2+L131^2)^0.5</f>
        <v>6.97</v>
      </c>
      <c r="P131">
        <f t="shared" si="170"/>
        <v>0.14866779799057436</v>
      </c>
      <c r="Q131">
        <f t="shared" si="189"/>
        <v>8.518037374363411</v>
      </c>
      <c r="R131">
        <f t="shared" si="190"/>
        <v>6.963731190429009</v>
      </c>
      <c r="S131">
        <f t="shared" si="171"/>
        <v>-0.04241541330023702</v>
      </c>
      <c r="T131">
        <f t="shared" si="191"/>
        <v>-2.4302241684066397</v>
      </c>
      <c r="Y131" t="s">
        <v>118</v>
      </c>
      <c r="Z131">
        <f t="shared" si="172"/>
        <v>1.0314731385194984</v>
      </c>
      <c r="AA131">
        <f t="shared" si="173"/>
        <v>0.7742502014354911</v>
      </c>
      <c r="AB131">
        <f>-K131*SIN(X$45)+L131*COS(X$45)</f>
        <v>6.849635011450598</v>
      </c>
      <c r="AC131">
        <f>(Z131^2+AA131^2+AB131^2)^0.5</f>
        <v>6.97</v>
      </c>
      <c r="AF131">
        <f>ASIN(Z131/AC131)</f>
        <v>0.14853309382021554</v>
      </c>
      <c r="AG131">
        <f t="shared" si="192"/>
        <v>8.51031939391904</v>
      </c>
      <c r="AH131">
        <f t="shared" si="193"/>
        <v>6.926863404570434</v>
      </c>
      <c r="AI131">
        <f t="shared" si="178"/>
        <v>0.11131297231067518</v>
      </c>
      <c r="AJ131">
        <f t="shared" si="179"/>
        <v>6.377763518458282</v>
      </c>
      <c r="AS131" t="s">
        <v>118</v>
      </c>
      <c r="AT131">
        <f t="shared" si="180"/>
        <v>1.0314731385194984</v>
      </c>
      <c r="AU131">
        <f t="shared" si="181"/>
        <v>0.7790880181984781</v>
      </c>
      <c r="AV131">
        <f t="shared" si="182"/>
        <v>6.817447208656435</v>
      </c>
      <c r="AW131">
        <f>(AT131^2+AU131^2+AV131^2)^0.5</f>
        <v>6.938912120671735</v>
      </c>
    </row>
    <row r="132" spans="6:27" ht="12.75">
      <c r="F132" t="s">
        <v>225</v>
      </c>
      <c r="G132">
        <f>D$33</f>
        <v>-0.09911186523131546</v>
      </c>
      <c r="Z132">
        <f>ACOS(AB131/(Z131^2+AA131^2+AB131^2)^0.5)</f>
        <v>0.18611255558561823</v>
      </c>
      <c r="AA132">
        <f>ATAN(Z131/AA131)</f>
        <v>0.9268949182824019</v>
      </c>
    </row>
    <row r="136" spans="7:36" ht="12.75">
      <c r="G136" t="s">
        <v>83</v>
      </c>
      <c r="H136" t="s">
        <v>83</v>
      </c>
      <c r="Q136" t="s">
        <v>248</v>
      </c>
      <c r="T136" t="s">
        <v>55</v>
      </c>
      <c r="AG136" t="s">
        <v>248</v>
      </c>
      <c r="AJ136" t="s">
        <v>55</v>
      </c>
    </row>
    <row r="137" spans="7:50" ht="12.75">
      <c r="G137" t="s">
        <v>33</v>
      </c>
      <c r="H137" t="s">
        <v>84</v>
      </c>
      <c r="J137" t="s">
        <v>36</v>
      </c>
      <c r="K137" t="s">
        <v>38</v>
      </c>
      <c r="L137" t="s">
        <v>78</v>
      </c>
      <c r="M137" t="s">
        <v>79</v>
      </c>
      <c r="N137" t="s">
        <v>81</v>
      </c>
      <c r="Q137" t="s">
        <v>247</v>
      </c>
      <c r="R137" t="s">
        <v>266</v>
      </c>
      <c r="S137" t="s">
        <v>46</v>
      </c>
      <c r="T137" t="s">
        <v>267</v>
      </c>
      <c r="Z137" t="s">
        <v>36</v>
      </c>
      <c r="AA137" t="s">
        <v>38</v>
      </c>
      <c r="AB137" t="s">
        <v>78</v>
      </c>
      <c r="AC137" t="s">
        <v>79</v>
      </c>
      <c r="AD137" t="s">
        <v>81</v>
      </c>
      <c r="AG137" t="s">
        <v>247</v>
      </c>
      <c r="AH137" t="s">
        <v>266</v>
      </c>
      <c r="AI137" t="s">
        <v>46</v>
      </c>
      <c r="AJ137" t="s">
        <v>267</v>
      </c>
      <c r="AT137" t="s">
        <v>36</v>
      </c>
      <c r="AU137" t="s">
        <v>38</v>
      </c>
      <c r="AV137" t="s">
        <v>78</v>
      </c>
      <c r="AW137" t="s">
        <v>79</v>
      </c>
      <c r="AX137" t="s">
        <v>81</v>
      </c>
    </row>
    <row r="138" spans="6:50" ht="12.75">
      <c r="F138" t="s">
        <v>122</v>
      </c>
      <c r="G138">
        <f>ASIN(J138/G$2/COS(H138))</f>
        <v>0.22083752798278986</v>
      </c>
      <c r="H138">
        <f aca="true" t="shared" si="194" ref="H138:H144">ATAN(K138/J138)</f>
        <v>0.4669337028262375</v>
      </c>
      <c r="J138">
        <f>J86*COS(G$145)-L86*SIN(G$145)</f>
        <v>1.3633217343728168</v>
      </c>
      <c r="K138">
        <f>K86</f>
        <v>0.6872701075385119</v>
      </c>
      <c r="L138">
        <f>J86*SIN(G$145)+L86*COS(G$145)</f>
        <v>6.8007289056299465</v>
      </c>
      <c r="M138">
        <f aca="true" t="shared" si="195" ref="M138:M143">(J138^2+K138^2+L138^2)^0.5</f>
        <v>6.97</v>
      </c>
      <c r="N138">
        <f aca="true" t="shared" si="196" ref="N138:N143">((J138-J$144)^2+(K138-K$144)^2+(L138-L$144)^2)^0.5</f>
        <v>0.39385723855683974</v>
      </c>
      <c r="P138">
        <f>ASIN(J138/R138)</f>
        <v>0.19784455977396642</v>
      </c>
      <c r="Q138">
        <f>P138*180/PI()</f>
        <v>11.335658274672017</v>
      </c>
      <c r="R138">
        <f>G$2*COS(S138)</f>
        <v>6.936033434123858</v>
      </c>
      <c r="S138">
        <f>ASIN(K138/M138)</f>
        <v>0.0987645196235219</v>
      </c>
      <c r="T138">
        <f>S138*180/PI()</f>
        <v>5.658790140064803</v>
      </c>
      <c r="Y138" t="s">
        <v>122</v>
      </c>
      <c r="Z138">
        <f aca="true" t="shared" si="197" ref="Z138:Z144">J138</f>
        <v>1.3633217343728168</v>
      </c>
      <c r="AA138">
        <f aca="true" t="shared" si="198" ref="AA138:AA144">K138*COS(X$45)+L138*SIN(X$45)</f>
        <v>1.7318734176794597</v>
      </c>
      <c r="AB138">
        <f aca="true" t="shared" si="199" ref="AB138:AB144">-K138*SIN(X$45)+L138*COS(X$45)</f>
        <v>6.612326996884073</v>
      </c>
      <c r="AC138">
        <f aca="true" t="shared" si="200" ref="AC138:AC143">(Z138^2+AA138^2+AB138^2)^0.5</f>
        <v>6.969999999999999</v>
      </c>
      <c r="AD138">
        <f aca="true" t="shared" si="201" ref="AD138:AD143">((Z138-Z$144)^2+(AA138-AA$144)^2+(AB138-AB$144)^2)^0.5</f>
        <v>0.3938572385568396</v>
      </c>
      <c r="AF138">
        <f>ASIN(Z138/AH138)</f>
        <v>0.2033296058636357</v>
      </c>
      <c r="AG138">
        <f>AF138*180/PI()</f>
        <v>11.649928266044801</v>
      </c>
      <c r="AH138">
        <f aca="true" t="shared" si="202" ref="AH138:AH144">G$2*COS(AI138)</f>
        <v>6.751408331980467</v>
      </c>
      <c r="AI138">
        <f>ASIN(AA138/AC138)</f>
        <v>0.25110595651586615</v>
      </c>
      <c r="AJ138">
        <f>AI138*180/PI()</f>
        <v>14.387311518954704</v>
      </c>
      <c r="AS138" t="s">
        <v>122</v>
      </c>
      <c r="AT138">
        <f aca="true" t="shared" si="203" ref="AT138:AT144">Z138</f>
        <v>1.3633217343728168</v>
      </c>
      <c r="AU138">
        <f aca="true" t="shared" si="204" ref="AU138:AU144">AA138*COS(AQ$13)+(AB138-AQ$18)*SIN(AQ$13)</f>
        <v>1.7655154251213272</v>
      </c>
      <c r="AV138">
        <f aca="true" t="shared" si="205" ref="AV138:AV144">-AA138*SIN(AQ$13)+(AB138-AQ$18)*COS(AQ$13)+AQ$22</f>
        <v>6.835287862747931</v>
      </c>
      <c r="AW138">
        <f aca="true" t="shared" si="206" ref="AW138:AW143">(AT138^2+AU138^2+AV138^2)^0.5</f>
        <v>7.190052227514332</v>
      </c>
      <c r="AX138">
        <f aca="true" t="shared" si="207" ref="AX138:AX143">((AT138-AT$144)^2+(AU138-AU$144)^2+(AV138-AV$144)^2)^0.5</f>
        <v>0.39385723855683974</v>
      </c>
    </row>
    <row r="139" spans="6:50" ht="12.75">
      <c r="F139" t="s">
        <v>123</v>
      </c>
      <c r="G139">
        <f aca="true" t="shared" si="208" ref="G139:G144">ASIN(J139/G$2/COS(H139))</f>
        <v>0.25113948545789233</v>
      </c>
      <c r="H139">
        <f t="shared" si="194"/>
        <v>0.671607860879575</v>
      </c>
      <c r="J139">
        <f aca="true" t="shared" si="209" ref="J139:J144">J87*COS(G$145)-L87*SIN(G$145)</f>
        <v>1.355926153467143</v>
      </c>
      <c r="K139">
        <f aca="true" t="shared" si="210" ref="K139:K144">K87</f>
        <v>1.0777912270297079</v>
      </c>
      <c r="L139">
        <f aca="true" t="shared" si="211" ref="L139:L144">J87*SIN(G$145)+L87*COS(G$145)</f>
        <v>6.751350260302125</v>
      </c>
      <c r="M139">
        <f t="shared" si="195"/>
        <v>6.969999999999999</v>
      </c>
      <c r="N139">
        <f t="shared" si="196"/>
        <v>0.3938572285608322</v>
      </c>
      <c r="P139">
        <f aca="true" t="shared" si="212" ref="P139:P144">ASIN(J139/R139)</f>
        <v>0.19820098122381694</v>
      </c>
      <c r="Q139">
        <f aca="true" t="shared" si="213" ref="Q139:Q144">P139*180/PI()</f>
        <v>11.356079719476385</v>
      </c>
      <c r="R139">
        <f aca="true" t="shared" si="214" ref="R139:R144">G$2*COS(S139)</f>
        <v>6.886164830363691</v>
      </c>
      <c r="S139">
        <f aca="true" t="shared" si="215" ref="S139:S144">ASIN(K139/M139)</f>
        <v>0.15525586080995687</v>
      </c>
      <c r="T139">
        <f aca="true" t="shared" si="216" ref="T139:T144">S139*180/PI()</f>
        <v>8.895505569081088</v>
      </c>
      <c r="Y139" t="s">
        <v>123</v>
      </c>
      <c r="Z139">
        <f t="shared" si="197"/>
        <v>1.355926153467143</v>
      </c>
      <c r="AA139">
        <f t="shared" si="198"/>
        <v>2.1100410849035747</v>
      </c>
      <c r="AB139">
        <f t="shared" si="199"/>
        <v>6.503083183103436</v>
      </c>
      <c r="AC139">
        <f t="shared" si="200"/>
        <v>6.969999999999998</v>
      </c>
      <c r="AD139">
        <f t="shared" si="201"/>
        <v>0.3938572285608325</v>
      </c>
      <c r="AF139">
        <f aca="true" t="shared" si="217" ref="AF139:AF144">ASIN(Z139/AH139)</f>
        <v>0.20556002640368315</v>
      </c>
      <c r="AG139">
        <f aca="true" t="shared" si="218" ref="AG139:AG144">AF139*180/PI()</f>
        <v>11.777721949528809</v>
      </c>
      <c r="AH139">
        <f t="shared" si="202"/>
        <v>6.642938101474297</v>
      </c>
      <c r="AI139">
        <f aca="true" t="shared" si="219" ref="AI139:AI144">ASIN(AA139/AC139)</f>
        <v>0.3075577192044701</v>
      </c>
      <c r="AJ139">
        <f aca="true" t="shared" si="220" ref="AJ139:AJ144">AI139*180/PI()</f>
        <v>17.621759267085803</v>
      </c>
      <c r="AS139" t="s">
        <v>123</v>
      </c>
      <c r="AT139">
        <f t="shared" si="203"/>
        <v>1.355926153467143</v>
      </c>
      <c r="AU139">
        <f t="shared" si="204"/>
        <v>2.159065484520635</v>
      </c>
      <c r="AV139">
        <f t="shared" si="205"/>
        <v>6.827328834549168</v>
      </c>
      <c r="AW139">
        <f t="shared" si="206"/>
        <v>7.287833595463814</v>
      </c>
      <c r="AX139">
        <f t="shared" si="207"/>
        <v>0.3938572285608325</v>
      </c>
    </row>
    <row r="140" spans="6:50" ht="12.75">
      <c r="F140" t="s">
        <v>124</v>
      </c>
      <c r="G140">
        <f t="shared" si="208"/>
        <v>0.23577612507059817</v>
      </c>
      <c r="H140">
        <f t="shared" si="194"/>
        <v>0.897689036740367</v>
      </c>
      <c r="J140">
        <f t="shared" si="209"/>
        <v>1.0150351311023869</v>
      </c>
      <c r="K140">
        <f t="shared" si="210"/>
        <v>1.2730517867753057</v>
      </c>
      <c r="L140">
        <f t="shared" si="211"/>
        <v>6.7771633321631075</v>
      </c>
      <c r="M140">
        <f t="shared" si="195"/>
        <v>6.97</v>
      </c>
      <c r="N140">
        <f t="shared" si="196"/>
        <v>0.3938572244285076</v>
      </c>
      <c r="P140">
        <f t="shared" si="212"/>
        <v>0.14866779784698322</v>
      </c>
      <c r="Q140">
        <f t="shared" si="213"/>
        <v>8.518037366136246</v>
      </c>
      <c r="R140">
        <f t="shared" si="214"/>
        <v>6.8527541286834595</v>
      </c>
      <c r="S140">
        <f t="shared" si="215"/>
        <v>0.18367839029815763</v>
      </c>
      <c r="T140">
        <f t="shared" si="216"/>
        <v>10.523996551841119</v>
      </c>
      <c r="Y140" t="s">
        <v>124</v>
      </c>
      <c r="Z140">
        <f t="shared" si="197"/>
        <v>1.0150351311023869</v>
      </c>
      <c r="AA140">
        <f t="shared" si="198"/>
        <v>2.306943707435127</v>
      </c>
      <c r="AB140">
        <f t="shared" si="199"/>
        <v>6.498354746653449</v>
      </c>
      <c r="AC140">
        <f t="shared" si="200"/>
        <v>6.969999999999999</v>
      </c>
      <c r="AD140">
        <f t="shared" si="201"/>
        <v>0.3938572244285081</v>
      </c>
      <c r="AF140">
        <f t="shared" si="217"/>
        <v>0.15494674938040787</v>
      </c>
      <c r="AG140">
        <f t="shared" si="218"/>
        <v>8.877794788768673</v>
      </c>
      <c r="AH140">
        <f t="shared" si="202"/>
        <v>6.577150654403886</v>
      </c>
      <c r="AI140">
        <f t="shared" si="219"/>
        <v>0.3373439132308522</v>
      </c>
      <c r="AJ140">
        <f t="shared" si="220"/>
        <v>19.328382472555283</v>
      </c>
      <c r="AS140" t="s">
        <v>124</v>
      </c>
      <c r="AT140">
        <f t="shared" si="203"/>
        <v>1.0150351311023869</v>
      </c>
      <c r="AU140">
        <f t="shared" si="204"/>
        <v>2.3505196485919355</v>
      </c>
      <c r="AV140">
        <f t="shared" si="205"/>
        <v>6.873570633074139</v>
      </c>
      <c r="AW140">
        <f t="shared" si="206"/>
        <v>7.334930959705621</v>
      </c>
      <c r="AX140">
        <f t="shared" si="207"/>
        <v>0.3938572244285077</v>
      </c>
    </row>
    <row r="141" spans="6:50" ht="12.75">
      <c r="F141" t="s">
        <v>125</v>
      </c>
      <c r="G141">
        <f t="shared" si="208"/>
        <v>0.18399160865654407</v>
      </c>
      <c r="H141">
        <f t="shared" si="194"/>
        <v>1.006930124730931</v>
      </c>
      <c r="J141">
        <f t="shared" si="209"/>
        <v>0.6815396896431685</v>
      </c>
      <c r="K141">
        <f t="shared" si="210"/>
        <v>1.0777912270297079</v>
      </c>
      <c r="L141">
        <f t="shared" si="211"/>
        <v>6.852355049351929</v>
      </c>
      <c r="M141">
        <f t="shared" si="195"/>
        <v>6.969999999999999</v>
      </c>
      <c r="N141">
        <f t="shared" si="196"/>
        <v>0.3938572302921915</v>
      </c>
      <c r="P141">
        <f t="shared" si="212"/>
        <v>0.09913461447012945</v>
      </c>
      <c r="Q141">
        <f t="shared" si="213"/>
        <v>5.679995012794957</v>
      </c>
      <c r="R141">
        <f t="shared" si="214"/>
        <v>6.886164830363691</v>
      </c>
      <c r="S141">
        <f t="shared" si="215"/>
        <v>0.15525586080995687</v>
      </c>
      <c r="T141">
        <f t="shared" si="216"/>
        <v>8.895505569081088</v>
      </c>
      <c r="Y141" t="s">
        <v>125</v>
      </c>
      <c r="Z141">
        <f t="shared" si="197"/>
        <v>0.6815396896431685</v>
      </c>
      <c r="AA141">
        <f t="shared" si="198"/>
        <v>2.125678662742567</v>
      </c>
      <c r="AB141">
        <f t="shared" si="199"/>
        <v>6.602870123984118</v>
      </c>
      <c r="AC141">
        <f t="shared" si="200"/>
        <v>6.969999999999999</v>
      </c>
      <c r="AD141">
        <f t="shared" si="201"/>
        <v>0.39385723029219166</v>
      </c>
      <c r="AF141">
        <f t="shared" si="217"/>
        <v>0.10285446100393636</v>
      </c>
      <c r="AG141">
        <f t="shared" si="218"/>
        <v>5.893126519618462</v>
      </c>
      <c r="AH141">
        <f t="shared" si="202"/>
        <v>6.637950754770705</v>
      </c>
      <c r="AI141">
        <f t="shared" si="219"/>
        <v>0.3099126174016737</v>
      </c>
      <c r="AJ141">
        <f t="shared" si="220"/>
        <v>17.756684994968534</v>
      </c>
      <c r="AS141" t="s">
        <v>125</v>
      </c>
      <c r="AT141">
        <f t="shared" si="203"/>
        <v>0.6815396896431685</v>
      </c>
      <c r="AU141">
        <f t="shared" si="204"/>
        <v>2.148423753263926</v>
      </c>
      <c r="AV141">
        <f t="shared" si="205"/>
        <v>6.927771459797891</v>
      </c>
      <c r="AW141">
        <f t="shared" si="206"/>
        <v>7.285206817334548</v>
      </c>
      <c r="AX141">
        <f t="shared" si="207"/>
        <v>0.39385723029219144</v>
      </c>
    </row>
    <row r="142" spans="6:50" ht="12.75">
      <c r="F142" t="s">
        <v>126</v>
      </c>
      <c r="G142">
        <f t="shared" si="208"/>
        <v>0.14007380113314538</v>
      </c>
      <c r="H142">
        <f t="shared" si="194"/>
        <v>0.7841881970477783</v>
      </c>
      <c r="J142">
        <f t="shared" si="209"/>
        <v>0.6889352705488425</v>
      </c>
      <c r="K142">
        <f t="shared" si="210"/>
        <v>0.6872701075385119</v>
      </c>
      <c r="L142">
        <f t="shared" si="211"/>
        <v>6.90173369467975</v>
      </c>
      <c r="M142">
        <f t="shared" si="195"/>
        <v>6.97</v>
      </c>
      <c r="N142">
        <f t="shared" si="196"/>
        <v>0.39385724028819924</v>
      </c>
      <c r="P142">
        <f t="shared" si="212"/>
        <v>0.09949103591997997</v>
      </c>
      <c r="Q142">
        <f t="shared" si="213"/>
        <v>5.700416457599325</v>
      </c>
      <c r="R142">
        <f t="shared" si="214"/>
        <v>6.936033434123858</v>
      </c>
      <c r="S142">
        <f t="shared" si="215"/>
        <v>0.0987645196235219</v>
      </c>
      <c r="T142">
        <f t="shared" si="216"/>
        <v>5.658790140064803</v>
      </c>
      <c r="Y142" t="s">
        <v>126</v>
      </c>
      <c r="Z142">
        <f t="shared" si="197"/>
        <v>0.6889352705488425</v>
      </c>
      <c r="AA142">
        <f t="shared" si="198"/>
        <v>1.7475109955184513</v>
      </c>
      <c r="AB142">
        <f t="shared" si="199"/>
        <v>6.712113937764756</v>
      </c>
      <c r="AC142">
        <f t="shared" si="200"/>
        <v>6.97</v>
      </c>
      <c r="AD142">
        <f t="shared" si="201"/>
        <v>0.39385724028819913</v>
      </c>
      <c r="AF142">
        <f t="shared" si="217"/>
        <v>0.10228239926891772</v>
      </c>
      <c r="AG142">
        <f t="shared" si="218"/>
        <v>5.860349796580962</v>
      </c>
      <c r="AH142">
        <f t="shared" si="202"/>
        <v>6.747377662510237</v>
      </c>
      <c r="AI142">
        <f t="shared" si="219"/>
        <v>0.25342284202693616</v>
      </c>
      <c r="AJ142">
        <f t="shared" si="220"/>
        <v>14.520059280354028</v>
      </c>
      <c r="AS142" t="s">
        <v>126</v>
      </c>
      <c r="AT142">
        <f t="shared" si="203"/>
        <v>0.6889352705488425</v>
      </c>
      <c r="AU142">
        <f t="shared" si="204"/>
        <v>1.754873693864618</v>
      </c>
      <c r="AV142">
        <f t="shared" si="205"/>
        <v>6.935730487996654</v>
      </c>
      <c r="AW142">
        <f t="shared" si="206"/>
        <v>7.187389713279123</v>
      </c>
      <c r="AX142">
        <f t="shared" si="207"/>
        <v>0.39385724028819913</v>
      </c>
    </row>
    <row r="143" spans="6:50" ht="12.75">
      <c r="F143" t="s">
        <v>127</v>
      </c>
      <c r="G143">
        <f t="shared" si="208"/>
        <v>0.16448849959175124</v>
      </c>
      <c r="H143">
        <f t="shared" si="194"/>
        <v>0.4456976316507772</v>
      </c>
      <c r="J143">
        <f t="shared" si="209"/>
        <v>1.0298262929136668</v>
      </c>
      <c r="K143">
        <f t="shared" si="210"/>
        <v>0.49200954779291384</v>
      </c>
      <c r="L143">
        <f t="shared" si="211"/>
        <v>6.875920622818758</v>
      </c>
      <c r="M143">
        <f t="shared" si="195"/>
        <v>6.97</v>
      </c>
      <c r="N143">
        <f t="shared" si="196"/>
        <v>0.3938572444205234</v>
      </c>
      <c r="P143">
        <f t="shared" si="212"/>
        <v>0.14866779784697318</v>
      </c>
      <c r="Q143">
        <f t="shared" si="213"/>
        <v>8.51803736613567</v>
      </c>
      <c r="R143">
        <f t="shared" si="214"/>
        <v>6.952612933630105</v>
      </c>
      <c r="S143">
        <f t="shared" si="215"/>
        <v>0.0706483603784438</v>
      </c>
      <c r="T143">
        <f t="shared" si="216"/>
        <v>4.047852879204097</v>
      </c>
      <c r="Y143" t="s">
        <v>127</v>
      </c>
      <c r="Z143">
        <f t="shared" si="197"/>
        <v>1.0298262929136668</v>
      </c>
      <c r="AA143">
        <f t="shared" si="198"/>
        <v>1.5506083729868976</v>
      </c>
      <c r="AB143">
        <f t="shared" si="199"/>
        <v>6.716842374214733</v>
      </c>
      <c r="AC143">
        <f t="shared" si="200"/>
        <v>6.97</v>
      </c>
      <c r="AD143">
        <f t="shared" si="201"/>
        <v>0.3938572444205232</v>
      </c>
      <c r="AF143">
        <f t="shared" si="217"/>
        <v>0.15213530227792052</v>
      </c>
      <c r="AG143">
        <f t="shared" si="218"/>
        <v>8.716710735471866</v>
      </c>
      <c r="AH143">
        <f t="shared" si="202"/>
        <v>6.79533028436609</v>
      </c>
      <c r="AI143">
        <f t="shared" si="219"/>
        <v>0.22434612407547033</v>
      </c>
      <c r="AJ143">
        <f t="shared" si="220"/>
        <v>12.854086059642759</v>
      </c>
      <c r="AS143" t="s">
        <v>127</v>
      </c>
      <c r="AT143">
        <f t="shared" si="203"/>
        <v>1.0298262929136668</v>
      </c>
      <c r="AU143">
        <f t="shared" si="204"/>
        <v>1.5634195297933182</v>
      </c>
      <c r="AV143">
        <f t="shared" si="205"/>
        <v>6.889488689471674</v>
      </c>
      <c r="AW143">
        <f t="shared" si="206"/>
        <v>7.139319100731777</v>
      </c>
      <c r="AX143">
        <f t="shared" si="207"/>
        <v>0.39385724442052344</v>
      </c>
    </row>
    <row r="144" spans="6:49" ht="12.75">
      <c r="F144" t="s">
        <v>128</v>
      </c>
      <c r="G144">
        <f t="shared" si="208"/>
        <v>0.1953284421145751</v>
      </c>
      <c r="H144">
        <f t="shared" si="194"/>
        <v>0.7120899407378507</v>
      </c>
      <c r="J144">
        <f t="shared" si="209"/>
        <v>1.0240656832863335</v>
      </c>
      <c r="K144">
        <f t="shared" si="210"/>
        <v>0.8839419333103121</v>
      </c>
      <c r="L144">
        <f t="shared" si="211"/>
        <v>6.837458309551212</v>
      </c>
      <c r="M144">
        <f>(J144^2+K144^2+L144^2)^0.5</f>
        <v>6.97</v>
      </c>
      <c r="P144">
        <f t="shared" si="212"/>
        <v>0.14866779799161312</v>
      </c>
      <c r="Q144">
        <f t="shared" si="213"/>
        <v>8.518037374422928</v>
      </c>
      <c r="R144">
        <f t="shared" si="214"/>
        <v>6.913721621423271</v>
      </c>
      <c r="S144">
        <f t="shared" si="215"/>
        <v>0.12716337677302098</v>
      </c>
      <c r="T144">
        <f t="shared" si="216"/>
        <v>7.285924797726024</v>
      </c>
      <c r="Y144" t="s">
        <v>128</v>
      </c>
      <c r="Z144">
        <f t="shared" si="197"/>
        <v>1.0240656832863335</v>
      </c>
      <c r="AA144">
        <f t="shared" si="198"/>
        <v>1.9318603584375356</v>
      </c>
      <c r="AB144">
        <f t="shared" si="199"/>
        <v>6.6181647782306605</v>
      </c>
      <c r="AC144">
        <f>(Z144^2+AA144^2+AB144^2)^0.5</f>
        <v>6.97</v>
      </c>
      <c r="AF144">
        <f t="shared" si="217"/>
        <v>0.1535180908199571</v>
      </c>
      <c r="AG144">
        <f t="shared" si="218"/>
        <v>8.79593868288961</v>
      </c>
      <c r="AH144">
        <f t="shared" si="202"/>
        <v>6.696925828728999</v>
      </c>
      <c r="AI144">
        <f t="shared" si="219"/>
        <v>0.28084528313498125</v>
      </c>
      <c r="AJ144">
        <f t="shared" si="220"/>
        <v>16.091249419791062</v>
      </c>
      <c r="AS144" t="s">
        <v>128</v>
      </c>
      <c r="AT144">
        <f t="shared" si="203"/>
        <v>1.0240656832863335</v>
      </c>
      <c r="AU144">
        <f t="shared" si="204"/>
        <v>1.9572228701780363</v>
      </c>
      <c r="AV144">
        <f t="shared" si="205"/>
        <v>6.892533925273258</v>
      </c>
      <c r="AW144">
        <f>(AT144^2+AU144^2+AV144^2)^0.5</f>
        <v>7.237848837760805</v>
      </c>
    </row>
    <row r="145" spans="6:27" ht="12.75">
      <c r="F145" t="s">
        <v>224</v>
      </c>
      <c r="G145">
        <f>D$33</f>
        <v>-0.09911186523131546</v>
      </c>
      <c r="Z145">
        <f>ACOS(AB144/(Z144^2+AA144^2+AB144^2)^0.5)</f>
        <v>0.3190893356645945</v>
      </c>
      <c r="AA145">
        <f>ATAN(Z144/AA144)</f>
        <v>0.4874311941550397</v>
      </c>
    </row>
    <row r="149" spans="7:36" ht="12.75">
      <c r="G149" t="s">
        <v>83</v>
      </c>
      <c r="H149" t="s">
        <v>83</v>
      </c>
      <c r="Q149" t="s">
        <v>248</v>
      </c>
      <c r="T149" t="s">
        <v>55</v>
      </c>
      <c r="AG149" t="s">
        <v>248</v>
      </c>
      <c r="AJ149" t="s">
        <v>55</v>
      </c>
    </row>
    <row r="150" spans="7:50" ht="12.75">
      <c r="G150" t="s">
        <v>33</v>
      </c>
      <c r="H150" t="s">
        <v>84</v>
      </c>
      <c r="J150" t="s">
        <v>36</v>
      </c>
      <c r="K150" t="s">
        <v>38</v>
      </c>
      <c r="L150" t="s">
        <v>78</v>
      </c>
      <c r="M150" t="s">
        <v>79</v>
      </c>
      <c r="N150" t="s">
        <v>81</v>
      </c>
      <c r="Q150" t="s">
        <v>247</v>
      </c>
      <c r="R150" t="s">
        <v>266</v>
      </c>
      <c r="S150" t="s">
        <v>46</v>
      </c>
      <c r="T150" t="s">
        <v>267</v>
      </c>
      <c r="Z150" t="s">
        <v>36</v>
      </c>
      <c r="AA150" t="s">
        <v>38</v>
      </c>
      <c r="AB150" t="s">
        <v>78</v>
      </c>
      <c r="AC150" t="s">
        <v>79</v>
      </c>
      <c r="AD150" t="s">
        <v>81</v>
      </c>
      <c r="AG150" t="s">
        <v>247</v>
      </c>
      <c r="AH150" t="s">
        <v>266</v>
      </c>
      <c r="AI150" t="s">
        <v>46</v>
      </c>
      <c r="AJ150" t="s">
        <v>267</v>
      </c>
      <c r="AT150" t="s">
        <v>36</v>
      </c>
      <c r="AU150" t="s">
        <v>38</v>
      </c>
      <c r="AV150" t="s">
        <v>78</v>
      </c>
      <c r="AW150" t="s">
        <v>79</v>
      </c>
      <c r="AX150" t="s">
        <v>81</v>
      </c>
    </row>
    <row r="151" spans="6:50" ht="12.75">
      <c r="F151" t="s">
        <v>129</v>
      </c>
      <c r="G151">
        <f>ASIN(J151/G$2/COS(H151))</f>
        <v>0.29153362053598797</v>
      </c>
      <c r="H151">
        <f aca="true" t="shared" si="221" ref="H151:H157">ATAN(K151/J151)</f>
        <v>-0.5680632365210126</v>
      </c>
      <c r="J151">
        <f>J99*COS(G$158)-L99*SIN(G$158)</f>
        <v>1.6886940955432264</v>
      </c>
      <c r="K151">
        <f>K99</f>
        <v>-1.0777912270297076</v>
      </c>
      <c r="L151">
        <f>J99*SIN(G$158)+L99*COS(G$158)</f>
        <v>6.6758953199264015</v>
      </c>
      <c r="M151">
        <f aca="true" t="shared" si="222" ref="M151:M156">(J151^2+K151^2+L151^2)^0.5</f>
        <v>6.97</v>
      </c>
      <c r="N151">
        <f aca="true" t="shared" si="223" ref="N151:N156">((J151-J$157)^2+(K151-K$157)^2+(L151-L$157)^2)^0.5</f>
        <v>0.3938572385568397</v>
      </c>
      <c r="P151">
        <f>ASIN(J151/R151)</f>
        <v>0.2477569138394746</v>
      </c>
      <c r="Q151">
        <f>P151*180/PI()</f>
        <v>14.195425508188272</v>
      </c>
      <c r="R151">
        <f>G$2*COS(S151)</f>
        <v>6.886164830363691</v>
      </c>
      <c r="S151">
        <f>ASIN(K151/M151)</f>
        <v>-0.15525586080995682</v>
      </c>
      <c r="T151">
        <f>S151*180/PI()</f>
        <v>-8.895505569081084</v>
      </c>
      <c r="Y151" t="s">
        <v>129</v>
      </c>
      <c r="Z151">
        <f aca="true" t="shared" si="224" ref="Z151:Z157">J151</f>
        <v>1.6886940955432264</v>
      </c>
      <c r="AA151">
        <f aca="true" t="shared" si="225" ref="AA151:AA157">K151*COS(X$45)+L151*SIN(X$45)</f>
        <v>-0.031232744236168397</v>
      </c>
      <c r="AB151">
        <f aca="true" t="shared" si="226" ref="AB151:AB157">-K151*SIN(X$45)+L151*COS(X$45)</f>
        <v>6.7622656534156445</v>
      </c>
      <c r="AC151">
        <f aca="true" t="shared" si="227" ref="AC151:AC156">(Z151^2+AA151^2+AB151^2)^0.5</f>
        <v>6.969999999999999</v>
      </c>
      <c r="AD151">
        <f aca="true" t="shared" si="228" ref="AD151:AD156">((Z151-Z$157)^2+(AA151-AA$157)^2+(AB151-AB$157)^2)^0.5</f>
        <v>0.3938572385568397</v>
      </c>
      <c r="AF151">
        <f>ASIN(Z151/AH151)</f>
        <v>0.24471805576112662</v>
      </c>
      <c r="AG151">
        <f>AF151*180/PI()</f>
        <v>14.021311765759696</v>
      </c>
      <c r="AH151">
        <f aca="true" t="shared" si="229" ref="AH151:AH157">G$2*COS(AI151)</f>
        <v>6.969930022294878</v>
      </c>
      <c r="AI151">
        <f>ASIN(AA151/AC151)</f>
        <v>-0.004481039994338137</v>
      </c>
      <c r="AJ151">
        <f>AI151*180/PI()</f>
        <v>-0.25674467950490154</v>
      </c>
      <c r="AS151" t="s">
        <v>129</v>
      </c>
      <c r="AT151">
        <f aca="true" t="shared" si="230" ref="AT151:AT157">Z151</f>
        <v>1.6886940955432264</v>
      </c>
      <c r="AU151">
        <f aca="true" t="shared" si="231" ref="AU151:AU157">AA151*COS(AQ$13)+(AB151-AQ$18)*SIN(AQ$13)</f>
        <v>0.02343021952364874</v>
      </c>
      <c r="AV151">
        <f aca="true" t="shared" si="232" ref="AV151:AV157">-AA151*SIN(AQ$13)+(AB151-AQ$18)*COS(AQ$13)+AQ$22</f>
        <v>6.525184532638363</v>
      </c>
      <c r="AW151">
        <f aca="true" t="shared" si="233" ref="AW151:AW156">(AT151^2+AU151^2+AV151^2)^0.5</f>
        <v>6.740198061518105</v>
      </c>
      <c r="AX151">
        <f aca="true" t="shared" si="234" ref="AX151:AX156">((AT151-AT$157)^2+(AU151-AU$157)^2+(AV151-AV$157)^2)^0.5</f>
        <v>0.3938572385568399</v>
      </c>
    </row>
    <row r="152" spans="6:50" ht="12.75">
      <c r="F152" t="s">
        <v>130</v>
      </c>
      <c r="G152">
        <f aca="true" t="shared" si="235" ref="G152:G157">ASIN(J152/G$2/COS(H152))</f>
        <v>0.2660102930162704</v>
      </c>
      <c r="H152">
        <f t="shared" si="221"/>
        <v>-0.38448898972696816</v>
      </c>
      <c r="J152">
        <f aca="true" t="shared" si="236" ref="J152:J157">J100*COS(G$158)-L100*SIN(G$158)</f>
        <v>1.6985266006969697</v>
      </c>
      <c r="K152">
        <f aca="true" t="shared" si="237" ref="K152:K157">K100</f>
        <v>-0.6872701075385117</v>
      </c>
      <c r="L152">
        <f aca="true" t="shared" si="238" ref="L152:L157">J100*SIN(G$158)+L100*COS(G$158)</f>
        <v>6.724847000936808</v>
      </c>
      <c r="M152">
        <f t="shared" si="222"/>
        <v>6.969999999999999</v>
      </c>
      <c r="N152">
        <f t="shared" si="223"/>
        <v>0.39385722856083183</v>
      </c>
      <c r="P152">
        <f aca="true" t="shared" si="239" ref="P152:P157">ASIN(J152/R152)</f>
        <v>0.24740049238962408</v>
      </c>
      <c r="Q152">
        <f aca="true" t="shared" si="240" ref="Q152:Q157">P152*180/PI()</f>
        <v>14.175004063383902</v>
      </c>
      <c r="R152">
        <f aca="true" t="shared" si="241" ref="R152:R157">G$2*COS(S152)</f>
        <v>6.936033434123858</v>
      </c>
      <c r="S152">
        <f aca="true" t="shared" si="242" ref="S152:S157">ASIN(K152/M152)</f>
        <v>-0.09876451962352188</v>
      </c>
      <c r="T152">
        <f aca="true" t="shared" si="243" ref="T152:T157">S152*180/PI()</f>
        <v>-5.658790140064802</v>
      </c>
      <c r="Y152" t="s">
        <v>130</v>
      </c>
      <c r="Z152">
        <f t="shared" si="224"/>
        <v>1.6985266006969697</v>
      </c>
      <c r="AA152">
        <f t="shared" si="225"/>
        <v>0.36215844007572906</v>
      </c>
      <c r="AB152">
        <f t="shared" si="226"/>
        <v>6.750166564686141</v>
      </c>
      <c r="AC152">
        <f t="shared" si="227"/>
        <v>6.969999999999999</v>
      </c>
      <c r="AD152">
        <f t="shared" si="228"/>
        <v>0.39385722856083194</v>
      </c>
      <c r="AF152">
        <f aca="true" t="shared" si="244" ref="AF152:AF157">ASIN(Z152/AH152)</f>
        <v>0.2465097098006766</v>
      </c>
      <c r="AG152">
        <f aca="true" t="shared" si="245" ref="AG152:AG157">AF152*180/PI()</f>
        <v>14.123965980573475</v>
      </c>
      <c r="AH152">
        <f t="shared" si="229"/>
        <v>6.960584836368414</v>
      </c>
      <c r="AI152">
        <f aca="true" t="shared" si="246" ref="AI152:AI157">ASIN(AA152/AC152)</f>
        <v>0.05198301257225651</v>
      </c>
      <c r="AJ152">
        <f aca="true" t="shared" si="247" ref="AJ152:AJ157">AI152*180/PI()</f>
        <v>2.9784072267657953</v>
      </c>
      <c r="AS152" t="s">
        <v>130</v>
      </c>
      <c r="AT152">
        <f t="shared" si="230"/>
        <v>1.6985266006969697</v>
      </c>
      <c r="AU152">
        <f t="shared" si="231"/>
        <v>0.4066203255274805</v>
      </c>
      <c r="AV152">
        <f t="shared" si="232"/>
        <v>6.615008552272166</v>
      </c>
      <c r="AW152">
        <f t="shared" si="233"/>
        <v>6.841686257717551</v>
      </c>
      <c r="AX152">
        <f t="shared" si="234"/>
        <v>0.393857228560832</v>
      </c>
    </row>
    <row r="153" spans="6:50" ht="12.75">
      <c r="F153" t="s">
        <v>131</v>
      </c>
      <c r="G153">
        <f t="shared" si="235"/>
        <v>0.2102814121382581</v>
      </c>
      <c r="H153">
        <f t="shared" si="221"/>
        <v>-0.3449800478055783</v>
      </c>
      <c r="J153">
        <f t="shared" si="236"/>
        <v>1.3691652436343404</v>
      </c>
      <c r="K153">
        <f t="shared" si="237"/>
        <v>-0.49200954779291384</v>
      </c>
      <c r="L153">
        <f t="shared" si="238"/>
        <v>6.816466323580299</v>
      </c>
      <c r="M153">
        <f t="shared" si="222"/>
        <v>6.969999999999999</v>
      </c>
      <c r="N153">
        <f t="shared" si="223"/>
        <v>0.3938572244285075</v>
      </c>
      <c r="P153">
        <f t="shared" si="239"/>
        <v>0.19822373046264077</v>
      </c>
      <c r="Q153">
        <f t="shared" si="240"/>
        <v>11.357383154848126</v>
      </c>
      <c r="R153">
        <f t="shared" si="241"/>
        <v>6.952612933630105</v>
      </c>
      <c r="S153">
        <f t="shared" si="242"/>
        <v>-0.07064836037844381</v>
      </c>
      <c r="T153">
        <f t="shared" si="243"/>
        <v>-4.047852879204098</v>
      </c>
      <c r="Y153" t="s">
        <v>131</v>
      </c>
      <c r="Z153">
        <f t="shared" si="224"/>
        <v>1.3691652436343404</v>
      </c>
      <c r="AA153">
        <f t="shared" si="225"/>
        <v>0.5692491970371869</v>
      </c>
      <c r="AB153">
        <f t="shared" si="226"/>
        <v>6.81045093127439</v>
      </c>
      <c r="AC153">
        <f t="shared" si="227"/>
        <v>6.969999999999999</v>
      </c>
      <c r="AD153">
        <f t="shared" si="228"/>
        <v>0.39385722442850746</v>
      </c>
      <c r="AF153">
        <f t="shared" si="244"/>
        <v>0.19839425711374298</v>
      </c>
      <c r="AG153">
        <f t="shared" si="245"/>
        <v>11.367153612250782</v>
      </c>
      <c r="AH153">
        <f t="shared" si="229"/>
        <v>6.946715436209584</v>
      </c>
      <c r="AI153">
        <f t="shared" si="246"/>
        <v>0.08176240159276232</v>
      </c>
      <c r="AJ153">
        <f t="shared" si="247"/>
        <v>4.684640534119001</v>
      </c>
      <c r="AS153" t="s">
        <v>131</v>
      </c>
      <c r="AT153">
        <f t="shared" si="230"/>
        <v>1.3691652436343404</v>
      </c>
      <c r="AU153">
        <f t="shared" si="231"/>
        <v>0.5911412298748904</v>
      </c>
      <c r="AV153">
        <f t="shared" si="232"/>
        <v>6.726690342787139</v>
      </c>
      <c r="AW153">
        <f t="shared" si="233"/>
        <v>6.890023540292154</v>
      </c>
      <c r="AX153">
        <f t="shared" si="234"/>
        <v>0.3938572244285074</v>
      </c>
    </row>
    <row r="154" spans="6:50" ht="12.75">
      <c r="F154" t="s">
        <v>132</v>
      </c>
      <c r="G154">
        <f t="shared" si="235"/>
        <v>0.17859743446217896</v>
      </c>
      <c r="H154">
        <f t="shared" si="221"/>
        <v>-0.5884209211112876</v>
      </c>
      <c r="J154">
        <f t="shared" si="236"/>
        <v>1.0299713814178328</v>
      </c>
      <c r="K154">
        <f t="shared" si="237"/>
        <v>-0.6872701075385117</v>
      </c>
      <c r="L154">
        <f t="shared" si="238"/>
        <v>6.8591339652134105</v>
      </c>
      <c r="M154">
        <f t="shared" si="222"/>
        <v>6.97</v>
      </c>
      <c r="N154">
        <f t="shared" si="223"/>
        <v>0.39385723029219166</v>
      </c>
      <c r="P154">
        <f t="shared" si="239"/>
        <v>0.1490469685356377</v>
      </c>
      <c r="Q154">
        <f t="shared" si="240"/>
        <v>8.539762246311216</v>
      </c>
      <c r="R154">
        <f t="shared" si="241"/>
        <v>6.936033434123858</v>
      </c>
      <c r="S154">
        <f t="shared" si="242"/>
        <v>-0.09876451962352187</v>
      </c>
      <c r="T154">
        <f t="shared" si="243"/>
        <v>-5.658790140064801</v>
      </c>
      <c r="Y154" t="s">
        <v>132</v>
      </c>
      <c r="Z154">
        <f t="shared" si="224"/>
        <v>1.0299713814178328</v>
      </c>
      <c r="AA154">
        <f t="shared" si="225"/>
        <v>0.3829487696867523</v>
      </c>
      <c r="AB154">
        <f t="shared" si="226"/>
        <v>6.882834386592172</v>
      </c>
      <c r="AC154">
        <f t="shared" si="227"/>
        <v>6.97</v>
      </c>
      <c r="AD154">
        <f t="shared" si="228"/>
        <v>0.3938572302921917</v>
      </c>
      <c r="AF154">
        <f t="shared" si="244"/>
        <v>0.14854126757902497</v>
      </c>
      <c r="AG154">
        <f t="shared" si="245"/>
        <v>8.510787715801579</v>
      </c>
      <c r="AH154">
        <f t="shared" si="229"/>
        <v>6.959471979956195</v>
      </c>
      <c r="AI154">
        <f t="shared" si="246"/>
        <v>0.05497011448231216</v>
      </c>
      <c r="AJ154">
        <f t="shared" si="247"/>
        <v>3.1495555591874513</v>
      </c>
      <c r="AS154" t="s">
        <v>132</v>
      </c>
      <c r="AT154">
        <f t="shared" si="230"/>
        <v>1.0299713814178328</v>
      </c>
      <c r="AU154">
        <f t="shared" si="231"/>
        <v>0.3924720282184661</v>
      </c>
      <c r="AV154">
        <f t="shared" si="232"/>
        <v>6.748548113668336</v>
      </c>
      <c r="AW154">
        <f t="shared" si="233"/>
        <v>6.8379658511848485</v>
      </c>
      <c r="AX154">
        <f t="shared" si="234"/>
        <v>0.3938572302921916</v>
      </c>
    </row>
    <row r="155" spans="6:50" ht="12.75">
      <c r="F155" t="s">
        <v>133</v>
      </c>
      <c r="G155">
        <f t="shared" si="235"/>
        <v>0.21455785592228974</v>
      </c>
      <c r="H155">
        <f t="shared" si="221"/>
        <v>-0.8128718359293207</v>
      </c>
      <c r="J155">
        <f t="shared" si="236"/>
        <v>1.0201388762640895</v>
      </c>
      <c r="K155">
        <f t="shared" si="237"/>
        <v>-1.0777912270297076</v>
      </c>
      <c r="L155">
        <f t="shared" si="238"/>
        <v>6.810182284203003</v>
      </c>
      <c r="M155">
        <f t="shared" si="222"/>
        <v>6.969999999999999</v>
      </c>
      <c r="N155">
        <f t="shared" si="223"/>
        <v>0.3938572402881994</v>
      </c>
      <c r="P155">
        <f t="shared" si="239"/>
        <v>0.14869054708578716</v>
      </c>
      <c r="Q155">
        <f t="shared" si="240"/>
        <v>8.519340801506846</v>
      </c>
      <c r="R155">
        <f t="shared" si="241"/>
        <v>6.886164830363691</v>
      </c>
      <c r="S155">
        <f t="shared" si="242"/>
        <v>-0.15525586080995685</v>
      </c>
      <c r="T155">
        <f t="shared" si="243"/>
        <v>-8.895505569081086</v>
      </c>
      <c r="Y155" t="s">
        <v>133</v>
      </c>
      <c r="Z155">
        <f t="shared" si="224"/>
        <v>1.0201388762640895</v>
      </c>
      <c r="AA155">
        <f t="shared" si="225"/>
        <v>-0.010442414625145391</v>
      </c>
      <c r="AB155">
        <f t="shared" si="226"/>
        <v>6.894933475321674</v>
      </c>
      <c r="AC155">
        <f t="shared" si="227"/>
        <v>6.969999999999999</v>
      </c>
      <c r="AD155">
        <f t="shared" si="228"/>
        <v>0.39385724028819946</v>
      </c>
      <c r="AF155">
        <f t="shared" si="244"/>
        <v>0.14688920730884275</v>
      </c>
      <c r="AG155">
        <f t="shared" si="245"/>
        <v>8.416131634818894</v>
      </c>
      <c r="AH155">
        <f t="shared" si="229"/>
        <v>6.96999217761231</v>
      </c>
      <c r="AI155">
        <f t="shared" si="246"/>
        <v>-0.001498194911281611</v>
      </c>
      <c r="AJ155">
        <f t="shared" si="247"/>
        <v>-0.08584024530441312</v>
      </c>
      <c r="AS155" t="s">
        <v>133</v>
      </c>
      <c r="AT155">
        <f t="shared" si="230"/>
        <v>1.0201388762640895</v>
      </c>
      <c r="AU155">
        <f t="shared" si="231"/>
        <v>0.009281922214634608</v>
      </c>
      <c r="AV155">
        <f t="shared" si="232"/>
        <v>6.658724094034531</v>
      </c>
      <c r="AW155">
        <f t="shared" si="233"/>
        <v>6.7364216050824295</v>
      </c>
      <c r="AX155">
        <f t="shared" si="234"/>
        <v>0.39385724028819946</v>
      </c>
    </row>
    <row r="156" spans="6:50" ht="12.75">
      <c r="F156" t="s">
        <v>134</v>
      </c>
      <c r="G156">
        <f t="shared" si="235"/>
        <v>0.26941856872560765</v>
      </c>
      <c r="H156">
        <f t="shared" si="221"/>
        <v>-0.7562560136594406</v>
      </c>
      <c r="J156">
        <f t="shared" si="236"/>
        <v>1.3495002333267865</v>
      </c>
      <c r="K156">
        <f t="shared" si="237"/>
        <v>-1.2730517867753057</v>
      </c>
      <c r="L156">
        <f t="shared" si="238"/>
        <v>6.718562961559498</v>
      </c>
      <c r="M156">
        <f t="shared" si="222"/>
        <v>6.969999999999999</v>
      </c>
      <c r="N156">
        <f t="shared" si="223"/>
        <v>0.3938572444205236</v>
      </c>
      <c r="P156">
        <f t="shared" si="239"/>
        <v>0.19822373046263092</v>
      </c>
      <c r="Q156">
        <f t="shared" si="240"/>
        <v>11.357383154847561</v>
      </c>
      <c r="R156">
        <f t="shared" si="241"/>
        <v>6.8527541286834595</v>
      </c>
      <c r="S156">
        <f t="shared" si="242"/>
        <v>-0.18367839029815766</v>
      </c>
      <c r="T156">
        <f t="shared" si="243"/>
        <v>-10.52399655184112</v>
      </c>
      <c r="Y156" t="s">
        <v>134</v>
      </c>
      <c r="Z156">
        <f t="shared" si="224"/>
        <v>1.3495002333267865</v>
      </c>
      <c r="AA156">
        <f t="shared" si="225"/>
        <v>-0.21753317158660557</v>
      </c>
      <c r="AB156">
        <f t="shared" si="226"/>
        <v>6.8346491087334105</v>
      </c>
      <c r="AC156">
        <f t="shared" si="227"/>
        <v>6.969999999999999</v>
      </c>
      <c r="AD156">
        <f t="shared" si="228"/>
        <v>0.39385724442052356</v>
      </c>
      <c r="AF156">
        <f t="shared" si="244"/>
        <v>0.19494226505649118</v>
      </c>
      <c r="AG156">
        <f t="shared" si="245"/>
        <v>11.16936903645757</v>
      </c>
      <c r="AH156">
        <f t="shared" si="229"/>
        <v>6.966604576065694</v>
      </c>
      <c r="AI156">
        <f t="shared" si="246"/>
        <v>-0.031214993129465646</v>
      </c>
      <c r="AJ156">
        <f t="shared" si="247"/>
        <v>-1.7884873638482435</v>
      </c>
      <c r="AS156" t="s">
        <v>134</v>
      </c>
      <c r="AT156">
        <f t="shared" si="230"/>
        <v>1.3495002333267865</v>
      </c>
      <c r="AU156">
        <f t="shared" si="231"/>
        <v>-0.17523898213277392</v>
      </c>
      <c r="AV156">
        <f t="shared" si="232"/>
        <v>6.547042303519545</v>
      </c>
      <c r="AW156">
        <f t="shared" si="233"/>
        <v>6.68697409182079</v>
      </c>
      <c r="AX156">
        <f t="shared" si="234"/>
        <v>0.39385724442052356</v>
      </c>
    </row>
    <row r="157" spans="6:49" ht="12.75">
      <c r="F157" t="s">
        <v>135</v>
      </c>
      <c r="G157">
        <f t="shared" si="235"/>
        <v>0.23505444686172847</v>
      </c>
      <c r="H157">
        <f t="shared" si="221"/>
        <v>-0.5758394547887271</v>
      </c>
      <c r="J157">
        <f t="shared" si="236"/>
        <v>1.3615064507211634</v>
      </c>
      <c r="K157">
        <f t="shared" si="237"/>
        <v>-0.8839419134717995</v>
      </c>
      <c r="L157">
        <f t="shared" si="238"/>
        <v>6.778336586379617</v>
      </c>
      <c r="M157">
        <f>(J157^2+K157^2+L157^2)^0.5</f>
        <v>6.970000000000001</v>
      </c>
      <c r="P157">
        <f t="shared" si="239"/>
        <v>0.19822373060727086</v>
      </c>
      <c r="Q157">
        <f t="shared" si="240"/>
        <v>11.357383163134818</v>
      </c>
      <c r="R157">
        <f t="shared" si="241"/>
        <v>6.91372162395969</v>
      </c>
      <c r="S157">
        <f t="shared" si="242"/>
        <v>-0.1271633739035805</v>
      </c>
      <c r="T157">
        <f t="shared" si="243"/>
        <v>-7.285924633319196</v>
      </c>
      <c r="Y157" t="s">
        <v>135</v>
      </c>
      <c r="Z157">
        <f t="shared" si="224"/>
        <v>1.3615064507211634</v>
      </c>
      <c r="AA157">
        <f t="shared" si="225"/>
        <v>0.17613923749751992</v>
      </c>
      <c r="AB157">
        <f t="shared" si="226"/>
        <v>6.833459969419478</v>
      </c>
      <c r="AC157">
        <f>(Z157^2+AA157^2+AB157^2)^0.5</f>
        <v>6.970000000000001</v>
      </c>
      <c r="AF157">
        <f t="shared" si="244"/>
        <v>0.1966657939524946</v>
      </c>
      <c r="AG157">
        <f t="shared" si="245"/>
        <v>11.26811996806741</v>
      </c>
      <c r="AH157">
        <f t="shared" si="229"/>
        <v>6.96777403257409</v>
      </c>
      <c r="AI157">
        <f t="shared" si="246"/>
        <v>0.025273743291235995</v>
      </c>
      <c r="AJ157">
        <f t="shared" si="247"/>
        <v>1.448078823084901</v>
      </c>
      <c r="AS157" t="s">
        <v>135</v>
      </c>
      <c r="AT157">
        <f t="shared" si="230"/>
        <v>1.3615064507211634</v>
      </c>
      <c r="AU157">
        <f t="shared" si="231"/>
        <v>0.2054075465607253</v>
      </c>
      <c r="AV157">
        <f t="shared" si="232"/>
        <v>6.647479348079787</v>
      </c>
      <c r="AW157">
        <f>(AT157^2+AU157^2+AV157^2)^0.5</f>
        <v>6.788584076130066</v>
      </c>
    </row>
    <row r="158" spans="6:27" ht="12.75">
      <c r="F158" t="s">
        <v>224</v>
      </c>
      <c r="G158">
        <f>D$33</f>
        <v>-0.09911186523131546</v>
      </c>
      <c r="Z158">
        <f>ACOS(AB157/(Z157^2+AA157^2+AB157^2)^0.5)</f>
        <v>0.19826230030787118</v>
      </c>
      <c r="AA158">
        <f>ATAN(Z157/AA157)</f>
        <v>1.4421400732311598</v>
      </c>
    </row>
    <row r="162" spans="7:36" ht="12.75">
      <c r="G162" t="s">
        <v>83</v>
      </c>
      <c r="H162" t="s">
        <v>83</v>
      </c>
      <c r="Q162" t="s">
        <v>248</v>
      </c>
      <c r="T162" t="s">
        <v>55</v>
      </c>
      <c r="AG162" t="s">
        <v>248</v>
      </c>
      <c r="AJ162" t="s">
        <v>55</v>
      </c>
    </row>
    <row r="163" spans="7:50" ht="12.75">
      <c r="G163" t="s">
        <v>33</v>
      </c>
      <c r="H163" t="s">
        <v>84</v>
      </c>
      <c r="J163" t="s">
        <v>36</v>
      </c>
      <c r="K163" t="s">
        <v>38</v>
      </c>
      <c r="L163" t="s">
        <v>78</v>
      </c>
      <c r="M163" t="s">
        <v>79</v>
      </c>
      <c r="N163" t="s">
        <v>81</v>
      </c>
      <c r="Q163" t="s">
        <v>247</v>
      </c>
      <c r="R163" t="s">
        <v>266</v>
      </c>
      <c r="S163" t="s">
        <v>46</v>
      </c>
      <c r="T163" t="s">
        <v>267</v>
      </c>
      <c r="Z163" t="s">
        <v>36</v>
      </c>
      <c r="AA163" t="s">
        <v>38</v>
      </c>
      <c r="AB163" t="s">
        <v>78</v>
      </c>
      <c r="AC163" t="s">
        <v>79</v>
      </c>
      <c r="AD163" t="s">
        <v>81</v>
      </c>
      <c r="AG163" t="s">
        <v>247</v>
      </c>
      <c r="AH163" t="s">
        <v>266</v>
      </c>
      <c r="AI163" t="s">
        <v>46</v>
      </c>
      <c r="AJ163" t="s">
        <v>267</v>
      </c>
      <c r="AT163" t="s">
        <v>36</v>
      </c>
      <c r="AU163" t="s">
        <v>38</v>
      </c>
      <c r="AV163" t="s">
        <v>78</v>
      </c>
      <c r="AW163" t="s">
        <v>79</v>
      </c>
      <c r="AX163" t="s">
        <v>81</v>
      </c>
    </row>
    <row r="164" spans="6:50" ht="12.75">
      <c r="F164" t="s">
        <v>137</v>
      </c>
      <c r="G164">
        <f>ASIN(J164/G$2/COS(H164))</f>
        <v>0.24756020154464645</v>
      </c>
      <c r="H164">
        <f aca="true" t="shared" si="248" ref="H164:H170">ATAN(K164/J164)</f>
        <v>0.05764690521376496</v>
      </c>
      <c r="J164">
        <f>J112*COS(G$171)-L112*SIN(G$171)</f>
        <v>1.7050866703331975</v>
      </c>
      <c r="K164">
        <f>K112</f>
        <v>0.09840199586758175</v>
      </c>
      <c r="L164">
        <f>J112*SIN(G$171)+L112*COS(G$171)</f>
        <v>6.757506677307934</v>
      </c>
      <c r="M164">
        <f aca="true" t="shared" si="249" ref="M164:M169">(J164^2+K164^2+L164^2)^0.5</f>
        <v>6.97</v>
      </c>
      <c r="N164">
        <f aca="true" t="shared" si="250" ref="N164:N169">((J164-J$170)^2+(K164-K$170)^2+(L164-L$170)^2)^0.5</f>
        <v>0.3938572385568397</v>
      </c>
      <c r="P164">
        <f>ASIN(J164/R164)</f>
        <v>0.24716553126340438</v>
      </c>
      <c r="Q164">
        <f>P164*180/PI()</f>
        <v>14.161541782501873</v>
      </c>
      <c r="R164">
        <f>G$2*COS(S164)</f>
        <v>6.969305348971967</v>
      </c>
      <c r="S164">
        <f>ASIN(K164/M164)</f>
        <v>0.01411840244049155</v>
      </c>
      <c r="T164">
        <f>S164*180/PI()</f>
        <v>0.8089248733073672</v>
      </c>
      <c r="Y164" t="s">
        <v>137</v>
      </c>
      <c r="Z164">
        <f aca="true" t="shared" si="251" ref="Z164:Z170">J164</f>
        <v>1.7050866703331975</v>
      </c>
      <c r="AA164">
        <f aca="true" t="shared" si="252" ref="AA164:AA170">K164*COS(X$45)+L164*SIN(X$45)</f>
        <v>1.1434138113109051</v>
      </c>
      <c r="AB164">
        <f aca="true" t="shared" si="253" ref="AB164:AB170">-K164*SIN(X$45)+L164*COS(X$45)</f>
        <v>6.660794569925987</v>
      </c>
      <c r="AC164">
        <f aca="true" t="shared" si="254" ref="AC164:AC169">(Z164^2+AA164^2+AB164^2)^0.5</f>
        <v>6.97</v>
      </c>
      <c r="AD164">
        <f aca="true" t="shared" si="255" ref="AD164:AD169">((Z164-Z$170)^2+(AA164-AA$170)^2+(AB164-AB$170)^2)^0.5</f>
        <v>0.3938572385568396</v>
      </c>
      <c r="AF164">
        <f>ASIN(Z164/AH164)</f>
        <v>0.25060688859243874</v>
      </c>
      <c r="AG164">
        <f>AF164*180/PI()</f>
        <v>14.358717033251956</v>
      </c>
      <c r="AH164">
        <f aca="true" t="shared" si="256" ref="AH164:AH170">G$2*COS(AI164)</f>
        <v>6.875573056560701</v>
      </c>
      <c r="AI164">
        <f>ASIN(AA164/AC164)</f>
        <v>0.16479275032823812</v>
      </c>
      <c r="AJ164">
        <f>AI164*180/PI()</f>
        <v>9.441929088161155</v>
      </c>
      <c r="AS164" t="s">
        <v>137</v>
      </c>
      <c r="AT164">
        <f aca="true" t="shared" si="257" ref="AT164:AT170">Z164</f>
        <v>1.7050866703331975</v>
      </c>
      <c r="AU164">
        <f aca="true" t="shared" si="258" ref="AU164:AU170">AA164*COS(AQ$13)+(AB164-AQ$18)*SIN(AQ$13)</f>
        <v>1.1844786220601429</v>
      </c>
      <c r="AV164">
        <f aca="true" t="shared" si="259" ref="AV164:AV170">-AA164*SIN(AQ$13)+(AB164-AQ$18)*COS(AQ$13)+AQ$22</f>
        <v>6.730263830010437</v>
      </c>
      <c r="AW164">
        <f aca="true" t="shared" si="260" ref="AW164:AW169">(AT164^2+AU164^2+AV164^2)^0.5</f>
        <v>7.0432067541008765</v>
      </c>
      <c r="AX164">
        <f aca="true" t="shared" si="261" ref="AX164:AX169">((AT164-AT$170)^2+(AU164-AU$170)^2+(AV164-AV$170)^2)^0.5</f>
        <v>0.3938572385568397</v>
      </c>
    </row>
    <row r="165" spans="6:50" ht="12.75">
      <c r="F165" t="s">
        <v>138</v>
      </c>
      <c r="G165">
        <f aca="true" t="shared" si="262" ref="G165:G170">ASIN(J165/G$2/COS(H165))</f>
        <v>0.25696824541681873</v>
      </c>
      <c r="H165">
        <f t="shared" si="248"/>
        <v>0.2812956737777595</v>
      </c>
      <c r="J165">
        <f aca="true" t="shared" si="263" ref="J165:J170">J113*COS(G$171)-L113*SIN(G$171)</f>
        <v>1.7017991630925553</v>
      </c>
      <c r="K165">
        <f aca="true" t="shared" si="264" ref="K165:K170">K113</f>
        <v>0.49174790253974265</v>
      </c>
      <c r="L165">
        <f aca="true" t="shared" si="265" ref="L165:L170">J113*SIN(G$171)+L113*COS(G$171)</f>
        <v>6.741139637245712</v>
      </c>
      <c r="M165">
        <f t="shared" si="249"/>
        <v>6.970000000000001</v>
      </c>
      <c r="N165">
        <f t="shared" si="250"/>
        <v>0.3938572285608321</v>
      </c>
      <c r="P165">
        <f aca="true" t="shared" si="266" ref="P165:P170">ASIN(J165/R165)</f>
        <v>0.24728299836428386</v>
      </c>
      <c r="Q165">
        <f aca="true" t="shared" si="267" ref="Q165:Q170">P165*180/PI()</f>
        <v>14.168272151613905</v>
      </c>
      <c r="R165">
        <f aca="true" t="shared" si="268" ref="R165:R170">G$2*COS(S165)</f>
        <v>6.9526314443056565</v>
      </c>
      <c r="S165">
        <f aca="true" t="shared" si="269" ref="S165:S170">ASIN(K165/M165)</f>
        <v>0.07061072777796172</v>
      </c>
      <c r="T165">
        <f aca="true" t="shared" si="270" ref="T165:T170">S165*180/PI()</f>
        <v>4.045696690024372</v>
      </c>
      <c r="Y165" t="s">
        <v>138</v>
      </c>
      <c r="Z165">
        <f t="shared" si="251"/>
        <v>1.7017991630925553</v>
      </c>
      <c r="AA165">
        <f t="shared" si="252"/>
        <v>1.5294830684087914</v>
      </c>
      <c r="AB165">
        <f t="shared" si="253"/>
        <v>6.5837269955511</v>
      </c>
      <c r="AC165">
        <f t="shared" si="254"/>
        <v>6.970000000000001</v>
      </c>
      <c r="AD165">
        <f t="shared" si="255"/>
        <v>0.393857228560832</v>
      </c>
      <c r="AF165">
        <f aca="true" t="shared" si="271" ref="AF165:AF170">ASIN(Z165/AH165)</f>
        <v>0.25294910428646933</v>
      </c>
      <c r="AG165">
        <f aca="true" t="shared" si="272" ref="AG165:AG170">AF165*180/PI()</f>
        <v>14.492916107229211</v>
      </c>
      <c r="AH165">
        <f t="shared" si="256"/>
        <v>6.800116288965272</v>
      </c>
      <c r="AI165">
        <f aca="true" t="shared" si="273" ref="AI165:AI170">ASIN(AA165/AC165)</f>
        <v>0.22123842364618956</v>
      </c>
      <c r="AJ165">
        <f aca="true" t="shared" si="274" ref="AJ165:AJ170">AI165*180/PI()</f>
        <v>12.676027941053976</v>
      </c>
      <c r="AS165" t="s">
        <v>138</v>
      </c>
      <c r="AT165">
        <f t="shared" si="257"/>
        <v>1.7017991630925553</v>
      </c>
      <c r="AU165">
        <f t="shared" si="258"/>
        <v>1.5773596875236224</v>
      </c>
      <c r="AV165">
        <f t="shared" si="259"/>
        <v>6.755430289761941</v>
      </c>
      <c r="AW165">
        <f t="shared" si="260"/>
        <v>7.142830137638739</v>
      </c>
      <c r="AX165">
        <f t="shared" si="261"/>
        <v>0.3938572285608321</v>
      </c>
    </row>
    <row r="166" spans="6:50" ht="12.75">
      <c r="F166" t="s">
        <v>139</v>
      </c>
      <c r="G166">
        <f t="shared" si="262"/>
        <v>0.22124933531164354</v>
      </c>
      <c r="H166">
        <f t="shared" si="248"/>
        <v>0.4668532548222278</v>
      </c>
      <c r="J166">
        <f t="shared" si="263"/>
        <v>1.3658777998327332</v>
      </c>
      <c r="K166">
        <f t="shared" si="264"/>
        <v>0.688420855875823</v>
      </c>
      <c r="L166">
        <f t="shared" si="265"/>
        <v>6.800099599352888</v>
      </c>
      <c r="M166">
        <f t="shared" si="249"/>
        <v>6.970000000000001</v>
      </c>
      <c r="N166">
        <f t="shared" si="250"/>
        <v>0.3938572244285077</v>
      </c>
      <c r="P166">
        <f t="shared" si="266"/>
        <v>0.19822373046264086</v>
      </c>
      <c r="Q166">
        <f t="shared" si="267"/>
        <v>11.357383154848131</v>
      </c>
      <c r="R166">
        <f t="shared" si="268"/>
        <v>6.935919313630688</v>
      </c>
      <c r="S166">
        <f t="shared" si="269"/>
        <v>0.09893042969481416</v>
      </c>
      <c r="T166">
        <f t="shared" si="270"/>
        <v>5.668296086928564</v>
      </c>
      <c r="Y166" t="s">
        <v>139</v>
      </c>
      <c r="Z166">
        <f t="shared" si="251"/>
        <v>1.3658777998327332</v>
      </c>
      <c r="AA166">
        <f t="shared" si="252"/>
        <v>1.732912861763244</v>
      </c>
      <c r="AB166">
        <f t="shared" si="253"/>
        <v>6.611527119316658</v>
      </c>
      <c r="AC166">
        <f t="shared" si="254"/>
        <v>6.970000000000001</v>
      </c>
      <c r="AD166">
        <f t="shared" si="255"/>
        <v>0.39385722442850774</v>
      </c>
      <c r="AF166">
        <f t="shared" si="271"/>
        <v>0.20372434356872718</v>
      </c>
      <c r="AG166">
        <f t="shared" si="272"/>
        <v>11.672545070561224</v>
      </c>
      <c r="AH166">
        <f t="shared" si="256"/>
        <v>6.751141608167875</v>
      </c>
      <c r="AI166">
        <f t="shared" si="273"/>
        <v>0.25125991915052964</v>
      </c>
      <c r="AJ166">
        <f t="shared" si="274"/>
        <v>14.396132928123638</v>
      </c>
      <c r="AS166" t="s">
        <v>139</v>
      </c>
      <c r="AT166">
        <f t="shared" si="257"/>
        <v>1.3658777998327332</v>
      </c>
      <c r="AU166">
        <f t="shared" si="258"/>
        <v>1.7667260716008562</v>
      </c>
      <c r="AV166">
        <f t="shared" si="259"/>
        <v>6.834783300335763</v>
      </c>
      <c r="AW166">
        <f t="shared" si="260"/>
        <v>7.1903550634651365</v>
      </c>
      <c r="AX166">
        <f t="shared" si="261"/>
        <v>0.3938572244285077</v>
      </c>
    </row>
    <row r="167" spans="6:50" ht="12.75">
      <c r="F167" t="s">
        <v>140</v>
      </c>
      <c r="G167">
        <f t="shared" si="262"/>
        <v>0.16492078681033676</v>
      </c>
      <c r="H167">
        <f t="shared" si="248"/>
        <v>0.44420379171351904</v>
      </c>
      <c r="J167">
        <f t="shared" si="263"/>
        <v>1.0332439438134184</v>
      </c>
      <c r="K167">
        <f t="shared" si="264"/>
        <v>0.49174790253974265</v>
      </c>
      <c r="L167">
        <f t="shared" si="265"/>
        <v>6.875426601522313</v>
      </c>
      <c r="M167">
        <f t="shared" si="249"/>
        <v>6.97</v>
      </c>
      <c r="N167">
        <f t="shared" si="250"/>
        <v>0.39385723029219133</v>
      </c>
      <c r="P167">
        <f t="shared" si="266"/>
        <v>0.14916446256097807</v>
      </c>
      <c r="Q167">
        <f t="shared" si="267"/>
        <v>8.546494158081222</v>
      </c>
      <c r="R167">
        <f t="shared" si="268"/>
        <v>6.9526314443056565</v>
      </c>
      <c r="S167">
        <f t="shared" si="269"/>
        <v>0.07061072777796173</v>
      </c>
      <c r="T167">
        <f t="shared" si="270"/>
        <v>4.045696690024373</v>
      </c>
      <c r="Y167" t="s">
        <v>140</v>
      </c>
      <c r="Z167">
        <f t="shared" si="251"/>
        <v>1.0332439438134184</v>
      </c>
      <c r="AA167">
        <f t="shared" si="252"/>
        <v>1.5502733980198147</v>
      </c>
      <c r="AB167">
        <f t="shared" si="253"/>
        <v>6.71639481745713</v>
      </c>
      <c r="AC167">
        <f t="shared" si="254"/>
        <v>6.97</v>
      </c>
      <c r="AD167">
        <f t="shared" si="255"/>
        <v>0.3938572302921914</v>
      </c>
      <c r="AF167">
        <f t="shared" si="271"/>
        <v>0.15264240997990103</v>
      </c>
      <c r="AG167">
        <f t="shared" si="272"/>
        <v>8.745765866553926</v>
      </c>
      <c r="AH167">
        <f t="shared" si="256"/>
        <v>6.795406712728245</v>
      </c>
      <c r="AI167">
        <f t="shared" si="273"/>
        <v>0.22429682947620225</v>
      </c>
      <c r="AJ167">
        <f t="shared" si="274"/>
        <v>12.851261687151908</v>
      </c>
      <c r="AS167" t="s">
        <v>140</v>
      </c>
      <c r="AT167">
        <f t="shared" si="257"/>
        <v>1.0332439438134184</v>
      </c>
      <c r="AU167">
        <f t="shared" si="258"/>
        <v>1.5632113902146083</v>
      </c>
      <c r="AV167">
        <f t="shared" si="259"/>
        <v>6.888969851158109</v>
      </c>
      <c r="AW167">
        <f t="shared" si="260"/>
        <v>7.139266664587419</v>
      </c>
      <c r="AX167">
        <f t="shared" si="261"/>
        <v>0.39385723029219144</v>
      </c>
    </row>
    <row r="168" spans="6:50" ht="12.75">
      <c r="F168" t="s">
        <v>141</v>
      </c>
      <c r="G168">
        <f t="shared" si="262"/>
        <v>0.149943125538567</v>
      </c>
      <c r="H168">
        <f t="shared" si="248"/>
        <v>0.09465025854633302</v>
      </c>
      <c r="J168">
        <f t="shared" si="263"/>
        <v>1.0365314510540609</v>
      </c>
      <c r="K168">
        <f t="shared" si="264"/>
        <v>0.09840199586758175</v>
      </c>
      <c r="L168">
        <f t="shared" si="265"/>
        <v>6.891793641584536</v>
      </c>
      <c r="M168">
        <f t="shared" si="249"/>
        <v>6.97</v>
      </c>
      <c r="N168">
        <f t="shared" si="250"/>
        <v>0.393857240288199</v>
      </c>
      <c r="P168">
        <f t="shared" si="266"/>
        <v>0.14928192966185744</v>
      </c>
      <c r="Q168">
        <f t="shared" si="267"/>
        <v>8.553224527193247</v>
      </c>
      <c r="R168">
        <f t="shared" si="268"/>
        <v>6.969305348971967</v>
      </c>
      <c r="S168">
        <f t="shared" si="269"/>
        <v>0.01411840244049155</v>
      </c>
      <c r="T168">
        <f t="shared" si="270"/>
        <v>0.8089248733073672</v>
      </c>
      <c r="Y168" t="s">
        <v>141</v>
      </c>
      <c r="Z168">
        <f t="shared" si="251"/>
        <v>1.0365314510540609</v>
      </c>
      <c r="AA168">
        <f t="shared" si="252"/>
        <v>1.1642041409219281</v>
      </c>
      <c r="AB168">
        <f t="shared" si="253"/>
        <v>6.793462391832017</v>
      </c>
      <c r="AC168">
        <f t="shared" si="254"/>
        <v>6.97</v>
      </c>
      <c r="AD168">
        <f t="shared" si="255"/>
        <v>0.3938572402881991</v>
      </c>
      <c r="AF168">
        <f t="shared" si="271"/>
        <v>0.15141005137934682</v>
      </c>
      <c r="AG168">
        <f t="shared" si="272"/>
        <v>8.675156919895523</v>
      </c>
      <c r="AH168">
        <f t="shared" si="256"/>
        <v>6.872083288076494</v>
      </c>
      <c r="AI168">
        <f t="shared" si="273"/>
        <v>0.16781731149571613</v>
      </c>
      <c r="AJ168">
        <f t="shared" si="274"/>
        <v>9.615223677936807</v>
      </c>
      <c r="AS168" t="s">
        <v>141</v>
      </c>
      <c r="AT168">
        <f t="shared" si="257"/>
        <v>1.0365314510540609</v>
      </c>
      <c r="AU168">
        <f t="shared" si="258"/>
        <v>1.170330324751129</v>
      </c>
      <c r="AV168">
        <f t="shared" si="259"/>
        <v>6.863803391406605</v>
      </c>
      <c r="AW168">
        <f t="shared" si="260"/>
        <v>7.039592851432612</v>
      </c>
      <c r="AX168">
        <f t="shared" si="261"/>
        <v>0.393857240288199</v>
      </c>
    </row>
    <row r="169" spans="6:50" ht="12.75">
      <c r="F169" t="s">
        <v>142</v>
      </c>
      <c r="G169">
        <f t="shared" si="262"/>
        <v>0.1987179795299144</v>
      </c>
      <c r="H169">
        <f t="shared" si="248"/>
        <v>-0.07148043934180104</v>
      </c>
      <c r="J169">
        <f t="shared" si="263"/>
        <v>1.3724528143139505</v>
      </c>
      <c r="K169">
        <f t="shared" si="264"/>
        <v>-0.09827095746849879</v>
      </c>
      <c r="L169">
        <f t="shared" si="265"/>
        <v>6.832833679477346</v>
      </c>
      <c r="M169">
        <f t="shared" si="249"/>
        <v>6.97</v>
      </c>
      <c r="N169">
        <f t="shared" si="250"/>
        <v>0.39385724442052333</v>
      </c>
      <c r="P169">
        <f t="shared" si="266"/>
        <v>0.19822373046263092</v>
      </c>
      <c r="Q169">
        <f t="shared" si="267"/>
        <v>11.357383154847561</v>
      </c>
      <c r="R169">
        <f t="shared" si="268"/>
        <v>6.969307197915602</v>
      </c>
      <c r="S169">
        <f t="shared" si="269"/>
        <v>-0.014099600224899676</v>
      </c>
      <c r="T169">
        <f t="shared" si="270"/>
        <v>-0.8078475857084578</v>
      </c>
      <c r="Y169" t="s">
        <v>142</v>
      </c>
      <c r="Z169">
        <f t="shared" si="251"/>
        <v>1.3724528143139505</v>
      </c>
      <c r="AA169">
        <f t="shared" si="252"/>
        <v>0.9607743475674735</v>
      </c>
      <c r="AB169">
        <f t="shared" si="253"/>
        <v>6.765662268066446</v>
      </c>
      <c r="AC169">
        <f t="shared" si="254"/>
        <v>6.97</v>
      </c>
      <c r="AD169">
        <f t="shared" si="255"/>
        <v>0.3938572444205232</v>
      </c>
      <c r="AF169">
        <f t="shared" si="271"/>
        <v>0.20013986280221618</v>
      </c>
      <c r="AG169">
        <f t="shared" si="272"/>
        <v>11.467169450894325</v>
      </c>
      <c r="AH169">
        <f t="shared" si="256"/>
        <v>6.903463815582457</v>
      </c>
      <c r="AI169">
        <f t="shared" si="273"/>
        <v>0.13828454507712593</v>
      </c>
      <c r="AJ169">
        <f t="shared" si="274"/>
        <v>7.9231208048059</v>
      </c>
      <c r="AS169" t="s">
        <v>142</v>
      </c>
      <c r="AT169">
        <f t="shared" si="257"/>
        <v>1.3724528143139505</v>
      </c>
      <c r="AU169">
        <f t="shared" si="258"/>
        <v>0.9809639406738965</v>
      </c>
      <c r="AV169">
        <f t="shared" si="259"/>
        <v>6.784450380832769</v>
      </c>
      <c r="AW169">
        <f t="shared" si="260"/>
        <v>6.991043123197185</v>
      </c>
      <c r="AX169">
        <f t="shared" si="261"/>
        <v>0.39385724442052317</v>
      </c>
    </row>
    <row r="170" spans="6:49" ht="12.75">
      <c r="F170" t="s">
        <v>143</v>
      </c>
      <c r="G170">
        <f t="shared" si="262"/>
        <v>0.20265262585847216</v>
      </c>
      <c r="H170">
        <f t="shared" si="248"/>
        <v>0.2122678637404124</v>
      </c>
      <c r="J170">
        <f t="shared" si="263"/>
        <v>1.371354742255801</v>
      </c>
      <c r="K170">
        <f t="shared" si="264"/>
        <v>0.2955468139862438</v>
      </c>
      <c r="L170">
        <f t="shared" si="265"/>
        <v>6.8273668607769356</v>
      </c>
      <c r="M170">
        <f>(J170^2+K170^2+L170^2)^0.5</f>
        <v>6.97</v>
      </c>
      <c r="P170">
        <f t="shared" si="266"/>
        <v>0.1982237306062321</v>
      </c>
      <c r="Q170">
        <f t="shared" si="267"/>
        <v>11.357383163075303</v>
      </c>
      <c r="R170">
        <f t="shared" si="268"/>
        <v>6.963731189580955</v>
      </c>
      <c r="S170">
        <f t="shared" si="269"/>
        <v>0.04241541616967748</v>
      </c>
      <c r="T170">
        <f t="shared" si="270"/>
        <v>2.4302243328134674</v>
      </c>
      <c r="Y170" t="s">
        <v>143</v>
      </c>
      <c r="Z170">
        <f t="shared" si="251"/>
        <v>1.371354742255801</v>
      </c>
      <c r="AA170">
        <f t="shared" si="252"/>
        <v>1.3489973540589995</v>
      </c>
      <c r="AB170">
        <f t="shared" si="253"/>
        <v>6.699290433294734</v>
      </c>
      <c r="AC170">
        <f>(Z170^2+AA170^2+AB170^2)^0.5</f>
        <v>6.97</v>
      </c>
      <c r="AF170">
        <f t="shared" si="271"/>
        <v>0.2019121102469076</v>
      </c>
      <c r="AG170">
        <f t="shared" si="272"/>
        <v>11.568711749727987</v>
      </c>
      <c r="AH170">
        <f t="shared" si="256"/>
        <v>6.838209278659276</v>
      </c>
      <c r="AI170">
        <f t="shared" si="273"/>
        <v>0.19477253847069806</v>
      </c>
      <c r="AJ170">
        <f t="shared" si="274"/>
        <v>11.159644419420461</v>
      </c>
      <c r="AS170" t="s">
        <v>143</v>
      </c>
      <c r="AT170">
        <f t="shared" si="257"/>
        <v>1.371354742255801</v>
      </c>
      <c r="AU170">
        <f t="shared" si="258"/>
        <v>1.3731658117200465</v>
      </c>
      <c r="AV170">
        <f t="shared" si="259"/>
        <v>6.820506109478602</v>
      </c>
      <c r="AW170">
        <f>(AT170^2+AU170^2+AV170^2)^0.5</f>
        <v>7.091227098677576</v>
      </c>
    </row>
    <row r="171" spans="6:27" ht="12.75">
      <c r="F171" t="s">
        <v>224</v>
      </c>
      <c r="G171">
        <f>D$33</f>
        <v>-0.09911186523131546</v>
      </c>
      <c r="Z171">
        <f>ACOS(AB170/(Z170^2+AA170^2+AB170^2)^0.5)</f>
        <v>0.2796186710925519</v>
      </c>
      <c r="AA171">
        <f>ATAN(Z170/AA170)</f>
        <v>0.7936165425081553</v>
      </c>
    </row>
    <row r="175" spans="7:36" ht="12.75">
      <c r="G175" t="s">
        <v>83</v>
      </c>
      <c r="H175" t="s">
        <v>83</v>
      </c>
      <c r="Q175" t="s">
        <v>248</v>
      </c>
      <c r="T175" t="s">
        <v>55</v>
      </c>
      <c r="AG175" t="s">
        <v>248</v>
      </c>
      <c r="AJ175" t="s">
        <v>55</v>
      </c>
    </row>
    <row r="176" spans="7:50" ht="12.75">
      <c r="G176" t="s">
        <v>279</v>
      </c>
      <c r="H176" t="s">
        <v>84</v>
      </c>
      <c r="J176" t="s">
        <v>36</v>
      </c>
      <c r="K176" t="s">
        <v>38</v>
      </c>
      <c r="L176" t="s">
        <v>78</v>
      </c>
      <c r="M176" t="s">
        <v>79</v>
      </c>
      <c r="N176" t="s">
        <v>81</v>
      </c>
      <c r="Q176" t="s">
        <v>247</v>
      </c>
      <c r="R176" t="s">
        <v>266</v>
      </c>
      <c r="S176" t="s">
        <v>46</v>
      </c>
      <c r="T176" t="s">
        <v>267</v>
      </c>
      <c r="Z176" t="s">
        <v>36</v>
      </c>
      <c r="AA176" t="s">
        <v>38</v>
      </c>
      <c r="AB176" t="s">
        <v>78</v>
      </c>
      <c r="AC176" t="s">
        <v>79</v>
      </c>
      <c r="AD176" t="s">
        <v>81</v>
      </c>
      <c r="AG176" t="s">
        <v>247</v>
      </c>
      <c r="AH176" t="s">
        <v>266</v>
      </c>
      <c r="AI176" t="s">
        <v>46</v>
      </c>
      <c r="AJ176" t="s">
        <v>267</v>
      </c>
      <c r="AT176" t="s">
        <v>36</v>
      </c>
      <c r="AU176" t="s">
        <v>38</v>
      </c>
      <c r="AV176" t="s">
        <v>78</v>
      </c>
      <c r="AW176" t="s">
        <v>79</v>
      </c>
      <c r="AX176" t="s">
        <v>81</v>
      </c>
    </row>
    <row r="177" spans="6:50" ht="12.75">
      <c r="F177" t="s">
        <v>136</v>
      </c>
      <c r="G177">
        <f>ASIN(J177/G$2/COS(H177))</f>
        <v>0.3048800907548386</v>
      </c>
      <c r="H177">
        <f aca="true" t="shared" si="275" ref="H177:H183">ATAN(K177/J177)</f>
        <v>-0.23725300890299708</v>
      </c>
      <c r="J177">
        <f>J125*COS(G$184)-L125*SIN(G$184)</f>
        <v>2.0336367063870995</v>
      </c>
      <c r="K177">
        <f>K125</f>
        <v>-0.4917479025397425</v>
      </c>
      <c r="L177">
        <f>J125*SIN(G$184)+L125*COS(G$184)</f>
        <v>6.648564186858904</v>
      </c>
      <c r="M177">
        <f aca="true" t="shared" si="276" ref="M177:M182">(J177^2+K177^2+L177^2)^0.5</f>
        <v>6.970000000000001</v>
      </c>
      <c r="N177">
        <f aca="true" t="shared" si="277" ref="N177:N182">((J177-J$183)^2+(K177-K$183)^2+(L177-L$183)^2)^0.5</f>
        <v>0.3938572385568399</v>
      </c>
      <c r="P177">
        <f>ASIN(J177/R177)</f>
        <v>0.29683893097994163</v>
      </c>
      <c r="Q177">
        <f>P177*180/PI()</f>
        <v>17.007617940325797</v>
      </c>
      <c r="R177">
        <f>G$2*COS(S177)</f>
        <v>6.9526314443056565</v>
      </c>
      <c r="S177">
        <f>ASIN(K177/M177)</f>
        <v>-0.0706107277779617</v>
      </c>
      <c r="T177">
        <f>S177*180/PI()</f>
        <v>-4.0456966900243705</v>
      </c>
      <c r="Y177" t="s">
        <v>136</v>
      </c>
      <c r="Z177">
        <f aca="true" t="shared" si="278" ref="Z177:Z183">J177</f>
        <v>2.0336367063870995</v>
      </c>
      <c r="AA177">
        <f aca="true" t="shared" si="279" ref="AA177:AA183">K177*COS(X$45)+L177*SIN(X$45)</f>
        <v>0.543513051480542</v>
      </c>
      <c r="AB177">
        <f aca="true" t="shared" si="280" ref="AB177:AB183">-K177*SIN(X$45)+L177*COS(X$45)</f>
        <v>6.644532738222105</v>
      </c>
      <c r="AC177">
        <f aca="true" t="shared" si="281" ref="AC177:AC182">(Z177^2+AA177^2+AB177^2)^0.5</f>
        <v>6.97</v>
      </c>
      <c r="AD177">
        <f aca="true" t="shared" si="282" ref="AD177:AD182">((Z177-Z$183)^2+(AA177-AA$183)^2+(AB177-AB$183)^2)^0.5</f>
        <v>0.39385723855683996</v>
      </c>
      <c r="AF177">
        <f>ASIN(Z177/AH177)</f>
        <v>0.2970086290719755</v>
      </c>
      <c r="AG177">
        <f>AF177*180/PI()</f>
        <v>17.01734092479076</v>
      </c>
      <c r="AH177">
        <f aca="true" t="shared" si="283" ref="AH177:AH183">G$2*COS(AI177)</f>
        <v>6.948776407603737</v>
      </c>
      <c r="AI177">
        <f>ASIN(AA177/AC177)</f>
        <v>0.07805816191302489</v>
      </c>
      <c r="AJ177">
        <f>AI177*180/PI()</f>
        <v>4.472403234165155</v>
      </c>
      <c r="AS177" t="s">
        <v>136</v>
      </c>
      <c r="AT177">
        <f aca="true" t="shared" si="284" ref="AT177:AT183">Z177</f>
        <v>2.0336367063870995</v>
      </c>
      <c r="AU177">
        <f aca="true" t="shared" si="285" ref="AU177:AU183">AA177*COS(AQ$13)+(AB177-AQ$18)*SIN(AQ$13)</f>
        <v>0.6090913663940083</v>
      </c>
      <c r="AV177">
        <f aca="true" t="shared" si="286" ref="AV177:AV183">-AA177*SIN(AQ$13)+(AB177-AQ$18)*COS(AQ$13)+AQ$22</f>
        <v>6.55975026799144</v>
      </c>
      <c r="AW177">
        <f aca="true" t="shared" si="287" ref="AW177:AW182">(AT177^2+AU177^2+AV177^2)^0.5</f>
        <v>6.8947076895684605</v>
      </c>
      <c r="AX177">
        <f aca="true" t="shared" si="288" ref="AX177:AX182">((AT177-AT$183)^2+(AU177-AU$183)^2+(AV177-AV$183)^2)^0.5</f>
        <v>0.3938572385568399</v>
      </c>
    </row>
    <row r="178" spans="6:50" ht="12.75">
      <c r="F178" t="s">
        <v>144</v>
      </c>
      <c r="G178">
        <f aca="true" t="shared" si="289" ref="G178:G183">ASIN(J178/G$2/COS(H178))</f>
        <v>0.2970472551962065</v>
      </c>
      <c r="H178">
        <f t="shared" si="275"/>
        <v>-0.04825250118151756</v>
      </c>
      <c r="J178">
        <f aca="true" t="shared" si="290" ref="J178:J183">J126*COS(G$184)-L126*SIN(G$184)</f>
        <v>2.037730929739167</v>
      </c>
      <c r="K178">
        <f aca="true" t="shared" si="291" ref="K178:K183">K126</f>
        <v>-0.09840199586758161</v>
      </c>
      <c r="L178">
        <f aca="true" t="shared" si="292" ref="L178:L183">J126*SIN(G$184)+L126*COS(G$184)</f>
        <v>6.664748285208799</v>
      </c>
      <c r="M178">
        <f t="shared" si="276"/>
        <v>6.97</v>
      </c>
      <c r="N178">
        <f t="shared" si="277"/>
        <v>0.3938572285608317</v>
      </c>
      <c r="P178">
        <f aca="true" t="shared" si="293" ref="P178:P183">ASIN(J178/R178)</f>
        <v>0.2967214638790621</v>
      </c>
      <c r="Q178">
        <f aca="true" t="shared" si="294" ref="Q178:Q183">P178*180/PI()</f>
        <v>17.000887571213763</v>
      </c>
      <c r="R178">
        <f aca="true" t="shared" si="295" ref="R178:R183">G$2*COS(S178)</f>
        <v>6.969305348971967</v>
      </c>
      <c r="S178">
        <f aca="true" t="shared" si="296" ref="S178:S183">ASIN(K178/M178)</f>
        <v>-0.01411840244049153</v>
      </c>
      <c r="T178">
        <f aca="true" t="shared" si="297" ref="T178:T183">S178*180/PI()</f>
        <v>-0.8089248733073661</v>
      </c>
      <c r="Y178" t="s">
        <v>144</v>
      </c>
      <c r="Z178">
        <f t="shared" si="278"/>
        <v>2.037730929739167</v>
      </c>
      <c r="AA178">
        <f t="shared" si="279"/>
        <v>0.934621881112126</v>
      </c>
      <c r="AB178">
        <f t="shared" si="280"/>
        <v>6.599623822410697</v>
      </c>
      <c r="AC178">
        <f t="shared" si="281"/>
        <v>6.97</v>
      </c>
      <c r="AD178">
        <f t="shared" si="282"/>
        <v>0.3938572285608317</v>
      </c>
      <c r="AF178">
        <f aca="true" t="shared" si="298" ref="AF178:AF183">ASIN(Z178/AH178)</f>
        <v>0.2994782892472815</v>
      </c>
      <c r="AG178">
        <f aca="true" t="shared" si="299" ref="AG178:AG183">AF178*180/PI()</f>
        <v>17.158842029667333</v>
      </c>
      <c r="AH178">
        <f t="shared" si="283"/>
        <v>6.907053057516384</v>
      </c>
      <c r="AI178">
        <f aca="true" t="shared" si="300" ref="AI178:AI183">ASIN(AA178/AC178)</f>
        <v>0.13449722336640996</v>
      </c>
      <c r="AJ178">
        <f aca="true" t="shared" si="301" ref="AJ178:AJ183">AI178*180/PI()</f>
        <v>7.706123255123608</v>
      </c>
      <c r="AS178" t="s">
        <v>144</v>
      </c>
      <c r="AT178">
        <f t="shared" si="284"/>
        <v>2.037730929739167</v>
      </c>
      <c r="AU178">
        <f t="shared" si="285"/>
        <v>0.9985428868790719</v>
      </c>
      <c r="AV178">
        <f t="shared" si="286"/>
        <v>6.617286695817779</v>
      </c>
      <c r="AW178">
        <f t="shared" si="287"/>
        <v>6.9955641983759556</v>
      </c>
      <c r="AX178">
        <f t="shared" si="288"/>
        <v>0.3938572285608317</v>
      </c>
    </row>
    <row r="179" spans="6:50" ht="12.75">
      <c r="F179" t="s">
        <v>145</v>
      </c>
      <c r="G179">
        <f t="shared" si="289"/>
        <v>0.24817226871353767</v>
      </c>
      <c r="H179">
        <f t="shared" si="275"/>
        <v>0.057430831829842405</v>
      </c>
      <c r="J179">
        <f t="shared" si="290"/>
        <v>1.709236801825989</v>
      </c>
      <c r="K179">
        <f t="shared" si="291"/>
        <v>0.09827095746849879</v>
      </c>
      <c r="L179">
        <f t="shared" si="292"/>
        <v>6.7564600475546275</v>
      </c>
      <c r="M179">
        <f t="shared" si="276"/>
        <v>6.97</v>
      </c>
      <c r="N179">
        <f t="shared" si="277"/>
        <v>0.3938572244285077</v>
      </c>
      <c r="P179">
        <f t="shared" si="293"/>
        <v>0.24777966307829846</v>
      </c>
      <c r="Q179">
        <f t="shared" si="294"/>
        <v>14.196728943560013</v>
      </c>
      <c r="R179">
        <f t="shared" si="295"/>
        <v>6.969307197915602</v>
      </c>
      <c r="S179">
        <f t="shared" si="296"/>
        <v>0.014099600224899676</v>
      </c>
      <c r="T179">
        <f t="shared" si="297"/>
        <v>0.8078475857084578</v>
      </c>
      <c r="Y179" t="s">
        <v>145</v>
      </c>
      <c r="Z179">
        <f t="shared" si="278"/>
        <v>1.709236801825989</v>
      </c>
      <c r="AA179">
        <f t="shared" si="279"/>
        <v>1.1431223134968378</v>
      </c>
      <c r="AB179">
        <f t="shared" si="280"/>
        <v>6.659780847120218</v>
      </c>
      <c r="AC179">
        <f t="shared" si="281"/>
        <v>6.969999999999999</v>
      </c>
      <c r="AD179">
        <f t="shared" si="282"/>
        <v>0.3938572244285075</v>
      </c>
      <c r="AF179">
        <f t="shared" si="298"/>
        <v>0.25122819757888903</v>
      </c>
      <c r="AG179">
        <f t="shared" si="299"/>
        <v>14.394315415949109</v>
      </c>
      <c r="AH179">
        <f t="shared" si="283"/>
        <v>6.8756215265520275</v>
      </c>
      <c r="AI179">
        <f t="shared" si="300"/>
        <v>0.16475035432951066</v>
      </c>
      <c r="AJ179">
        <f t="shared" si="301"/>
        <v>9.43949997636583</v>
      </c>
      <c r="AS179" t="s">
        <v>145</v>
      </c>
      <c r="AT179">
        <f t="shared" si="284"/>
        <v>1.709236801825989</v>
      </c>
      <c r="AU179">
        <f t="shared" si="285"/>
        <v>1.1844585845127025</v>
      </c>
      <c r="AV179">
        <f t="shared" si="286"/>
        <v>6.72920921946657</v>
      </c>
      <c r="AW179">
        <f t="shared" si="287"/>
        <v>7.043201637216987</v>
      </c>
      <c r="AX179">
        <f t="shared" si="288"/>
        <v>0.3938572244285075</v>
      </c>
    </row>
    <row r="180" spans="6:50" ht="12.75">
      <c r="F180" t="s">
        <v>146</v>
      </c>
      <c r="G180">
        <f t="shared" si="289"/>
        <v>0.19933186110258963</v>
      </c>
      <c r="H180">
        <f t="shared" si="275"/>
        <v>-0.0713580283751317</v>
      </c>
      <c r="J180">
        <f t="shared" si="290"/>
        <v>1.3766484505606105</v>
      </c>
      <c r="K180">
        <f t="shared" si="291"/>
        <v>-0.09840199586758161</v>
      </c>
      <c r="L180">
        <f t="shared" si="292"/>
        <v>6.831987711550597</v>
      </c>
      <c r="M180">
        <f t="shared" si="276"/>
        <v>6.970000000000001</v>
      </c>
      <c r="N180">
        <f t="shared" si="277"/>
        <v>0.3938572302921917</v>
      </c>
      <c r="P180">
        <f t="shared" si="293"/>
        <v>0.19883786227751518</v>
      </c>
      <c r="Q180">
        <f t="shared" si="294"/>
        <v>11.39257031590514</v>
      </c>
      <c r="R180">
        <f t="shared" si="295"/>
        <v>6.969305348971967</v>
      </c>
      <c r="S180">
        <f t="shared" si="296"/>
        <v>-0.014118402440491529</v>
      </c>
      <c r="T180">
        <f t="shared" si="297"/>
        <v>-0.8089248733073661</v>
      </c>
      <c r="Y180" t="s">
        <v>146</v>
      </c>
      <c r="Z180">
        <f t="shared" si="278"/>
        <v>1.3766484505606105</v>
      </c>
      <c r="AA180">
        <f t="shared" si="279"/>
        <v>0.9605139162499717</v>
      </c>
      <c r="AB180">
        <f t="shared" si="280"/>
        <v>6.764846787641182</v>
      </c>
      <c r="AC180">
        <f t="shared" si="281"/>
        <v>6.97</v>
      </c>
      <c r="AD180">
        <f t="shared" si="282"/>
        <v>0.3938572302921916</v>
      </c>
      <c r="AF180">
        <f t="shared" si="298"/>
        <v>0.20075897038610493</v>
      </c>
      <c r="AG180">
        <f t="shared" si="299"/>
        <v>11.502641702515692</v>
      </c>
      <c r="AH180">
        <f t="shared" si="283"/>
        <v>6.90350005552909</v>
      </c>
      <c r="AI180">
        <f t="shared" si="300"/>
        <v>0.1382468204448459</v>
      </c>
      <c r="AJ180">
        <f t="shared" si="301"/>
        <v>7.920959342592573</v>
      </c>
      <c r="AS180" t="s">
        <v>146</v>
      </c>
      <c r="AT180">
        <f t="shared" si="284"/>
        <v>1.3766484505606105</v>
      </c>
      <c r="AU180">
        <f t="shared" si="285"/>
        <v>0.9809227616612662</v>
      </c>
      <c r="AV180">
        <f t="shared" si="286"/>
        <v>6.783595315289057</v>
      </c>
      <c r="AW180">
        <f t="shared" si="287"/>
        <v>6.991032529060907</v>
      </c>
      <c r="AX180">
        <f t="shared" si="288"/>
        <v>0.39385723029219166</v>
      </c>
    </row>
    <row r="181" spans="6:50" ht="12.75">
      <c r="F181" t="s">
        <v>147</v>
      </c>
      <c r="G181">
        <f t="shared" si="289"/>
        <v>0.21073643455677046</v>
      </c>
      <c r="H181">
        <f t="shared" si="275"/>
        <v>-0.34402509355326516</v>
      </c>
      <c r="J181">
        <f t="shared" si="290"/>
        <v>1.372554227208543</v>
      </c>
      <c r="K181">
        <f t="shared" si="291"/>
        <v>-0.4917479025397425</v>
      </c>
      <c r="L181">
        <f t="shared" si="292"/>
        <v>6.815803613200702</v>
      </c>
      <c r="M181">
        <f t="shared" si="276"/>
        <v>6.970000000000001</v>
      </c>
      <c r="N181">
        <f t="shared" si="277"/>
        <v>0.3938572402881992</v>
      </c>
      <c r="P181">
        <f t="shared" si="293"/>
        <v>0.19872039517663578</v>
      </c>
      <c r="Q181">
        <f t="shared" si="294"/>
        <v>11.38583994679311</v>
      </c>
      <c r="R181">
        <f t="shared" si="295"/>
        <v>6.9526314443056565</v>
      </c>
      <c r="S181">
        <f t="shared" si="296"/>
        <v>-0.0706107277779617</v>
      </c>
      <c r="T181">
        <f t="shared" si="297"/>
        <v>-4.0456966900243705</v>
      </c>
      <c r="Y181" t="s">
        <v>147</v>
      </c>
      <c r="Z181">
        <f t="shared" si="278"/>
        <v>1.372554227208543</v>
      </c>
      <c r="AA181">
        <f t="shared" si="279"/>
        <v>0.569405086618388</v>
      </c>
      <c r="AB181">
        <f t="shared" si="280"/>
        <v>6.80975570345259</v>
      </c>
      <c r="AC181">
        <f t="shared" si="281"/>
        <v>6.9700000000000015</v>
      </c>
      <c r="AD181">
        <f t="shared" si="282"/>
        <v>0.39385724028819924</v>
      </c>
      <c r="AF181">
        <f t="shared" si="298"/>
        <v>0.19889226787567224</v>
      </c>
      <c r="AG181">
        <f t="shared" si="299"/>
        <v>11.395687527061423</v>
      </c>
      <c r="AH181">
        <f t="shared" si="283"/>
        <v>6.946702660063485</v>
      </c>
      <c r="AI181">
        <f t="shared" si="300"/>
        <v>0.0817848423744496</v>
      </c>
      <c r="AJ181">
        <f t="shared" si="301"/>
        <v>4.685926296198657</v>
      </c>
      <c r="AS181" t="s">
        <v>147</v>
      </c>
      <c r="AT181">
        <f t="shared" si="284"/>
        <v>1.372554227208543</v>
      </c>
      <c r="AU181">
        <f t="shared" si="285"/>
        <v>0.5914712411762025</v>
      </c>
      <c r="AV181">
        <f t="shared" si="286"/>
        <v>6.7260588874627185</v>
      </c>
      <c r="AW181">
        <f t="shared" si="287"/>
        <v>6.890109686600264</v>
      </c>
      <c r="AX181">
        <f t="shared" si="288"/>
        <v>0.3938572402881993</v>
      </c>
    </row>
    <row r="182" spans="6:50" ht="12.75">
      <c r="F182" t="s">
        <v>148</v>
      </c>
      <c r="G182">
        <f t="shared" si="289"/>
        <v>0.26642211355815526</v>
      </c>
      <c r="H182">
        <f t="shared" si="275"/>
        <v>-0.38455485035284886</v>
      </c>
      <c r="J182">
        <f t="shared" si="290"/>
        <v>1.7010483551217872</v>
      </c>
      <c r="K182">
        <f t="shared" si="291"/>
        <v>-0.688420855875823</v>
      </c>
      <c r="L182">
        <f t="shared" si="292"/>
        <v>6.724091850854855</v>
      </c>
      <c r="M182">
        <f t="shared" si="276"/>
        <v>6.970000000000001</v>
      </c>
      <c r="N182">
        <f t="shared" si="277"/>
        <v>0.39385724442052333</v>
      </c>
      <c r="P182">
        <f t="shared" si="293"/>
        <v>0.2477796630782887</v>
      </c>
      <c r="Q182">
        <f t="shared" si="294"/>
        <v>14.196728943559453</v>
      </c>
      <c r="R182">
        <f t="shared" si="295"/>
        <v>6.935919313630688</v>
      </c>
      <c r="S182">
        <f t="shared" si="296"/>
        <v>-0.09893042969481416</v>
      </c>
      <c r="T182">
        <f t="shared" si="297"/>
        <v>-5.668296086928564</v>
      </c>
      <c r="Y182" t="s">
        <v>148</v>
      </c>
      <c r="Z182">
        <f t="shared" si="278"/>
        <v>1.7010483551217872</v>
      </c>
      <c r="AA182">
        <f t="shared" si="279"/>
        <v>0.3609046542336729</v>
      </c>
      <c r="AB182">
        <f t="shared" si="280"/>
        <v>6.749598678743051</v>
      </c>
      <c r="AC182">
        <f t="shared" si="281"/>
        <v>6.970000000000001</v>
      </c>
      <c r="AD182">
        <f t="shared" si="282"/>
        <v>0.3938572444205234</v>
      </c>
      <c r="AF182">
        <f t="shared" si="298"/>
        <v>0.2468809535565629</v>
      </c>
      <c r="AG182">
        <f t="shared" si="299"/>
        <v>14.145236680956346</v>
      </c>
      <c r="AH182">
        <f t="shared" si="283"/>
        <v>6.960649957479005</v>
      </c>
      <c r="AI182">
        <f t="shared" si="300"/>
        <v>0.051802886907079106</v>
      </c>
      <c r="AJ182">
        <f t="shared" si="301"/>
        <v>2.9680867863691436</v>
      </c>
      <c r="AS182" t="s">
        <v>148</v>
      </c>
      <c r="AT182">
        <f t="shared" si="284"/>
        <v>1.7010483551217872</v>
      </c>
      <c r="AU182">
        <f t="shared" si="285"/>
        <v>0.4055555435425737</v>
      </c>
      <c r="AV182">
        <f t="shared" si="286"/>
        <v>6.614136363813909</v>
      </c>
      <c r="AW182">
        <f t="shared" si="287"/>
        <v>6.841406335285614</v>
      </c>
      <c r="AX182">
        <f t="shared" si="288"/>
        <v>0.39385724442052333</v>
      </c>
    </row>
    <row r="183" spans="6:49" ht="12.75">
      <c r="F183" t="s">
        <v>149</v>
      </c>
      <c r="G183">
        <f t="shared" si="289"/>
        <v>0.25131027650618143</v>
      </c>
      <c r="H183">
        <f t="shared" si="275"/>
        <v>-0.17135299525378847</v>
      </c>
      <c r="J183">
        <f t="shared" si="290"/>
        <v>1.7078692755889198</v>
      </c>
      <c r="K183">
        <f t="shared" si="291"/>
        <v>-0.2955467940042317</v>
      </c>
      <c r="L183">
        <f t="shared" si="292"/>
        <v>6.751054334698632</v>
      </c>
      <c r="M183">
        <f>(J183^2+K183^2+L183^2)^0.5</f>
        <v>6.97</v>
      </c>
      <c r="P183">
        <f t="shared" si="293"/>
        <v>0.24777966322188985</v>
      </c>
      <c r="Q183">
        <f t="shared" si="294"/>
        <v>14.196728951787195</v>
      </c>
      <c r="R183">
        <f t="shared" si="295"/>
        <v>6.963731190429009</v>
      </c>
      <c r="S183">
        <f t="shared" si="296"/>
        <v>-0.04241541330023702</v>
      </c>
      <c r="T183">
        <f t="shared" si="297"/>
        <v>-2.4302241684066397</v>
      </c>
      <c r="Y183" t="s">
        <v>149</v>
      </c>
      <c r="Z183">
        <f t="shared" si="278"/>
        <v>1.7078692755889198</v>
      </c>
      <c r="AA183">
        <f t="shared" si="279"/>
        <v>0.7532160396456571</v>
      </c>
      <c r="AB183">
        <f t="shared" si="280"/>
        <v>6.715411240953147</v>
      </c>
      <c r="AC183">
        <f>(Z183^2+AA183^2+AB183^2)^0.5</f>
        <v>6.97</v>
      </c>
      <c r="AF183">
        <f t="shared" si="298"/>
        <v>0.24904121812512536</v>
      </c>
      <c r="AG183">
        <f t="shared" si="299"/>
        <v>14.269010723366625</v>
      </c>
      <c r="AH183">
        <f t="shared" si="283"/>
        <v>6.929182173793709</v>
      </c>
      <c r="AI183">
        <f t="shared" si="300"/>
        <v>0.1082768758265324</v>
      </c>
      <c r="AJ183">
        <f t="shared" si="301"/>
        <v>6.2038080037223935</v>
      </c>
      <c r="AS183" t="s">
        <v>149</v>
      </c>
      <c r="AT183">
        <f t="shared" si="284"/>
        <v>1.7078692755889198</v>
      </c>
      <c r="AU183">
        <f t="shared" si="285"/>
        <v>0.7934022489113327</v>
      </c>
      <c r="AV183">
        <f t="shared" si="286"/>
        <v>6.682341474774217</v>
      </c>
      <c r="AW183">
        <f>(AT183^2+AU183^2+AV183^2)^0.5</f>
        <v>6.9426214196487654</v>
      </c>
    </row>
    <row r="184" spans="6:27" ht="12.75">
      <c r="F184" t="s">
        <v>224</v>
      </c>
      <c r="G184">
        <f>D$33</f>
        <v>-0.09911186523131546</v>
      </c>
      <c r="Z184">
        <f>ACOS(AB183/(Z183^2+AA183^2+AB183^2)^0.5)</f>
        <v>0.2711122221001625</v>
      </c>
      <c r="AA184">
        <f>ATAN(Z183/AA183)</f>
        <v>1.1554295633138303</v>
      </c>
    </row>
    <row r="187" spans="14:15" ht="12.75">
      <c r="N187" s="4"/>
      <c r="O187" s="4"/>
    </row>
    <row r="188" spans="6:36" ht="12.75">
      <c r="F188" s="4"/>
      <c r="G188" s="4" t="s">
        <v>83</v>
      </c>
      <c r="H188" s="4" t="s">
        <v>83</v>
      </c>
      <c r="I188" s="4"/>
      <c r="J188" s="4"/>
      <c r="K188" s="4"/>
      <c r="L188" s="4"/>
      <c r="M188" s="4"/>
      <c r="N188" s="4"/>
      <c r="O188" s="4"/>
      <c r="Q188" t="s">
        <v>248</v>
      </c>
      <c r="T188" t="s">
        <v>55</v>
      </c>
      <c r="AG188" t="s">
        <v>248</v>
      </c>
      <c r="AJ188" t="s">
        <v>55</v>
      </c>
    </row>
    <row r="189" spans="6:50" ht="12.75">
      <c r="F189" s="4"/>
      <c r="G189" s="4" t="s">
        <v>33</v>
      </c>
      <c r="H189" s="4" t="s">
        <v>84</v>
      </c>
      <c r="I189" s="4"/>
      <c r="J189" s="4" t="s">
        <v>36</v>
      </c>
      <c r="K189" s="4" t="s">
        <v>38</v>
      </c>
      <c r="L189" s="4" t="s">
        <v>78</v>
      </c>
      <c r="M189" s="4" t="s">
        <v>79</v>
      </c>
      <c r="N189" s="4" t="s">
        <v>81</v>
      </c>
      <c r="O189" s="4"/>
      <c r="Q189" t="s">
        <v>247</v>
      </c>
      <c r="R189" t="s">
        <v>266</v>
      </c>
      <c r="S189" t="s">
        <v>46</v>
      </c>
      <c r="T189" t="s">
        <v>267</v>
      </c>
      <c r="W189" t="s">
        <v>258</v>
      </c>
      <c r="X189" t="s">
        <v>255</v>
      </c>
      <c r="Z189" t="s">
        <v>36</v>
      </c>
      <c r="AA189" t="s">
        <v>38</v>
      </c>
      <c r="AB189" t="s">
        <v>78</v>
      </c>
      <c r="AC189" t="s">
        <v>79</v>
      </c>
      <c r="AD189" t="s">
        <v>81</v>
      </c>
      <c r="AG189" t="s">
        <v>247</v>
      </c>
      <c r="AH189" t="s">
        <v>266</v>
      </c>
      <c r="AI189" t="s">
        <v>46</v>
      </c>
      <c r="AJ189" t="s">
        <v>267</v>
      </c>
      <c r="AT189" t="s">
        <v>36</v>
      </c>
      <c r="AU189" t="s">
        <v>38</v>
      </c>
      <c r="AV189" t="s">
        <v>78</v>
      </c>
      <c r="AW189" t="s">
        <v>79</v>
      </c>
      <c r="AX189" t="s">
        <v>81</v>
      </c>
    </row>
    <row r="190" spans="4:50" ht="12.75">
      <c r="D190" t="s">
        <v>249</v>
      </c>
      <c r="F190" s="4" t="s">
        <v>150</v>
      </c>
      <c r="G190">
        <f>ASIN(J190/G$2/COS(H190))</f>
        <v>0.31248830379269127</v>
      </c>
      <c r="H190" s="4">
        <f aca="true" t="shared" si="302" ref="H190:H196">ATAN(K190/J190)</f>
        <v>0.3265098822842978</v>
      </c>
      <c r="I190" s="4"/>
      <c r="J190" s="4">
        <f>J138*COS(G$197)-L138*SIN(G$197)</f>
        <v>2.0295610951715677</v>
      </c>
      <c r="K190" s="4">
        <f>K138</f>
        <v>0.6872701075385119</v>
      </c>
      <c r="L190" s="4">
        <f>J138*SIN(G$197)+L138*COS(G$197)</f>
        <v>6.632453660618368</v>
      </c>
      <c r="M190" s="4">
        <f aca="true" t="shared" si="303" ref="M190:M195">(J190^2+K190^2+L190^2)^0.5</f>
        <v>6.97</v>
      </c>
      <c r="N190" s="4">
        <f aca="true" t="shared" si="304" ref="N190:N195">((J190-J$196)^2+(K190-K$196)^2+(L190-L$196)^2)^0.5</f>
        <v>0.39385723855683974</v>
      </c>
      <c r="O190" s="4"/>
      <c r="P190">
        <f>ASIN(J190/R190)</f>
        <v>0.2969564250052819</v>
      </c>
      <c r="Q190">
        <f>P190*180/PI()</f>
        <v>17.014349852095798</v>
      </c>
      <c r="R190">
        <f>G$2*COS(S190)</f>
        <v>6.936033434123858</v>
      </c>
      <c r="S190">
        <f>ASIN(K190/M190)</f>
        <v>0.0987645196235219</v>
      </c>
      <c r="T190">
        <f>S190*180/PI()</f>
        <v>5.658790140064803</v>
      </c>
      <c r="Y190" t="s">
        <v>150</v>
      </c>
      <c r="Z190">
        <f aca="true" t="shared" si="305" ref="Z190:Z196">J190</f>
        <v>2.0295610951715677</v>
      </c>
      <c r="AA190">
        <f aca="true" t="shared" si="306" ref="AA190:AA196">K190*COS(X$45)+L190*SIN(X$45)</f>
        <v>1.7058210169269912</v>
      </c>
      <c r="AB190">
        <f aca="true" t="shared" si="307" ref="AB190:AB196">-K190*SIN(X$45)+L190*COS(X$45)</f>
        <v>6.446080702192313</v>
      </c>
      <c r="AC190">
        <f aca="true" t="shared" si="308" ref="AC190:AC195">(Z190^2+AA190^2+AB190^2)^0.5</f>
        <v>6.97</v>
      </c>
      <c r="AD190">
        <f aca="true" t="shared" si="309" ref="AD190:AD195">((Z190-Z$196)^2+(AA190-AA$196)^2+(AB190-AB$196)^2)^0.5</f>
        <v>0.3938572385568398</v>
      </c>
      <c r="AF190">
        <f>ASIN(Z190/AH190)</f>
        <v>0.3050261353914655</v>
      </c>
      <c r="AG190">
        <f>AF190*180/PI()</f>
        <v>17.476710199117004</v>
      </c>
      <c r="AH190">
        <f>G$2*COS(AI190)</f>
        <v>6.758037781650097</v>
      </c>
      <c r="AI190">
        <f>ASIN(AA190/AC190)</f>
        <v>0.2472490451018014</v>
      </c>
      <c r="AJ190">
        <f>AI190*180/PI()</f>
        <v>14.166326772972962</v>
      </c>
      <c r="AS190" t="s">
        <v>150</v>
      </c>
      <c r="AT190">
        <f aca="true" t="shared" si="310" ref="AT190:AT196">Z190</f>
        <v>2.0295610951715677</v>
      </c>
      <c r="AU190">
        <f aca="true" t="shared" si="311" ref="AU190:AU196">AA190*COS(AQ$13)+(AB190-AQ$18)*SIN(AQ$13)</f>
        <v>1.7832446828269894</v>
      </c>
      <c r="AV190">
        <f aca="true" t="shared" si="312" ref="AV190:AV196">-AA190*SIN(AQ$13)+(AB190-AQ$18)*COS(AQ$13)+AQ$22</f>
        <v>6.667949189677678</v>
      </c>
      <c r="AW190">
        <f aca="true" t="shared" si="313" ref="AW190:AW195">(AT190^2+AU190^2+AV190^2)^0.5</f>
        <v>7.1944858213765315</v>
      </c>
      <c r="AX190">
        <f aca="true" t="shared" si="314" ref="AX190:AX195">((AT190-AT$196)^2+(AU190-AU$196)^2+(AV190-AV$196)^2)^0.5</f>
        <v>0.39385723855684</v>
      </c>
    </row>
    <row r="191" spans="6:50" ht="12.75">
      <c r="F191" s="4" t="s">
        <v>151</v>
      </c>
      <c r="G191">
        <f aca="true" t="shared" si="315" ref="G191:G196">ASIN(J191/G$2/COS(H191))</f>
        <v>0.3343407406029833</v>
      </c>
      <c r="H191" s="4">
        <f t="shared" si="302"/>
        <v>0.490686246896547</v>
      </c>
      <c r="I191" s="4"/>
      <c r="J191" s="4">
        <f aca="true" t="shared" si="316" ref="J191:J196">J139*COS(G$197)-L139*SIN(G$197)</f>
        <v>2.0173158074009114</v>
      </c>
      <c r="K191" s="4">
        <f aca="true" t="shared" si="317" ref="K191:K196">K139</f>
        <v>1.0777912270297079</v>
      </c>
      <c r="L191" s="4">
        <f aca="true" t="shared" si="318" ref="L191:L196">J139*SIN(G$197)+L139*COS(G$197)</f>
        <v>6.584049134396568</v>
      </c>
      <c r="M191" s="4">
        <f t="shared" si="303"/>
        <v>6.97</v>
      </c>
      <c r="N191" s="4">
        <f t="shared" si="304"/>
        <v>0.39385722856083194</v>
      </c>
      <c r="O191" s="4"/>
      <c r="P191">
        <f aca="true" t="shared" si="319" ref="P191:P196">ASIN(J191/R191)</f>
        <v>0.2973128464551324</v>
      </c>
      <c r="Q191">
        <f aca="true" t="shared" si="320" ref="Q191:Q196">P191*180/PI()</f>
        <v>17.034771296900164</v>
      </c>
      <c r="R191">
        <f aca="true" t="shared" si="321" ref="R191:R196">G$2*COS(S191)</f>
        <v>6.886164830363691</v>
      </c>
      <c r="S191">
        <f aca="true" t="shared" si="322" ref="S191:S196">ASIN(K191/M191)</f>
        <v>0.15525586080995685</v>
      </c>
      <c r="T191">
        <f aca="true" t="shared" si="323" ref="T191:T196">S191*180/PI()</f>
        <v>8.895505569081086</v>
      </c>
      <c r="Y191" t="s">
        <v>151</v>
      </c>
      <c r="Z191">
        <f t="shared" si="305"/>
        <v>2.0173158074009114</v>
      </c>
      <c r="AA191">
        <f t="shared" si="306"/>
        <v>2.0841394974292506</v>
      </c>
      <c r="AB191">
        <f t="shared" si="307"/>
        <v>6.337799262241251</v>
      </c>
      <c r="AC191">
        <f t="shared" si="308"/>
        <v>6.97</v>
      </c>
      <c r="AD191">
        <f t="shared" si="309"/>
        <v>0.39385722856083166</v>
      </c>
      <c r="AF191">
        <f aca="true" t="shared" si="324" ref="AF191:AF196">ASIN(Z191/AH191)</f>
        <v>0.30815927812225724</v>
      </c>
      <c r="AG191">
        <f aca="true" t="shared" si="325" ref="AG191:AG196">AF191*180/PI()</f>
        <v>17.656226054203465</v>
      </c>
      <c r="AH191">
        <f aca="true" t="shared" si="326" ref="AH191:AH196">G$2*COS(AI191)</f>
        <v>6.651109873942494</v>
      </c>
      <c r="AI191">
        <f aca="true" t="shared" si="327" ref="AI191:AI196">ASIN(AA191/AC191)</f>
        <v>0.3036610047128055</v>
      </c>
      <c r="AJ191">
        <f aca="true" t="shared" si="328" ref="AJ191:AJ196">AI191*180/PI()</f>
        <v>17.398493972745957</v>
      </c>
      <c r="AS191" t="s">
        <v>151</v>
      </c>
      <c r="AT191">
        <f t="shared" si="310"/>
        <v>2.0173158074009114</v>
      </c>
      <c r="AU191">
        <f t="shared" si="311"/>
        <v>2.1766921103230406</v>
      </c>
      <c r="AV191">
        <f t="shared" si="312"/>
        <v>6.660958858916277</v>
      </c>
      <c r="AW191">
        <f t="shared" si="313"/>
        <v>7.29218242572876</v>
      </c>
      <c r="AX191">
        <f t="shared" si="314"/>
        <v>0.39385722856083183</v>
      </c>
    </row>
    <row r="192" spans="6:50" ht="12.75">
      <c r="F192" s="4" t="s">
        <v>152</v>
      </c>
      <c r="G192">
        <f t="shared" si="315"/>
        <v>0.30730715938640196</v>
      </c>
      <c r="H192" s="4">
        <f t="shared" si="302"/>
        <v>0.6482679579850433</v>
      </c>
      <c r="I192" s="4"/>
      <c r="J192" s="4">
        <f t="shared" si="316"/>
        <v>1.6806519239263715</v>
      </c>
      <c r="K192" s="4">
        <f t="shared" si="317"/>
        <v>1.2730517867753057</v>
      </c>
      <c r="L192" s="4">
        <f t="shared" si="318"/>
        <v>6.64346658445655</v>
      </c>
      <c r="M192" s="4">
        <f t="shared" si="303"/>
        <v>6.97</v>
      </c>
      <c r="N192" s="4">
        <f t="shared" si="304"/>
        <v>0.3938572244285077</v>
      </c>
      <c r="O192" s="4"/>
      <c r="P192">
        <f t="shared" si="319"/>
        <v>0.24777966307829868</v>
      </c>
      <c r="Q192">
        <f t="shared" si="320"/>
        <v>14.196728943560027</v>
      </c>
      <c r="R192">
        <f t="shared" si="321"/>
        <v>6.8527541286834595</v>
      </c>
      <c r="S192">
        <f t="shared" si="322"/>
        <v>0.18367839029815763</v>
      </c>
      <c r="T192">
        <f t="shared" si="323"/>
        <v>10.523996551841119</v>
      </c>
      <c r="Y192" t="s">
        <v>152</v>
      </c>
      <c r="Z192">
        <f t="shared" si="305"/>
        <v>1.6806519239263715</v>
      </c>
      <c r="AA192">
        <f t="shared" si="306"/>
        <v>2.2862447552493004</v>
      </c>
      <c r="AB192">
        <f t="shared" si="307"/>
        <v>6.366270024880945</v>
      </c>
      <c r="AC192">
        <f t="shared" si="308"/>
        <v>6.969999999999999</v>
      </c>
      <c r="AD192">
        <f t="shared" si="309"/>
        <v>0.39385722442850757</v>
      </c>
      <c r="AF192">
        <f t="shared" si="324"/>
        <v>0.2581047488525718</v>
      </c>
      <c r="AG192">
        <f t="shared" si="325"/>
        <v>14.78831278153644</v>
      </c>
      <c r="AH192">
        <f t="shared" si="326"/>
        <v>6.5843742997414</v>
      </c>
      <c r="AI192">
        <f t="shared" si="327"/>
        <v>0.33419854288922907</v>
      </c>
      <c r="AJ192">
        <f t="shared" si="328"/>
        <v>19.148166026974653</v>
      </c>
      <c r="AS192" t="s">
        <v>152</v>
      </c>
      <c r="AT192">
        <f t="shared" si="310"/>
        <v>1.6806519239263715</v>
      </c>
      <c r="AU192">
        <f t="shared" si="311"/>
        <v>2.3646057614621645</v>
      </c>
      <c r="AV192">
        <f t="shared" si="312"/>
        <v>6.740618003271197</v>
      </c>
      <c r="AW192">
        <f t="shared" si="313"/>
        <v>7.3383841792700695</v>
      </c>
      <c r="AX192">
        <f t="shared" si="314"/>
        <v>0.3938572244285074</v>
      </c>
    </row>
    <row r="193" spans="6:50" ht="12.75">
      <c r="F193" s="4" t="s">
        <v>153</v>
      </c>
      <c r="G193">
        <f t="shared" si="315"/>
        <v>0.25117510423783984</v>
      </c>
      <c r="H193" s="4">
        <f t="shared" si="302"/>
        <v>0.6714975256862689</v>
      </c>
      <c r="I193" s="4"/>
      <c r="J193" s="4">
        <f t="shared" si="316"/>
        <v>1.3562333282223547</v>
      </c>
      <c r="K193" s="4">
        <f t="shared" si="317"/>
        <v>1.0777912270297079</v>
      </c>
      <c r="L193" s="4">
        <f t="shared" si="318"/>
        <v>6.751288560738364</v>
      </c>
      <c r="M193" s="4">
        <f t="shared" si="303"/>
        <v>6.969999999999999</v>
      </c>
      <c r="N193" s="4">
        <f t="shared" si="304"/>
        <v>0.3938572302921916</v>
      </c>
      <c r="O193" s="4"/>
      <c r="P193">
        <f t="shared" si="319"/>
        <v>0.19824647970144488</v>
      </c>
      <c r="Q193">
        <f t="shared" si="320"/>
        <v>11.358686590218737</v>
      </c>
      <c r="R193">
        <f t="shared" si="321"/>
        <v>6.886164830363691</v>
      </c>
      <c r="S193">
        <f t="shared" si="322"/>
        <v>0.15525586080995687</v>
      </c>
      <c r="T193">
        <f t="shared" si="323"/>
        <v>8.895505569081088</v>
      </c>
      <c r="Y193" t="s">
        <v>153</v>
      </c>
      <c r="Z193">
        <f t="shared" si="305"/>
        <v>1.3562333282223547</v>
      </c>
      <c r="AA193">
        <f t="shared" si="306"/>
        <v>2.1100315325670964</v>
      </c>
      <c r="AB193">
        <f t="shared" si="307"/>
        <v>6.503022227471734</v>
      </c>
      <c r="AC193">
        <f t="shared" si="308"/>
        <v>6.969999999999998</v>
      </c>
      <c r="AD193">
        <f t="shared" si="309"/>
        <v>0.3938572302921918</v>
      </c>
      <c r="AF193">
        <f t="shared" si="324"/>
        <v>0.20560716662829634</v>
      </c>
      <c r="AG193">
        <f t="shared" si="325"/>
        <v>11.780422885444445</v>
      </c>
      <c r="AH193">
        <f t="shared" si="326"/>
        <v>6.642941135639585</v>
      </c>
      <c r="AI193">
        <f t="shared" si="327"/>
        <v>0.30755628123618695</v>
      </c>
      <c r="AJ193">
        <f t="shared" si="328"/>
        <v>17.621676877572106</v>
      </c>
      <c r="AS193" t="s">
        <v>153</v>
      </c>
      <c r="AT193">
        <f t="shared" si="310"/>
        <v>1.3562333282223547</v>
      </c>
      <c r="AU193">
        <f t="shared" si="311"/>
        <v>2.159071985105235</v>
      </c>
      <c r="AV193">
        <f t="shared" si="312"/>
        <v>6.827267478387553</v>
      </c>
      <c r="AW193">
        <f t="shared" si="313"/>
        <v>7.287835199762387</v>
      </c>
      <c r="AX193">
        <f t="shared" si="314"/>
        <v>0.3938572302921916</v>
      </c>
    </row>
    <row r="194" spans="6:50" ht="12.75">
      <c r="F194" s="4" t="s">
        <v>154</v>
      </c>
      <c r="G194">
        <f t="shared" si="315"/>
        <v>0.22151494976669722</v>
      </c>
      <c r="H194" s="4">
        <f t="shared" si="302"/>
        <v>0.46541781645240643</v>
      </c>
      <c r="I194" s="4"/>
      <c r="J194" s="4">
        <f t="shared" si="316"/>
        <v>1.368478615993011</v>
      </c>
      <c r="K194" s="4">
        <f t="shared" si="317"/>
        <v>0.6872701075385119</v>
      </c>
      <c r="L194" s="4">
        <f t="shared" si="318"/>
        <v>6.799693086960165</v>
      </c>
      <c r="M194" s="4">
        <f t="shared" si="303"/>
        <v>6.97</v>
      </c>
      <c r="N194" s="4">
        <f t="shared" si="304"/>
        <v>0.39385724028819946</v>
      </c>
      <c r="O194" s="4"/>
      <c r="P194">
        <f t="shared" si="319"/>
        <v>0.19860290115129545</v>
      </c>
      <c r="Q194">
        <f t="shared" si="320"/>
        <v>11.379108035023107</v>
      </c>
      <c r="R194">
        <f t="shared" si="321"/>
        <v>6.936033434123858</v>
      </c>
      <c r="S194">
        <f t="shared" si="322"/>
        <v>0.0987645196235219</v>
      </c>
      <c r="T194">
        <f t="shared" si="323"/>
        <v>5.658790140064803</v>
      </c>
      <c r="Y194" t="s">
        <v>154</v>
      </c>
      <c r="Z194">
        <f t="shared" si="305"/>
        <v>1.368478615993011</v>
      </c>
      <c r="AA194">
        <f t="shared" si="306"/>
        <v>1.731713052064837</v>
      </c>
      <c r="AB194">
        <f t="shared" si="307"/>
        <v>6.611303667422798</v>
      </c>
      <c r="AC194">
        <f t="shared" si="308"/>
        <v>6.97</v>
      </c>
      <c r="AD194">
        <f t="shared" si="309"/>
        <v>0.3938572402881998</v>
      </c>
      <c r="AF194">
        <f t="shared" si="324"/>
        <v>0.2041082965806743</v>
      </c>
      <c r="AG194">
        <f t="shared" si="325"/>
        <v>11.69454395767713</v>
      </c>
      <c r="AH194">
        <f t="shared" si="326"/>
        <v>6.751449466989165</v>
      </c>
      <c r="AI194">
        <f t="shared" si="327"/>
        <v>0.25108220367524486</v>
      </c>
      <c r="AJ194">
        <f t="shared" si="328"/>
        <v>14.385950581435658</v>
      </c>
      <c r="AS194" t="s">
        <v>154</v>
      </c>
      <c r="AT194">
        <f t="shared" si="310"/>
        <v>1.368478615993011</v>
      </c>
      <c r="AU194">
        <f t="shared" si="311"/>
        <v>1.765624557609184</v>
      </c>
      <c r="AV194">
        <f t="shared" si="312"/>
        <v>6.834257809148957</v>
      </c>
      <c r="AW194">
        <f t="shared" si="313"/>
        <v>7.190079526874253</v>
      </c>
      <c r="AX194">
        <f t="shared" si="314"/>
        <v>0.3938572402881998</v>
      </c>
    </row>
    <row r="195" spans="6:50" ht="12.75">
      <c r="F195" s="4" t="s">
        <v>155</v>
      </c>
      <c r="G195">
        <f t="shared" si="315"/>
        <v>0.2574555375236832</v>
      </c>
      <c r="H195" s="4">
        <f t="shared" si="302"/>
        <v>0.2809143428478886</v>
      </c>
      <c r="I195" s="4"/>
      <c r="J195" s="4">
        <f t="shared" si="316"/>
        <v>1.7051424994676174</v>
      </c>
      <c r="K195" s="4">
        <f t="shared" si="317"/>
        <v>0.49200954779291384</v>
      </c>
      <c r="L195" s="4">
        <f t="shared" si="318"/>
        <v>6.740275636900166</v>
      </c>
      <c r="M195" s="4">
        <f t="shared" si="303"/>
        <v>6.97</v>
      </c>
      <c r="N195" s="4">
        <f t="shared" si="304"/>
        <v>0.39385724442052344</v>
      </c>
      <c r="O195" s="4"/>
      <c r="P195">
        <f t="shared" si="319"/>
        <v>0.24777966307828866</v>
      </c>
      <c r="Q195">
        <f t="shared" si="320"/>
        <v>14.196728943559451</v>
      </c>
      <c r="R195">
        <f t="shared" si="321"/>
        <v>6.952612933630105</v>
      </c>
      <c r="S195">
        <f t="shared" si="322"/>
        <v>0.0706483603784438</v>
      </c>
      <c r="T195">
        <f t="shared" si="323"/>
        <v>4.047852879204097</v>
      </c>
      <c r="Y195" t="s">
        <v>155</v>
      </c>
      <c r="Z195">
        <f t="shared" si="305"/>
        <v>1.7051424994676174</v>
      </c>
      <c r="AA195">
        <f t="shared" si="306"/>
        <v>1.5296077942447843</v>
      </c>
      <c r="AB195">
        <f t="shared" si="307"/>
        <v>6.5828329047830865</v>
      </c>
      <c r="AC195">
        <f t="shared" si="308"/>
        <v>6.97</v>
      </c>
      <c r="AD195">
        <f t="shared" si="309"/>
        <v>0.3938572444205236</v>
      </c>
      <c r="AF195">
        <f t="shared" si="324"/>
        <v>0.25345802448745836</v>
      </c>
      <c r="AG195">
        <f t="shared" si="325"/>
        <v>14.522075086854835</v>
      </c>
      <c r="AH195">
        <f t="shared" si="326"/>
        <v>6.800088234411786</v>
      </c>
      <c r="AI195">
        <f t="shared" si="327"/>
        <v>0.2212567654050617</v>
      </c>
      <c r="AJ195">
        <f t="shared" si="328"/>
        <v>12.677078846426197</v>
      </c>
      <c r="AS195" t="s">
        <v>155</v>
      </c>
      <c r="AT195">
        <f t="shared" si="310"/>
        <v>1.7051424994676174</v>
      </c>
      <c r="AU195">
        <f t="shared" si="311"/>
        <v>1.5777109064700616</v>
      </c>
      <c r="AV195">
        <f t="shared" si="312"/>
        <v>6.754598664794018</v>
      </c>
      <c r="AW195">
        <f t="shared" si="313"/>
        <v>7.142918575086964</v>
      </c>
      <c r="AX195">
        <f t="shared" si="314"/>
        <v>0.39385724442052356</v>
      </c>
    </row>
    <row r="196" spans="6:49" ht="12.75">
      <c r="F196" s="4" t="s">
        <v>156</v>
      </c>
      <c r="G196">
        <f t="shared" si="315"/>
        <v>0.2779076139754565</v>
      </c>
      <c r="H196" s="4">
        <f t="shared" si="302"/>
        <v>0.4805528975155725</v>
      </c>
      <c r="I196" s="4"/>
      <c r="J196" s="4">
        <f t="shared" si="316"/>
        <v>1.6956043268127168</v>
      </c>
      <c r="K196" s="4">
        <f t="shared" si="317"/>
        <v>0.8839419333103121</v>
      </c>
      <c r="L196" s="4">
        <f t="shared" si="318"/>
        <v>6.702572090282179</v>
      </c>
      <c r="M196" s="4">
        <f>(J196^2+K196^2+L196^2)^0.5</f>
        <v>6.97</v>
      </c>
      <c r="N196" s="4"/>
      <c r="O196" s="4"/>
      <c r="P196">
        <f t="shared" si="319"/>
        <v>0.2477796632229286</v>
      </c>
      <c r="Q196">
        <f t="shared" si="320"/>
        <v>14.19672895184671</v>
      </c>
      <c r="R196">
        <f t="shared" si="321"/>
        <v>6.913721621423271</v>
      </c>
      <c r="S196">
        <f t="shared" si="322"/>
        <v>0.12716337677302098</v>
      </c>
      <c r="T196">
        <f t="shared" si="323"/>
        <v>7.285924797726024</v>
      </c>
      <c r="Y196" t="s">
        <v>156</v>
      </c>
      <c r="Z196">
        <f t="shared" si="305"/>
        <v>1.6956043268127168</v>
      </c>
      <c r="AA196">
        <f t="shared" si="306"/>
        <v>1.9109772520712942</v>
      </c>
      <c r="AB196">
        <f t="shared" si="307"/>
        <v>6.484904926747965</v>
      </c>
      <c r="AC196">
        <f>(Z196^2+AA196^2+AB196^2)^0.5</f>
        <v>6.97</v>
      </c>
      <c r="AF196">
        <f t="shared" si="324"/>
        <v>0.25574394178085647</v>
      </c>
      <c r="AG196">
        <f t="shared" si="325"/>
        <v>14.653048500082514</v>
      </c>
      <c r="AH196">
        <f t="shared" si="326"/>
        <v>6.702914734805004</v>
      </c>
      <c r="AI196">
        <f t="shared" si="327"/>
        <v>0.27772836702537235</v>
      </c>
      <c r="AJ196">
        <f t="shared" si="328"/>
        <v>15.912663281614137</v>
      </c>
      <c r="AS196" t="s">
        <v>156</v>
      </c>
      <c r="AT196">
        <f t="shared" si="310"/>
        <v>1.6956043268127168</v>
      </c>
      <c r="AU196">
        <f t="shared" si="311"/>
        <v>1.9714343042020885</v>
      </c>
      <c r="AV196">
        <f t="shared" si="312"/>
        <v>6.758398444166752</v>
      </c>
      <c r="AW196">
        <f>(AT196^2+AU196^2+AV196^2)^0.5</f>
        <v>7.241379480389517</v>
      </c>
    </row>
    <row r="197" spans="6:27" ht="12.75">
      <c r="F197" s="4" t="s">
        <v>245</v>
      </c>
      <c r="G197">
        <f>D$33</f>
        <v>-0.09911186523131546</v>
      </c>
      <c r="H197" s="4"/>
      <c r="I197" s="4"/>
      <c r="J197" s="4"/>
      <c r="K197" s="4"/>
      <c r="L197" s="4"/>
      <c r="M197" s="4"/>
      <c r="N197" s="4"/>
      <c r="O197" s="4"/>
      <c r="Z197">
        <f>ACOS(AB196/(Z196^2+AA196^2+AB196^2)^0.5)</f>
        <v>0.37528709510744496</v>
      </c>
      <c r="AA197">
        <f>ATAN(Z196/AA196)</f>
        <v>0.72575235896854</v>
      </c>
    </row>
    <row r="198" spans="6:15" ht="12.75"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6:15" ht="12.75"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6:15" ht="12.75"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6:36" ht="12.75">
      <c r="F201" s="4"/>
      <c r="G201" s="4" t="s">
        <v>83</v>
      </c>
      <c r="H201" s="4" t="s">
        <v>83</v>
      </c>
      <c r="I201" s="4"/>
      <c r="J201" s="4"/>
      <c r="K201" s="4"/>
      <c r="L201" s="4"/>
      <c r="M201" s="4"/>
      <c r="N201" s="4"/>
      <c r="O201" s="4"/>
      <c r="Q201" t="s">
        <v>248</v>
      </c>
      <c r="T201" t="s">
        <v>55</v>
      </c>
      <c r="AG201" t="s">
        <v>248</v>
      </c>
      <c r="AJ201" t="s">
        <v>55</v>
      </c>
    </row>
    <row r="202" spans="6:50" ht="12.75">
      <c r="F202" s="4"/>
      <c r="G202" s="4" t="s">
        <v>33</v>
      </c>
      <c r="H202" s="4" t="s">
        <v>84</v>
      </c>
      <c r="I202" s="4"/>
      <c r="J202" s="4" t="s">
        <v>36</v>
      </c>
      <c r="K202" s="4" t="s">
        <v>38</v>
      </c>
      <c r="L202" s="4" t="s">
        <v>78</v>
      </c>
      <c r="M202" s="4" t="s">
        <v>79</v>
      </c>
      <c r="N202" s="4" t="s">
        <v>81</v>
      </c>
      <c r="O202" s="4"/>
      <c r="Q202" t="s">
        <v>247</v>
      </c>
      <c r="R202" t="s">
        <v>266</v>
      </c>
      <c r="S202" t="s">
        <v>46</v>
      </c>
      <c r="T202" t="s">
        <v>267</v>
      </c>
      <c r="Z202" t="s">
        <v>36</v>
      </c>
      <c r="AA202" t="s">
        <v>38</v>
      </c>
      <c r="AB202" t="s">
        <v>78</v>
      </c>
      <c r="AC202" t="s">
        <v>79</v>
      </c>
      <c r="AD202" t="s">
        <v>81</v>
      </c>
      <c r="AG202" t="s">
        <v>247</v>
      </c>
      <c r="AH202" t="s">
        <v>266</v>
      </c>
      <c r="AI202" t="s">
        <v>46</v>
      </c>
      <c r="AJ202" t="s">
        <v>267</v>
      </c>
      <c r="AT202" t="s">
        <v>36</v>
      </c>
      <c r="AU202" t="s">
        <v>38</v>
      </c>
      <c r="AV202" t="s">
        <v>78</v>
      </c>
      <c r="AW202" t="s">
        <v>79</v>
      </c>
      <c r="AX202" t="s">
        <v>81</v>
      </c>
    </row>
    <row r="203" spans="4:50" ht="12.75">
      <c r="D203" t="s">
        <v>250</v>
      </c>
      <c r="F203" s="4" t="s">
        <v>157</v>
      </c>
      <c r="G203">
        <f>ASIN(J203/G$2/COS(H203))</f>
        <v>0.3787429707840137</v>
      </c>
      <c r="H203" s="4">
        <f aca="true" t="shared" si="329" ref="H203:H209">ATAN(K203/J203)</f>
        <v>-0.4314695361629273</v>
      </c>
      <c r="I203" s="4"/>
      <c r="J203" s="4">
        <f>J151*COS(G$210)-L151*SIN(G$210)</f>
        <v>2.3409844281198433</v>
      </c>
      <c r="K203" s="4">
        <f>K151</f>
        <v>-1.0777912270297076</v>
      </c>
      <c r="L203" s="4">
        <f>J151*SIN(G$210)+L151*COS(G$210)</f>
        <v>6.476037212542729</v>
      </c>
      <c r="M203" s="4">
        <f aca="true" t="shared" si="330" ref="M203:M208">(J203^2+K203^2+L203^2)^0.5</f>
        <v>6.969999999999999</v>
      </c>
      <c r="N203" s="4">
        <f aca="true" t="shared" si="331" ref="N203:N208">((J203-J$209)^2+(K203-K$209)^2+(L203-L$209)^2)^0.5</f>
        <v>0.3938572385568396</v>
      </c>
      <c r="O203" s="4"/>
      <c r="P203">
        <f>ASIN(J203/R203)</f>
        <v>0.34686877907079006</v>
      </c>
      <c r="Q203">
        <f>P203*180/PI()</f>
        <v>19.874117085612053</v>
      </c>
      <c r="R203">
        <f>G$2*COS(S203)</f>
        <v>6.886164830363691</v>
      </c>
      <c r="S203">
        <f>ASIN(K203/M203)</f>
        <v>-0.15525586080995685</v>
      </c>
      <c r="T203">
        <f>S203*180/PI()</f>
        <v>-8.895505569081086</v>
      </c>
      <c r="Y203" t="s">
        <v>157</v>
      </c>
      <c r="Z203">
        <f aca="true" t="shared" si="332" ref="Z203:Z209">J203</f>
        <v>2.3409844281198433</v>
      </c>
      <c r="AA203">
        <f aca="true" t="shared" si="333" ref="AA203:AA209">K203*COS(X$45)+L203*SIN(X$45)</f>
        <v>-0.06217480886861626</v>
      </c>
      <c r="AB203">
        <f aca="true" t="shared" si="334" ref="AB203:AB209">-K203*SIN(X$45)+L203*COS(X$45)</f>
        <v>6.564817301375763</v>
      </c>
      <c r="AC203">
        <f aca="true" t="shared" si="335" ref="AC203:AC208">(Z203^2+AA203^2+AB203^2)^0.5</f>
        <v>6.97</v>
      </c>
      <c r="AD203">
        <f aca="true" t="shared" si="336" ref="AD203:AD208">((Z203-Z$209)^2+(AA203-AA$209)^2+(AB203-AB$209)^2)^0.5</f>
        <v>0.3938572385568396</v>
      </c>
      <c r="AF203">
        <f>ASIN(Z203/AH203)</f>
        <v>0.3425384336034498</v>
      </c>
      <c r="AG203">
        <f>AF203*180/PI()</f>
        <v>19.62600656649985</v>
      </c>
      <c r="AH203">
        <f>G$2*COS(AI203)</f>
        <v>6.969722684091681</v>
      </c>
      <c r="AI203">
        <f>ASIN(AA203/AC203)</f>
        <v>-0.008920463911954227</v>
      </c>
      <c r="AJ203">
        <f>AI203*180/PI()</f>
        <v>-0.5111049334537372</v>
      </c>
      <c r="AS203" t="s">
        <v>157</v>
      </c>
      <c r="AT203">
        <f aca="true" t="shared" si="337" ref="AT203:AT209">Z203</f>
        <v>2.3409844281198433</v>
      </c>
      <c r="AU203">
        <f aca="true" t="shared" si="338" ref="AU203:AU209">AA203*COS(AQ$13)+(AB203-AQ$18)*SIN(AQ$13)</f>
        <v>0.04448700592219088</v>
      </c>
      <c r="AV203">
        <f aca="true" t="shared" si="339" ref="AV203:AV209">-AA203*SIN(AQ$13)+(AB203-AQ$18)*COS(AQ$13)+AQ$22</f>
        <v>6.326438778385475</v>
      </c>
      <c r="AW203">
        <f aca="true" t="shared" si="340" ref="AW203:AW208">(AT203^2+AU203^2+AV203^2)^0.5</f>
        <v>6.745814613747921</v>
      </c>
      <c r="AX203">
        <f aca="true" t="shared" si="341" ref="AX203:AX208">((AT203-AT$209)^2+(AU203-AU$209)^2+(AV203-AV$209)^2)^0.5</f>
        <v>0.3938572385568395</v>
      </c>
    </row>
    <row r="204" spans="6:50" ht="12.75">
      <c r="F204" s="4" t="s">
        <v>158</v>
      </c>
      <c r="G204">
        <f aca="true" t="shared" si="342" ref="G204:G209">ASIN(J204/G$2/COS(H204))</f>
        <v>0.3597657953152042</v>
      </c>
      <c r="H204" s="4">
        <f t="shared" si="329"/>
        <v>-0.2838788023604036</v>
      </c>
      <c r="I204" s="4"/>
      <c r="J204" s="4">
        <f aca="true" t="shared" si="343" ref="J204:J209">J152*COS(G$210)-L152*SIN(G$210)</f>
        <v>2.3556124328002355</v>
      </c>
      <c r="K204" s="4">
        <f aca="true" t="shared" si="344" ref="K204:K209">K152</f>
        <v>-0.6872701075385117</v>
      </c>
      <c r="L204" s="4">
        <f aca="true" t="shared" si="345" ref="L204:L209">J152*SIN(G$210)+L152*COS(G$210)</f>
        <v>6.52377573692727</v>
      </c>
      <c r="M204" s="4">
        <f t="shared" si="330"/>
        <v>6.969999999999999</v>
      </c>
      <c r="N204" s="4">
        <f t="shared" si="331"/>
        <v>0.39385722856083183</v>
      </c>
      <c r="O204" s="4"/>
      <c r="P204">
        <f aca="true" t="shared" si="346" ref="P204:P209">ASIN(J204/R204)</f>
        <v>0.3465123576209396</v>
      </c>
      <c r="Q204">
        <f aca="true" t="shared" si="347" ref="Q204:Q209">P204*180/PI()</f>
        <v>19.85369564080769</v>
      </c>
      <c r="R204">
        <f aca="true" t="shared" si="348" ref="R204:R209">G$2*COS(S204)</f>
        <v>6.936033434123858</v>
      </c>
      <c r="S204">
        <f aca="true" t="shared" si="349" ref="S204:S209">ASIN(K204/M204)</f>
        <v>-0.09876451962352188</v>
      </c>
      <c r="T204">
        <f aca="true" t="shared" si="350" ref="T204:T209">S204*180/PI()</f>
        <v>-5.658790140064802</v>
      </c>
      <c r="Y204" t="s">
        <v>158</v>
      </c>
      <c r="Z204">
        <f t="shared" si="332"/>
        <v>2.3556124328002355</v>
      </c>
      <c r="AA204">
        <f t="shared" si="333"/>
        <v>0.33102855433750655</v>
      </c>
      <c r="AB204">
        <f t="shared" si="334"/>
        <v>6.551519683451326</v>
      </c>
      <c r="AC204">
        <f t="shared" si="335"/>
        <v>6.969999999999999</v>
      </c>
      <c r="AD204">
        <f t="shared" si="336"/>
        <v>0.39385722856083194</v>
      </c>
      <c r="AF204">
        <f aca="true" t="shared" si="351" ref="AF204:AF209">ASIN(Z204/AH204)</f>
        <v>0.3451589811950995</v>
      </c>
      <c r="AG204">
        <f aca="true" t="shared" si="352" ref="AG204:AG209">AF204*180/PI()</f>
        <v>19.77615288351455</v>
      </c>
      <c r="AH204">
        <f aca="true" t="shared" si="353" ref="AH204:AH209">G$2*COS(AI204)</f>
        <v>6.962134737005111</v>
      </c>
      <c r="AI204">
        <f aca="true" t="shared" si="354" ref="AI204:AI209">ASIN(AA204/AC204)</f>
        <v>0.04751120895677503</v>
      </c>
      <c r="AJ204">
        <f aca="true" t="shared" si="355" ref="AJ204:AJ209">AI204*180/PI()</f>
        <v>2.7221917527873645</v>
      </c>
      <c r="AS204" t="s">
        <v>158</v>
      </c>
      <c r="AT204">
        <f t="shared" si="337"/>
        <v>2.3556124328002355</v>
      </c>
      <c r="AU204">
        <f t="shared" si="338"/>
        <v>0.42780492850686214</v>
      </c>
      <c r="AV204">
        <f t="shared" si="339"/>
        <v>6.41505639347662</v>
      </c>
      <c r="AW204">
        <f t="shared" si="340"/>
        <v>6.8472531369815055</v>
      </c>
      <c r="AX204">
        <f t="shared" si="341"/>
        <v>0.39385722856083194</v>
      </c>
    </row>
    <row r="205" spans="6:50" ht="12.75">
      <c r="F205" s="4" t="s">
        <v>159</v>
      </c>
      <c r="G205">
        <f t="shared" si="342"/>
        <v>0.3053713101441883</v>
      </c>
      <c r="H205" s="4">
        <f t="shared" si="329"/>
        <v>-0.23700464176553362</v>
      </c>
      <c r="I205" s="4"/>
      <c r="J205" s="4">
        <f t="shared" si="343"/>
        <v>2.0369331395151202</v>
      </c>
      <c r="K205" s="4">
        <f t="shared" si="344"/>
        <v>-0.49200954779291384</v>
      </c>
      <c r="L205" s="4">
        <f t="shared" si="345"/>
        <v>6.647535632851144</v>
      </c>
      <c r="M205" s="4">
        <f t="shared" si="330"/>
        <v>6.969999999999998</v>
      </c>
      <c r="N205" s="4">
        <f t="shared" si="331"/>
        <v>0.3938572244285074</v>
      </c>
      <c r="O205" s="4"/>
      <c r="P205">
        <f t="shared" si="346"/>
        <v>0.2973355956939561</v>
      </c>
      <c r="Q205">
        <f t="shared" si="347"/>
        <v>17.0360747322719</v>
      </c>
      <c r="R205">
        <f t="shared" si="348"/>
        <v>6.952612933630105</v>
      </c>
      <c r="S205">
        <f t="shared" si="349"/>
        <v>-0.07064836037844381</v>
      </c>
      <c r="T205">
        <f t="shared" si="350"/>
        <v>-4.047852879204098</v>
      </c>
      <c r="Y205" t="s">
        <v>159</v>
      </c>
      <c r="Z205">
        <f t="shared" si="332"/>
        <v>2.0369331395151202</v>
      </c>
      <c r="AA205">
        <f t="shared" si="333"/>
        <v>0.543095320072311</v>
      </c>
      <c r="AB205">
        <f t="shared" si="334"/>
        <v>6.643557093790991</v>
      </c>
      <c r="AC205">
        <f t="shared" si="335"/>
        <v>6.969999999999998</v>
      </c>
      <c r="AD205">
        <f t="shared" si="336"/>
        <v>0.3938572244285074</v>
      </c>
      <c r="AF205">
        <f t="shared" si="351"/>
        <v>0.29750333775363724</v>
      </c>
      <c r="AG205">
        <f t="shared" si="352"/>
        <v>17.04568564433846</v>
      </c>
      <c r="AH205">
        <f t="shared" si="353"/>
        <v>6.9488090687049064</v>
      </c>
      <c r="AI205">
        <f t="shared" si="354"/>
        <v>0.07799804623194963</v>
      </c>
      <c r="AJ205">
        <f t="shared" si="355"/>
        <v>4.468958859356987</v>
      </c>
      <c r="AS205" t="s">
        <v>159</v>
      </c>
      <c r="AT205">
        <f t="shared" si="337"/>
        <v>2.0369331395151202</v>
      </c>
      <c r="AU205">
        <f t="shared" si="338"/>
        <v>0.6089395444762254</v>
      </c>
      <c r="AV205">
        <f t="shared" si="339"/>
        <v>6.558699872022928</v>
      </c>
      <c r="AW205">
        <f t="shared" si="340"/>
        <v>6.8946680844660975</v>
      </c>
      <c r="AX205">
        <f t="shared" si="341"/>
        <v>0.3938572244285074</v>
      </c>
    </row>
    <row r="206" spans="6:50" ht="12.75">
      <c r="F206" s="4" t="s">
        <v>160</v>
      </c>
      <c r="G206">
        <f t="shared" si="342"/>
        <v>0.26671341614188515</v>
      </c>
      <c r="H206" s="4">
        <f t="shared" si="329"/>
        <v>-0.38344782490846696</v>
      </c>
      <c r="I206" s="4"/>
      <c r="J206" s="4">
        <f t="shared" si="343"/>
        <v>1.7036258415494816</v>
      </c>
      <c r="K206" s="4">
        <f t="shared" si="344"/>
        <v>-0.6872701075385117</v>
      </c>
      <c r="L206" s="4">
        <f t="shared" si="345"/>
        <v>6.7235570043905195</v>
      </c>
      <c r="M206" s="4">
        <f t="shared" si="330"/>
        <v>6.97</v>
      </c>
      <c r="N206" s="4">
        <f t="shared" si="331"/>
        <v>0.39385723029219155</v>
      </c>
      <c r="O206" s="4"/>
      <c r="P206">
        <f t="shared" si="346"/>
        <v>0.24815883376695314</v>
      </c>
      <c r="Q206">
        <f t="shared" si="347"/>
        <v>14.218453823734995</v>
      </c>
      <c r="R206">
        <f t="shared" si="348"/>
        <v>6.936033434123858</v>
      </c>
      <c r="S206">
        <f t="shared" si="349"/>
        <v>-0.09876451962352187</v>
      </c>
      <c r="T206">
        <f t="shared" si="350"/>
        <v>-5.658790140064801</v>
      </c>
      <c r="Y206" t="s">
        <v>160</v>
      </c>
      <c r="Z206">
        <f t="shared" si="332"/>
        <v>1.7036258415494816</v>
      </c>
      <c r="AA206">
        <f t="shared" si="333"/>
        <v>0.36195872260099937</v>
      </c>
      <c r="AB206">
        <f t="shared" si="334"/>
        <v>6.7488921220551354</v>
      </c>
      <c r="AC206">
        <f t="shared" si="335"/>
        <v>6.97</v>
      </c>
      <c r="AD206">
        <f t="shared" si="336"/>
        <v>0.39385723029219155</v>
      </c>
      <c r="AF206">
        <f t="shared" si="351"/>
        <v>0.2472648293892996</v>
      </c>
      <c r="AG206">
        <f t="shared" si="352"/>
        <v>14.167231146029227</v>
      </c>
      <c r="AH206">
        <f t="shared" si="353"/>
        <v>6.960595224773026</v>
      </c>
      <c r="AI206">
        <f t="shared" si="354"/>
        <v>0.05195431996518744</v>
      </c>
      <c r="AJ206">
        <f t="shared" si="355"/>
        <v>2.976763261477511</v>
      </c>
      <c r="AS206" t="s">
        <v>160</v>
      </c>
      <c r="AT206">
        <f t="shared" si="337"/>
        <v>1.7036258415494816</v>
      </c>
      <c r="AU206">
        <f t="shared" si="338"/>
        <v>0.40675623786091347</v>
      </c>
      <c r="AV206">
        <f t="shared" si="339"/>
        <v>6.613725735478132</v>
      </c>
      <c r="AW206">
        <f t="shared" si="340"/>
        <v>6.841721987128658</v>
      </c>
      <c r="AX206">
        <f t="shared" si="341"/>
        <v>0.3938572302921916</v>
      </c>
    </row>
    <row r="207" spans="6:50" ht="12.75">
      <c r="F207" s="4" t="s">
        <v>161</v>
      </c>
      <c r="G207">
        <f t="shared" si="342"/>
        <v>0.2915719742272891</v>
      </c>
      <c r="H207" s="4">
        <f t="shared" si="329"/>
        <v>-0.5679816761758792</v>
      </c>
      <c r="I207" s="4"/>
      <c r="J207" s="4">
        <f t="shared" si="343"/>
        <v>1.6889978368690892</v>
      </c>
      <c r="K207" s="4">
        <f t="shared" si="344"/>
        <v>-1.0777912270297076</v>
      </c>
      <c r="L207" s="4">
        <f t="shared" si="345"/>
        <v>6.675818480005978</v>
      </c>
      <c r="M207" s="4">
        <f t="shared" si="330"/>
        <v>6.97</v>
      </c>
      <c r="N207" s="4">
        <f t="shared" si="331"/>
        <v>0.39385724028819963</v>
      </c>
      <c r="O207" s="4"/>
      <c r="P207">
        <f t="shared" si="346"/>
        <v>0.24780241231710257</v>
      </c>
      <c r="Q207">
        <f t="shared" si="347"/>
        <v>14.198032378930625</v>
      </c>
      <c r="R207">
        <f t="shared" si="348"/>
        <v>6.886164830363691</v>
      </c>
      <c r="S207">
        <f t="shared" si="349"/>
        <v>-0.15525586080995682</v>
      </c>
      <c r="T207">
        <f t="shared" si="350"/>
        <v>-8.895505569081084</v>
      </c>
      <c r="Y207" t="s">
        <v>161</v>
      </c>
      <c r="Z207">
        <f t="shared" si="332"/>
        <v>1.6889978368690892</v>
      </c>
      <c r="AA207">
        <f t="shared" si="333"/>
        <v>-0.031244640605123664</v>
      </c>
      <c r="AB207">
        <f t="shared" si="334"/>
        <v>6.762189739979571</v>
      </c>
      <c r="AC207">
        <f t="shared" si="335"/>
        <v>6.97</v>
      </c>
      <c r="AD207">
        <f t="shared" si="336"/>
        <v>0.39385724028819974</v>
      </c>
      <c r="AF207">
        <f t="shared" si="351"/>
        <v>0.24476297501832714</v>
      </c>
      <c r="AG207">
        <f t="shared" si="352"/>
        <v>14.023885449616149</v>
      </c>
      <c r="AH207">
        <f t="shared" si="353"/>
        <v>6.969929968976263</v>
      </c>
      <c r="AI207">
        <f t="shared" si="354"/>
        <v>-0.004482746807600639</v>
      </c>
      <c r="AJ207">
        <f t="shared" si="355"/>
        <v>-0.25684247270125987</v>
      </c>
      <c r="AS207" t="s">
        <v>161</v>
      </c>
      <c r="AT207">
        <f t="shared" si="337"/>
        <v>1.6889978368690892</v>
      </c>
      <c r="AU207">
        <f t="shared" si="338"/>
        <v>0.023438315276242443</v>
      </c>
      <c r="AV207">
        <f t="shared" si="339"/>
        <v>6.525108120386985</v>
      </c>
      <c r="AW207">
        <f t="shared" si="340"/>
        <v>6.740200221826621</v>
      </c>
      <c r="AX207">
        <f t="shared" si="341"/>
        <v>0.3938572402881998</v>
      </c>
    </row>
    <row r="208" spans="6:50" ht="12.75">
      <c r="F208" s="4" t="s">
        <v>162</v>
      </c>
      <c r="G208">
        <f t="shared" si="342"/>
        <v>0.3480572641796521</v>
      </c>
      <c r="H208" s="4">
        <f t="shared" si="329"/>
        <v>-0.5651106048394808</v>
      </c>
      <c r="I208" s="4"/>
      <c r="J208" s="4">
        <f t="shared" si="343"/>
        <v>2.0076771301542706</v>
      </c>
      <c r="K208" s="4">
        <f t="shared" si="344"/>
        <v>-1.2730517867753057</v>
      </c>
      <c r="L208" s="4">
        <f t="shared" si="345"/>
        <v>6.552058584082082</v>
      </c>
      <c r="M208" s="4">
        <f t="shared" si="330"/>
        <v>6.969999999999999</v>
      </c>
      <c r="N208" s="4">
        <f t="shared" si="331"/>
        <v>0.39385724442052367</v>
      </c>
      <c r="O208" s="4"/>
      <c r="P208">
        <f t="shared" si="346"/>
        <v>0.29733559569394635</v>
      </c>
      <c r="Q208">
        <f t="shared" si="347"/>
        <v>17.03607473227134</v>
      </c>
      <c r="R208">
        <f t="shared" si="348"/>
        <v>6.8527541286834595</v>
      </c>
      <c r="S208">
        <f t="shared" si="349"/>
        <v>-0.18367839029815766</v>
      </c>
      <c r="T208">
        <f t="shared" si="350"/>
        <v>-10.52399655184112</v>
      </c>
      <c r="Y208" t="s">
        <v>162</v>
      </c>
      <c r="Z208">
        <f t="shared" si="332"/>
        <v>2.0076771301542706</v>
      </c>
      <c r="AA208">
        <f t="shared" si="333"/>
        <v>-0.2433114063399313</v>
      </c>
      <c r="AB208">
        <f t="shared" si="334"/>
        <v>6.670152329639885</v>
      </c>
      <c r="AC208">
        <f t="shared" si="335"/>
        <v>6.969999999999999</v>
      </c>
      <c r="AD208">
        <f t="shared" si="336"/>
        <v>0.3938572444205236</v>
      </c>
      <c r="AF208">
        <f t="shared" si="351"/>
        <v>0.2923686501025443</v>
      </c>
      <c r="AG208">
        <f t="shared" si="352"/>
        <v>16.75148971281289</v>
      </c>
      <c r="AH208">
        <f t="shared" si="353"/>
        <v>6.965751901951783</v>
      </c>
      <c r="AI208">
        <f t="shared" si="354"/>
        <v>-0.03491547342907425</v>
      </c>
      <c r="AJ208">
        <f t="shared" si="355"/>
        <v>-2.0005092671871227</v>
      </c>
      <c r="AS208" t="s">
        <v>162</v>
      </c>
      <c r="AT208">
        <f t="shared" si="337"/>
        <v>2.0076771301542706</v>
      </c>
      <c r="AU208">
        <f t="shared" si="338"/>
        <v>-0.15769630069311869</v>
      </c>
      <c r="AV208">
        <f t="shared" si="339"/>
        <v>6.381464641840656</v>
      </c>
      <c r="AW208">
        <f t="shared" si="340"/>
        <v>6.691690859361278</v>
      </c>
      <c r="AX208">
        <f t="shared" si="341"/>
        <v>0.39385724442052356</v>
      </c>
    </row>
    <row r="209" spans="6:49" ht="12.75">
      <c r="F209" s="4" t="s">
        <v>163</v>
      </c>
      <c r="G209">
        <f t="shared" si="342"/>
        <v>0.3226439292202324</v>
      </c>
      <c r="H209" s="4">
        <f t="shared" si="329"/>
        <v>-0.4114854176489894</v>
      </c>
      <c r="I209" s="4"/>
      <c r="J209" s="4">
        <f t="shared" si="343"/>
        <v>2.025539007321087</v>
      </c>
      <c r="K209" s="4">
        <f t="shared" si="344"/>
        <v>-0.8839419134717995</v>
      </c>
      <c r="L209" s="4">
        <f t="shared" si="345"/>
        <v>6.610350854790427</v>
      </c>
      <c r="M209" s="4">
        <f>(J209^2+K209^2+L209^2)^0.5</f>
        <v>6.970000000000001</v>
      </c>
      <c r="N209" s="4"/>
      <c r="O209" s="4"/>
      <c r="P209">
        <f t="shared" si="346"/>
        <v>0.2973355958385864</v>
      </c>
      <c r="Q209">
        <f t="shared" si="347"/>
        <v>17.036074740558604</v>
      </c>
      <c r="R209">
        <f t="shared" si="348"/>
        <v>6.91372162395969</v>
      </c>
      <c r="S209">
        <f t="shared" si="349"/>
        <v>-0.1271633739035805</v>
      </c>
      <c r="T209">
        <f t="shared" si="350"/>
        <v>-7.285924633319196</v>
      </c>
      <c r="Y209" t="s">
        <v>163</v>
      </c>
      <c r="Z209">
        <f t="shared" si="332"/>
        <v>2.025539007321087</v>
      </c>
      <c r="AA209">
        <f t="shared" si="333"/>
        <v>0.15013165926010896</v>
      </c>
      <c r="AB209">
        <f t="shared" si="334"/>
        <v>6.667499697390959</v>
      </c>
      <c r="AC209">
        <f>(Z209^2+AA209^2+AB209^2)^0.5</f>
        <v>6.970000000000001</v>
      </c>
      <c r="AF209">
        <f t="shared" si="351"/>
        <v>0.2949328680462635</v>
      </c>
      <c r="AG209">
        <f t="shared" si="352"/>
        <v>16.898408578739716</v>
      </c>
      <c r="AH209">
        <f t="shared" si="353"/>
        <v>6.968382917498708</v>
      </c>
      <c r="AI209">
        <f t="shared" si="354"/>
        <v>0.02154135879835035</v>
      </c>
      <c r="AJ209">
        <f t="shared" si="355"/>
        <v>1.2342289441224776</v>
      </c>
      <c r="AS209" t="s">
        <v>163</v>
      </c>
      <c r="AT209">
        <f t="shared" si="337"/>
        <v>2.025539007321087</v>
      </c>
      <c r="AU209">
        <f t="shared" si="338"/>
        <v>0.22310630151433797</v>
      </c>
      <c r="AV209">
        <f t="shared" si="339"/>
        <v>6.480428577082921</v>
      </c>
      <c r="AW209">
        <f>(AT209^2+AU209^2+AV209^2)^0.5</f>
        <v>6.793271614960473</v>
      </c>
    </row>
    <row r="210" spans="6:27" ht="12.75">
      <c r="F210" s="4" t="s">
        <v>223</v>
      </c>
      <c r="G210">
        <f>D$33</f>
        <v>-0.09911186523131546</v>
      </c>
      <c r="H210" s="4"/>
      <c r="I210" s="4"/>
      <c r="J210" s="4"/>
      <c r="K210" s="4"/>
      <c r="L210" s="4"/>
      <c r="M210" s="4"/>
      <c r="N210" s="4"/>
      <c r="O210" s="4"/>
      <c r="Z210">
        <f>ACOS(AB209/(Z209^2+AA209^2+AB209^2)^0.5)</f>
        <v>0.2956956088492808</v>
      </c>
      <c r="AA210">
        <f>ATAN(Z209/AA209)</f>
        <v>1.4968122483360224</v>
      </c>
    </row>
    <row r="211" spans="6:15" ht="12.75"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6:15" ht="12.75"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6:15" ht="12.75"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6:55" ht="12.75">
      <c r="F214" s="4"/>
      <c r="G214" s="4" t="s">
        <v>83</v>
      </c>
      <c r="H214" s="4" t="s">
        <v>83</v>
      </c>
      <c r="I214" s="4"/>
      <c r="J214" s="4"/>
      <c r="K214" s="4"/>
      <c r="L214" s="4"/>
      <c r="M214" s="4"/>
      <c r="N214" s="4"/>
      <c r="O214" s="4"/>
      <c r="Q214" t="s">
        <v>248</v>
      </c>
      <c r="T214" t="s">
        <v>55</v>
      </c>
      <c r="AG214" t="s">
        <v>248</v>
      </c>
      <c r="AJ214" t="s">
        <v>55</v>
      </c>
      <c r="BA214" t="s">
        <v>248</v>
      </c>
      <c r="BC214" t="s">
        <v>55</v>
      </c>
    </row>
    <row r="215" spans="6:53" ht="12.75">
      <c r="F215" s="4"/>
      <c r="G215" s="4" t="s">
        <v>33</v>
      </c>
      <c r="H215" s="4" t="s">
        <v>84</v>
      </c>
      <c r="I215" s="4"/>
      <c r="J215" s="4" t="s">
        <v>36</v>
      </c>
      <c r="K215" s="4" t="s">
        <v>38</v>
      </c>
      <c r="L215" s="4" t="s">
        <v>78</v>
      </c>
      <c r="M215" s="4" t="s">
        <v>79</v>
      </c>
      <c r="N215" s="4" t="s">
        <v>81</v>
      </c>
      <c r="O215" s="4"/>
      <c r="Q215" t="s">
        <v>247</v>
      </c>
      <c r="R215" t="s">
        <v>266</v>
      </c>
      <c r="S215" t="s">
        <v>46</v>
      </c>
      <c r="T215" t="s">
        <v>267</v>
      </c>
      <c r="Z215" t="s">
        <v>36</v>
      </c>
      <c r="AA215" t="s">
        <v>38</v>
      </c>
      <c r="AB215" t="s">
        <v>78</v>
      </c>
      <c r="AC215" t="s">
        <v>79</v>
      </c>
      <c r="AD215" t="s">
        <v>81</v>
      </c>
      <c r="AG215" t="s">
        <v>247</v>
      </c>
      <c r="AH215" t="s">
        <v>266</v>
      </c>
      <c r="AI215" t="s">
        <v>46</v>
      </c>
      <c r="AJ215" t="s">
        <v>267</v>
      </c>
      <c r="AT215" t="s">
        <v>36</v>
      </c>
      <c r="AU215" t="s">
        <v>38</v>
      </c>
      <c r="AV215" t="s">
        <v>78</v>
      </c>
      <c r="AW215" t="s">
        <v>79</v>
      </c>
      <c r="AX215" t="s">
        <v>81</v>
      </c>
      <c r="BA215" t="s">
        <v>247</v>
      </c>
    </row>
    <row r="216" spans="4:55" ht="12.75">
      <c r="D216" t="s">
        <v>251</v>
      </c>
      <c r="F216" s="4" t="s">
        <v>164</v>
      </c>
      <c r="G216">
        <f>ASIN(J216/G$2/COS(H216))</f>
        <v>0.3465535067235714</v>
      </c>
      <c r="H216" s="4">
        <f aca="true" t="shared" si="356" ref="H216:H222">ATAN(K216/J216)</f>
        <v>0.04157709207434311</v>
      </c>
      <c r="I216" s="4"/>
      <c r="J216" s="4">
        <f>J164*COS(G$223)-L164*SIN(G$223)</f>
        <v>2.36537197300306</v>
      </c>
      <c r="K216" s="4">
        <f>K164</f>
        <v>0.09840199586758175</v>
      </c>
      <c r="L216" s="4">
        <f>J164*SIN(G$223)+L164*COS(G$223)</f>
        <v>6.555626017135273</v>
      </c>
      <c r="M216" s="4">
        <f aca="true" t="shared" si="357" ref="M216:M221">(J216^2+K216^2+L216^2)^0.5</f>
        <v>6.97</v>
      </c>
      <c r="N216" s="4">
        <f aca="true" t="shared" si="358" ref="N216:N221">((J216-J$222)^2+(K216-K$222)^2+(L216-L$222)^2)^0.5</f>
        <v>0.3938572385568395</v>
      </c>
      <c r="O216" s="4"/>
      <c r="P216">
        <f>ASIN(J216/R216)</f>
        <v>0.34627739649471984</v>
      </c>
      <c r="Q216">
        <f>P216*180/PI()</f>
        <v>19.84023335992565</v>
      </c>
      <c r="R216">
        <f>G$2*COS(S216)</f>
        <v>6.969305348971967</v>
      </c>
      <c r="S216">
        <f>ASIN(K216/M216)</f>
        <v>0.01411840244049155</v>
      </c>
      <c r="T216">
        <f>S216*180/PI()</f>
        <v>0.8089248733073672</v>
      </c>
      <c r="Y216" t="s">
        <v>164</v>
      </c>
      <c r="Z216">
        <f aca="true" t="shared" si="359" ref="Z216:Z222">J216</f>
        <v>2.36537197300306</v>
      </c>
      <c r="AA216">
        <f aca="true" t="shared" si="360" ref="AA216:AA222">K216*COS(X$45)+L216*SIN(X$45)</f>
        <v>1.112158614727301</v>
      </c>
      <c r="AB216">
        <f aca="true" t="shared" si="361" ref="AB216:AB222">-K216*SIN(X$45)+L216*COS(X$45)</f>
        <v>6.461348051685458</v>
      </c>
      <c r="AC216">
        <f aca="true" t="shared" si="362" ref="AC216:AC222">(Z216^2+AA216^2+AB216^2)^0.5</f>
        <v>6.97</v>
      </c>
      <c r="AD216">
        <f aca="true" t="shared" si="363" ref="AD216:AD221">((Z216-Z$222)^2+(AA216-AA$222)^2+(AB216-AB$222)^2)^0.5</f>
        <v>0.3938572385568394</v>
      </c>
      <c r="AF216">
        <f>ASIN(Z216/AH216)</f>
        <v>0.35092778495400895</v>
      </c>
      <c r="AG216">
        <f>AF216*180/PI()</f>
        <v>20.106680991739264</v>
      </c>
      <c r="AH216">
        <f>G$2*COS(AI216)</f>
        <v>6.880697872722494</v>
      </c>
      <c r="AI216">
        <f>ASIN(AA216/AC216)</f>
        <v>0.16024862016948077</v>
      </c>
      <c r="AJ216">
        <f>AI216*180/PI()</f>
        <v>9.181569608506248</v>
      </c>
      <c r="AS216" t="s">
        <v>164</v>
      </c>
      <c r="AT216">
        <f aca="true" t="shared" si="364" ref="AT216:AT222">Z216</f>
        <v>2.36537197300306</v>
      </c>
      <c r="AU216">
        <f aca="true" t="shared" si="365" ref="AU216:AU222">AA216*COS(AQ$13)+(AB216-AQ$18)*SIN(AQ$13)</f>
        <v>1.2057485019509386</v>
      </c>
      <c r="AV216">
        <f aca="true" t="shared" si="366" ref="AV216:AV222">-AA216*SIN(AQ$13)+(AB216-AQ$18)*COS(AQ$13)+AQ$22</f>
        <v>6.529506779919585</v>
      </c>
      <c r="AW216">
        <f aca="true" t="shared" si="367" ref="AW216:AW221">(AT216^2+AU216^2+AV216^2)^0.5</f>
        <v>7.0486362375739855</v>
      </c>
      <c r="AX216">
        <f aca="true" t="shared" si="368" ref="AX216:AX221">((AT216-AT$222)^2+(AU216-AU$222)^2+(AV216-AV$222)^2)^0.5</f>
        <v>0.39385723855683935</v>
      </c>
      <c r="AZ216">
        <f>ASIN(AT216/AW216)</f>
        <v>0.3422194542208696</v>
      </c>
      <c r="BA216">
        <f aca="true" t="shared" si="369" ref="BA216:BC222">AZ216*180/PI()</f>
        <v>19.60773039412631</v>
      </c>
      <c r="BB216">
        <f>ASIN(AU216/AW216)</f>
        <v>0.1719066916506818</v>
      </c>
      <c r="BC216">
        <f t="shared" si="369"/>
        <v>9.849527901640894</v>
      </c>
    </row>
    <row r="217" spans="6:55" ht="12.75">
      <c r="F217" s="4" t="s">
        <v>165</v>
      </c>
      <c r="G217">
        <f aca="true" t="shared" si="370" ref="G217:G222">ASIN(J217/G$2/COS(H217))</f>
        <v>0.353233889403969</v>
      </c>
      <c r="H217" s="4">
        <f t="shared" si="356"/>
        <v>0.20538767870037788</v>
      </c>
      <c r="I217" s="4"/>
      <c r="J217" s="4">
        <f aca="true" t="shared" si="371" ref="J217:J222">J165*COS(G$223)-L165*SIN(G$223)</f>
        <v>2.360481086036718</v>
      </c>
      <c r="K217" s="4">
        <f aca="true" t="shared" si="372" ref="K217:K222">K165</f>
        <v>0.49174790253974265</v>
      </c>
      <c r="L217" s="4">
        <f aca="true" t="shared" si="373" ref="L217:L222">J165*SIN(G$223)+L165*COS(G$223)</f>
        <v>6.539664597118929</v>
      </c>
      <c r="M217" s="4">
        <f t="shared" si="357"/>
        <v>6.97</v>
      </c>
      <c r="N217" s="4">
        <f t="shared" si="358"/>
        <v>0.3938572285608321</v>
      </c>
      <c r="O217" s="4"/>
      <c r="P217">
        <f aca="true" t="shared" si="374" ref="P217:P222">ASIN(J217/R217)</f>
        <v>0.3463948635955993</v>
      </c>
      <c r="Q217">
        <f aca="true" t="shared" si="375" ref="Q217:Q222">P217*180/PI()</f>
        <v>19.846963729037682</v>
      </c>
      <c r="R217">
        <f aca="true" t="shared" si="376" ref="R217:R222">G$2*COS(S217)</f>
        <v>6.9526314443056565</v>
      </c>
      <c r="S217">
        <f aca="true" t="shared" si="377" ref="S217:S222">ASIN(K217/M217)</f>
        <v>0.07061072777796173</v>
      </c>
      <c r="T217">
        <f aca="true" t="shared" si="378" ref="T217:T222">S217*180/PI()</f>
        <v>4.045696690024373</v>
      </c>
      <c r="Y217" t="s">
        <v>165</v>
      </c>
      <c r="Z217">
        <f t="shared" si="359"/>
        <v>2.360481086036718</v>
      </c>
      <c r="AA217">
        <f t="shared" si="360"/>
        <v>1.4982906699865435</v>
      </c>
      <c r="AB217">
        <f t="shared" si="361"/>
        <v>6.384681206661315</v>
      </c>
      <c r="AC217">
        <f t="shared" si="362"/>
        <v>6.97</v>
      </c>
      <c r="AD217">
        <f t="shared" si="363"/>
        <v>0.3938572285608321</v>
      </c>
      <c r="AF217">
        <f aca="true" t="shared" si="379" ref="AF217:AF222">ASIN(Z217/AH217)</f>
        <v>0.35412489772795563</v>
      </c>
      <c r="AG217">
        <f aca="true" t="shared" si="380" ref="AG217:AG222">AF217*180/PI()</f>
        <v>20.289862060313773</v>
      </c>
      <c r="AH217">
        <f aca="true" t="shared" si="381" ref="AH217:AH222">G$2*COS(AI217)</f>
        <v>6.807057004920061</v>
      </c>
      <c r="AI217">
        <f aca="true" t="shared" si="382" ref="AI217:AI222">ASIN(AA217/AC217)</f>
        <v>0.21665373245259129</v>
      </c>
      <c r="AJ217">
        <f aca="true" t="shared" si="383" ref="AJ217:AJ222">AI217*180/PI()</f>
        <v>12.41334448529</v>
      </c>
      <c r="AS217" t="s">
        <v>165</v>
      </c>
      <c r="AT217">
        <f t="shared" si="364"/>
        <v>2.360481086036718</v>
      </c>
      <c r="AU217">
        <f t="shared" si="365"/>
        <v>1.5985868318217675</v>
      </c>
      <c r="AV217">
        <f t="shared" si="366"/>
        <v>6.555076602151669</v>
      </c>
      <c r="AW217">
        <f t="shared" si="367"/>
        <v>7.148173198551313</v>
      </c>
      <c r="AX217">
        <f t="shared" si="368"/>
        <v>0.39385722856083194</v>
      </c>
      <c r="AZ217">
        <f aca="true" t="shared" si="384" ref="AZ217:AZ222">ASIN(AT217/AW217)</f>
        <v>0.33653831978123694</v>
      </c>
      <c r="BA217">
        <f t="shared" si="369"/>
        <v>19.28222536788894</v>
      </c>
      <c r="BB217">
        <f aca="true" t="shared" si="385" ref="BB217:BB222">ASIN(AU217/AW217)</f>
        <v>0.22554307556532155</v>
      </c>
      <c r="BC217">
        <f t="shared" si="369"/>
        <v>12.92266632829313</v>
      </c>
    </row>
    <row r="218" spans="6:55" ht="12.75">
      <c r="F218" s="4" t="s">
        <v>166</v>
      </c>
      <c r="G218">
        <f t="shared" si="370"/>
        <v>0.3128983257482029</v>
      </c>
      <c r="H218" s="4">
        <f t="shared" si="356"/>
        <v>0.32664696838344165</v>
      </c>
      <c r="I218" s="4"/>
      <c r="J218" s="4">
        <f t="shared" si="371"/>
        <v>2.032042346928235</v>
      </c>
      <c r="K218" s="4">
        <f t="shared" si="372"/>
        <v>0.688420855875823</v>
      </c>
      <c r="L218" s="4">
        <f t="shared" si="373"/>
        <v>6.631574520842362</v>
      </c>
      <c r="M218" s="4">
        <f t="shared" si="357"/>
        <v>6.970000000000001</v>
      </c>
      <c r="N218" s="4">
        <f t="shared" si="358"/>
        <v>0.3938572244285077</v>
      </c>
      <c r="O218" s="4"/>
      <c r="P218">
        <f t="shared" si="374"/>
        <v>0.29733559569395634</v>
      </c>
      <c r="Q218">
        <f t="shared" si="375"/>
        <v>17.036074732271913</v>
      </c>
      <c r="R218">
        <f t="shared" si="376"/>
        <v>6.935919313630688</v>
      </c>
      <c r="S218">
        <f t="shared" si="377"/>
        <v>0.09893042969481416</v>
      </c>
      <c r="T218">
        <f t="shared" si="378"/>
        <v>5.668296086928564</v>
      </c>
      <c r="Y218" t="s">
        <v>166</v>
      </c>
      <c r="Z218">
        <f t="shared" si="359"/>
        <v>2.032042346928235</v>
      </c>
      <c r="AA218">
        <f t="shared" si="360"/>
        <v>1.706821781747908</v>
      </c>
      <c r="AB218">
        <f t="shared" si="361"/>
        <v>6.445034003451129</v>
      </c>
      <c r="AC218">
        <f t="shared" si="362"/>
        <v>6.97</v>
      </c>
      <c r="AD218">
        <f t="shared" si="363"/>
        <v>0.3938572244285079</v>
      </c>
      <c r="AF218">
        <f t="shared" si="379"/>
        <v>0.30542287153595343</v>
      </c>
      <c r="AG218">
        <f t="shared" si="380"/>
        <v>17.499441505776453</v>
      </c>
      <c r="AH218">
        <f t="shared" si="381"/>
        <v>6.757785096120688</v>
      </c>
      <c r="AI218">
        <f t="shared" si="382"/>
        <v>0.24739713298785004</v>
      </c>
      <c r="AJ218">
        <f t="shared" si="383"/>
        <v>14.174811583840562</v>
      </c>
      <c r="AS218" t="s">
        <v>166</v>
      </c>
      <c r="AT218">
        <f t="shared" si="364"/>
        <v>2.032042346928235</v>
      </c>
      <c r="AU218">
        <f t="shared" si="365"/>
        <v>1.7844816514342097</v>
      </c>
      <c r="AV218">
        <f t="shared" si="366"/>
        <v>6.6671961842684455</v>
      </c>
      <c r="AW218">
        <f t="shared" si="367"/>
        <v>7.194795050836312</v>
      </c>
      <c r="AX218">
        <f t="shared" si="368"/>
        <v>0.39385722442850757</v>
      </c>
      <c r="AZ218">
        <f t="shared" si="384"/>
        <v>0.2863286703652374</v>
      </c>
      <c r="BA218">
        <f t="shared" si="369"/>
        <v>16.405424365520673</v>
      </c>
      <c r="BB218">
        <f t="shared" si="385"/>
        <v>0.25063995894619534</v>
      </c>
      <c r="BC218">
        <f t="shared" si="369"/>
        <v>14.360611824949213</v>
      </c>
    </row>
    <row r="219" spans="6:55" ht="12.75">
      <c r="F219" s="4" t="s">
        <v>167</v>
      </c>
      <c r="G219">
        <f t="shared" si="370"/>
        <v>0.25792267773069927</v>
      </c>
      <c r="H219" s="4">
        <f t="shared" si="356"/>
        <v>0.28025024075111854</v>
      </c>
      <c r="I219" s="4"/>
      <c r="J219" s="4">
        <f t="shared" si="371"/>
        <v>1.708494494785964</v>
      </c>
      <c r="K219" s="4">
        <f t="shared" si="372"/>
        <v>0.49174790253974265</v>
      </c>
      <c r="L219" s="4">
        <f t="shared" si="373"/>
        <v>6.739445864582178</v>
      </c>
      <c r="M219" s="4">
        <f t="shared" si="357"/>
        <v>6.970000000000001</v>
      </c>
      <c r="N219" s="4">
        <f t="shared" si="358"/>
        <v>0.3938572302921914</v>
      </c>
      <c r="O219" s="4"/>
      <c r="P219">
        <f t="shared" si="374"/>
        <v>0.24827632779229356</v>
      </c>
      <c r="Q219">
        <f t="shared" si="375"/>
        <v>14.225185735505004</v>
      </c>
      <c r="R219">
        <f t="shared" si="376"/>
        <v>6.9526314443056565</v>
      </c>
      <c r="S219">
        <f t="shared" si="377"/>
        <v>0.07061072777796172</v>
      </c>
      <c r="T219">
        <f t="shared" si="378"/>
        <v>4.045696690024372</v>
      </c>
      <c r="Y219" t="s">
        <v>167</v>
      </c>
      <c r="Z219">
        <f t="shared" si="359"/>
        <v>1.708494494785964</v>
      </c>
      <c r="AA219">
        <f t="shared" si="360"/>
        <v>1.5292208382500365</v>
      </c>
      <c r="AB219">
        <f t="shared" si="361"/>
        <v>6.582053645265124</v>
      </c>
      <c r="AC219">
        <f t="shared" si="362"/>
        <v>6.97</v>
      </c>
      <c r="AD219">
        <f t="shared" si="363"/>
        <v>0.39385723029219144</v>
      </c>
      <c r="AF219">
        <f t="shared" si="379"/>
        <v>0.25396393858991273</v>
      </c>
      <c r="AG219">
        <f t="shared" si="380"/>
        <v>14.551061829721618</v>
      </c>
      <c r="AH219">
        <f t="shared" si="381"/>
        <v>6.8001752644958975</v>
      </c>
      <c r="AI219">
        <f t="shared" si="382"/>
        <v>0.2211998612142459</v>
      </c>
      <c r="AJ219">
        <f t="shared" si="383"/>
        <v>12.673818476455843</v>
      </c>
      <c r="AS219" t="s">
        <v>167</v>
      </c>
      <c r="AT219">
        <f t="shared" si="364"/>
        <v>1.708494494785964</v>
      </c>
      <c r="AU219">
        <f t="shared" si="365"/>
        <v>1.5775381411758191</v>
      </c>
      <c r="AV219">
        <f t="shared" si="366"/>
        <v>6.75374594415318</v>
      </c>
      <c r="AW219">
        <f t="shared" si="367"/>
        <v>7.142875072668144</v>
      </c>
      <c r="AX219">
        <f t="shared" si="368"/>
        <v>0.39385723029219144</v>
      </c>
      <c r="AZ219">
        <f t="shared" si="384"/>
        <v>0.2415301381451345</v>
      </c>
      <c r="BA219">
        <f t="shared" si="369"/>
        <v>13.83865754092794</v>
      </c>
      <c r="BB219">
        <f t="shared" si="385"/>
        <v>0.22269081091654067</v>
      </c>
      <c r="BC219">
        <f t="shared" si="369"/>
        <v>12.759243601863618</v>
      </c>
    </row>
    <row r="220" spans="6:55" ht="12.75">
      <c r="F220" s="4" t="s">
        <v>168</v>
      </c>
      <c r="G220">
        <f t="shared" si="370"/>
        <v>0.24878643473590933</v>
      </c>
      <c r="H220" s="4">
        <f t="shared" si="356"/>
        <v>0.057368308498259975</v>
      </c>
      <c r="I220" s="4"/>
      <c r="J220" s="4">
        <f t="shared" si="371"/>
        <v>1.7133853817523064</v>
      </c>
      <c r="K220" s="4">
        <f t="shared" si="372"/>
        <v>0.09840199586758175</v>
      </c>
      <c r="L220" s="4">
        <f t="shared" si="373"/>
        <v>6.755407284598522</v>
      </c>
      <c r="M220" s="4">
        <f t="shared" si="357"/>
        <v>6.97</v>
      </c>
      <c r="N220" s="4">
        <f t="shared" si="358"/>
        <v>0.39385724028819913</v>
      </c>
      <c r="O220" s="4"/>
      <c r="P220">
        <f t="shared" si="374"/>
        <v>0.24839379489317293</v>
      </c>
      <c r="Q220">
        <f t="shared" si="375"/>
        <v>14.23191610461703</v>
      </c>
      <c r="R220">
        <f t="shared" si="376"/>
        <v>6.969305348971967</v>
      </c>
      <c r="S220">
        <f t="shared" si="377"/>
        <v>0.01411840244049155</v>
      </c>
      <c r="T220">
        <f t="shared" si="378"/>
        <v>0.8089248733073672</v>
      </c>
      <c r="Y220" t="s">
        <v>168</v>
      </c>
      <c r="Z220">
        <f t="shared" si="359"/>
        <v>1.7133853817523064</v>
      </c>
      <c r="AA220">
        <f t="shared" si="360"/>
        <v>1.1430887829907939</v>
      </c>
      <c r="AB220">
        <f t="shared" si="361"/>
        <v>6.658720490289266</v>
      </c>
      <c r="AC220">
        <f t="shared" si="362"/>
        <v>6.97</v>
      </c>
      <c r="AD220">
        <f t="shared" si="363"/>
        <v>0.3938572402881992</v>
      </c>
      <c r="AF220">
        <f t="shared" si="379"/>
        <v>0.2518509691945587</v>
      </c>
      <c r="AG220">
        <f t="shared" si="380"/>
        <v>14.429997601127521</v>
      </c>
      <c r="AH220">
        <f t="shared" si="381"/>
        <v>6.875627101159619</v>
      </c>
      <c r="AI220">
        <f t="shared" si="382"/>
        <v>0.1647454776078468</v>
      </c>
      <c r="AJ220">
        <f t="shared" si="383"/>
        <v>9.439220560796631</v>
      </c>
      <c r="AS220" t="s">
        <v>168</v>
      </c>
      <c r="AT220">
        <f t="shared" si="364"/>
        <v>1.7133853817523064</v>
      </c>
      <c r="AU220">
        <f t="shared" si="365"/>
        <v>1.1846998113049902</v>
      </c>
      <c r="AV220">
        <f t="shared" si="366"/>
        <v>6.728176121921096</v>
      </c>
      <c r="AW220">
        <f t="shared" si="367"/>
        <v>7.043263237796651</v>
      </c>
      <c r="AX220">
        <f t="shared" si="368"/>
        <v>0.39385724028819924</v>
      </c>
      <c r="AZ220">
        <f t="shared" si="384"/>
        <v>0.24573142734249304</v>
      </c>
      <c r="BA220">
        <f t="shared" si="369"/>
        <v>14.079373680450491</v>
      </c>
      <c r="BB220">
        <f t="shared" si="385"/>
        <v>0.16900667143707518</v>
      </c>
      <c r="BC220">
        <f t="shared" si="369"/>
        <v>9.683368982898608</v>
      </c>
    </row>
    <row r="221" spans="6:55" ht="12.75">
      <c r="F221" s="4" t="s">
        <v>169</v>
      </c>
      <c r="G221">
        <f t="shared" si="370"/>
        <v>0.2976598088388555</v>
      </c>
      <c r="H221" s="4">
        <f t="shared" si="356"/>
        <v>-0.04809189167673676</v>
      </c>
      <c r="I221" s="4"/>
      <c r="J221" s="4">
        <f t="shared" si="371"/>
        <v>2.0418241208608547</v>
      </c>
      <c r="K221" s="4">
        <f t="shared" si="372"/>
        <v>-0.09827095746849879</v>
      </c>
      <c r="L221" s="4">
        <f t="shared" si="373"/>
        <v>6.663497360875069</v>
      </c>
      <c r="M221" s="4">
        <f t="shared" si="357"/>
        <v>6.969999999999999</v>
      </c>
      <c r="N221" s="4">
        <f t="shared" si="358"/>
        <v>0.39385724442052333</v>
      </c>
      <c r="O221" s="4"/>
      <c r="P221">
        <f t="shared" si="374"/>
        <v>0.29733559569394635</v>
      </c>
      <c r="Q221">
        <f t="shared" si="375"/>
        <v>17.03607473227134</v>
      </c>
      <c r="R221">
        <f t="shared" si="376"/>
        <v>6.969307197915602</v>
      </c>
      <c r="S221">
        <f t="shared" si="377"/>
        <v>-0.014099600224899677</v>
      </c>
      <c r="T221">
        <f t="shared" si="378"/>
        <v>-0.8078475857084578</v>
      </c>
      <c r="Y221" t="s">
        <v>169</v>
      </c>
      <c r="Z221">
        <f t="shared" si="359"/>
        <v>2.0418241208608547</v>
      </c>
      <c r="AA221">
        <f t="shared" si="360"/>
        <v>0.9345576712294261</v>
      </c>
      <c r="AB221">
        <f t="shared" si="361"/>
        <v>6.598367693499433</v>
      </c>
      <c r="AC221">
        <f t="shared" si="362"/>
        <v>6.97</v>
      </c>
      <c r="AD221">
        <f t="shared" si="363"/>
        <v>0.39385724442052333</v>
      </c>
      <c r="AF221">
        <f t="shared" si="379"/>
        <v>0.3000981752662392</v>
      </c>
      <c r="AG221">
        <f t="shared" si="380"/>
        <v>17.19435888233278</v>
      </c>
      <c r="AH221">
        <f t="shared" si="381"/>
        <v>6.907061745716931</v>
      </c>
      <c r="AI221">
        <f t="shared" si="382"/>
        <v>0.1344879270946453</v>
      </c>
      <c r="AJ221">
        <f t="shared" si="383"/>
        <v>7.705590617986288</v>
      </c>
      <c r="AS221" t="s">
        <v>169</v>
      </c>
      <c r="AT221">
        <f t="shared" si="364"/>
        <v>2.0418241208608547</v>
      </c>
      <c r="AU221">
        <f t="shared" si="365"/>
        <v>0.99880499169255</v>
      </c>
      <c r="AV221">
        <f t="shared" si="366"/>
        <v>6.616056539804299</v>
      </c>
      <c r="AW221">
        <f t="shared" si="367"/>
        <v>6.99563158620052</v>
      </c>
      <c r="AX221">
        <f t="shared" si="368"/>
        <v>0.3938572444205234</v>
      </c>
      <c r="AZ221">
        <f t="shared" si="384"/>
        <v>0.2961827508730846</v>
      </c>
      <c r="BA221">
        <f t="shared" si="369"/>
        <v>16.970021589602446</v>
      </c>
      <c r="BB221">
        <f t="shared" si="385"/>
        <v>0.14326510851793414</v>
      </c>
      <c r="BC221">
        <f t="shared" si="369"/>
        <v>8.208486069561367</v>
      </c>
    </row>
    <row r="222" spans="6:55" ht="12.75">
      <c r="F222" s="4" t="s">
        <v>170</v>
      </c>
      <c r="G222">
        <f t="shared" si="370"/>
        <v>0.3002568652028934</v>
      </c>
      <c r="H222" s="4">
        <f t="shared" si="356"/>
        <v>0.14386161511207443</v>
      </c>
      <c r="I222" s="4"/>
      <c r="J222" s="4">
        <f t="shared" si="371"/>
        <v>2.0401904977001895</v>
      </c>
      <c r="K222" s="4">
        <f t="shared" si="372"/>
        <v>0.2955468139862438</v>
      </c>
      <c r="L222" s="4">
        <f t="shared" si="373"/>
        <v>6.658166024802658</v>
      </c>
      <c r="M222" s="4">
        <f>(J222^2+K222^2+L222^2)^0.5</f>
        <v>6.97</v>
      </c>
      <c r="N222" s="4"/>
      <c r="O222" s="4"/>
      <c r="P222">
        <f t="shared" si="374"/>
        <v>0.2973355958375476</v>
      </c>
      <c r="Q222">
        <f t="shared" si="375"/>
        <v>17.036074740499085</v>
      </c>
      <c r="R222">
        <f t="shared" si="376"/>
        <v>6.963731189580955</v>
      </c>
      <c r="S222">
        <f t="shared" si="377"/>
        <v>0.04241541616967748</v>
      </c>
      <c r="T222">
        <f t="shared" si="378"/>
        <v>2.4302243328134674</v>
      </c>
      <c r="Y222" t="s">
        <v>170</v>
      </c>
      <c r="Z222">
        <f t="shared" si="359"/>
        <v>2.0401904977001895</v>
      </c>
      <c r="AA222">
        <f t="shared" si="360"/>
        <v>1.322801653163415</v>
      </c>
      <c r="AB222">
        <f t="shared" si="361"/>
        <v>6.5321297077968365</v>
      </c>
      <c r="AC222">
        <f t="shared" si="362"/>
        <v>6.97</v>
      </c>
      <c r="AF222">
        <f t="shared" si="379"/>
        <v>0.3027314396919248</v>
      </c>
      <c r="AG222">
        <f t="shared" si="380"/>
        <v>17.3452338202665</v>
      </c>
      <c r="AH222">
        <f t="shared" si="381"/>
        <v>6.8433249072646065</v>
      </c>
      <c r="AI222">
        <f t="shared" si="382"/>
        <v>0.19094319177190344</v>
      </c>
      <c r="AJ222">
        <f t="shared" si="383"/>
        <v>10.940239015287174</v>
      </c>
      <c r="AS222" t="s">
        <v>170</v>
      </c>
      <c r="AT222">
        <f t="shared" si="364"/>
        <v>2.0401904977001895</v>
      </c>
      <c r="AU222">
        <f t="shared" si="365"/>
        <v>1.3909925884678396</v>
      </c>
      <c r="AV222">
        <f t="shared" si="366"/>
        <v>6.652246997020528</v>
      </c>
      <c r="AW222">
        <f>(AT222^2+AU222^2+AV222^2)^0.5</f>
        <v>7.095747159915384</v>
      </c>
      <c r="AZ222">
        <f t="shared" si="384"/>
        <v>0.2916396224220535</v>
      </c>
      <c r="BA222">
        <f t="shared" si="369"/>
        <v>16.709719503572554</v>
      </c>
      <c r="BB222">
        <f t="shared" si="385"/>
        <v>0.197309627197801</v>
      </c>
      <c r="BC222">
        <f t="shared" si="369"/>
        <v>11.305008895733678</v>
      </c>
    </row>
    <row r="223" spans="6:27" ht="12.75">
      <c r="F223" s="4" t="s">
        <v>245</v>
      </c>
      <c r="G223">
        <f>D$33</f>
        <v>-0.09911186523131546</v>
      </c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Z223">
        <f>ACOS(AB222/(Z222^2+AA222^2+AB222^2)^0.5)</f>
        <v>0.3563457694411525</v>
      </c>
      <c r="AA223">
        <f>ATAN(Z222/AA222)</f>
        <v>0.9955666771111624</v>
      </c>
    </row>
    <row r="224" spans="6:20" ht="12.75"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6:20" ht="12.75"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6:20" ht="12.75"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6:55" ht="12.75">
      <c r="F227" s="4"/>
      <c r="G227" s="4" t="s">
        <v>83</v>
      </c>
      <c r="H227" s="4" t="s">
        <v>83</v>
      </c>
      <c r="I227" s="4"/>
      <c r="J227" s="4"/>
      <c r="K227" s="4"/>
      <c r="L227" s="4"/>
      <c r="M227" s="4"/>
      <c r="N227" s="4"/>
      <c r="O227" s="4"/>
      <c r="Q227" t="s">
        <v>248</v>
      </c>
      <c r="T227" t="s">
        <v>55</v>
      </c>
      <c r="AG227" t="s">
        <v>248</v>
      </c>
      <c r="AJ227" t="s">
        <v>55</v>
      </c>
      <c r="BA227" t="s">
        <v>248</v>
      </c>
      <c r="BC227" t="s">
        <v>55</v>
      </c>
    </row>
    <row r="228" spans="6:53" ht="12.75">
      <c r="F228" s="4"/>
      <c r="G228" s="4" t="s">
        <v>33</v>
      </c>
      <c r="H228" s="4" t="s">
        <v>84</v>
      </c>
      <c r="I228" s="4"/>
      <c r="J228" s="4" t="s">
        <v>36</v>
      </c>
      <c r="K228" s="4" t="s">
        <v>38</v>
      </c>
      <c r="L228" s="4" t="s">
        <v>78</v>
      </c>
      <c r="M228" s="4" t="s">
        <v>79</v>
      </c>
      <c r="N228" s="4" t="s">
        <v>81</v>
      </c>
      <c r="O228" s="4"/>
      <c r="Q228" t="s">
        <v>247</v>
      </c>
      <c r="R228" t="s">
        <v>266</v>
      </c>
      <c r="S228" t="s">
        <v>46</v>
      </c>
      <c r="T228" t="s">
        <v>267</v>
      </c>
      <c r="Z228" t="s">
        <v>36</v>
      </c>
      <c r="AA228" t="s">
        <v>38</v>
      </c>
      <c r="AB228" t="s">
        <v>78</v>
      </c>
      <c r="AC228" t="s">
        <v>79</v>
      </c>
      <c r="AD228" t="s">
        <v>81</v>
      </c>
      <c r="AG228" t="s">
        <v>247</v>
      </c>
      <c r="AH228" t="s">
        <v>266</v>
      </c>
      <c r="AI228" t="s">
        <v>46</v>
      </c>
      <c r="AJ228" t="s">
        <v>267</v>
      </c>
      <c r="AT228" t="s">
        <v>36</v>
      </c>
      <c r="AU228" t="s">
        <v>38</v>
      </c>
      <c r="AV228" t="s">
        <v>78</v>
      </c>
      <c r="AW228" t="s">
        <v>79</v>
      </c>
      <c r="AX228" t="s">
        <v>81</v>
      </c>
      <c r="BA228" t="s">
        <v>247</v>
      </c>
    </row>
    <row r="229" spans="4:55" ht="12.75">
      <c r="D229" t="s">
        <v>251</v>
      </c>
      <c r="F229" s="4" t="s">
        <v>282</v>
      </c>
      <c r="G229">
        <f>ASIN(J229/G$2/COS(H229))</f>
        <v>0.40187000692000796</v>
      </c>
      <c r="H229" s="4">
        <f aca="true" t="shared" si="386" ref="H229:H235">ATAN(K229/J229)</f>
        <v>-0.18136815833679157</v>
      </c>
      <c r="I229" s="4"/>
      <c r="J229" s="4">
        <f>J177*COS(G$236)-L177*SIN(G$236)</f>
        <v>2.681529804983362</v>
      </c>
      <c r="K229" s="4">
        <f>K177</f>
        <v>-0.4917479025397425</v>
      </c>
      <c r="L229" s="4">
        <f>J177*SIN(G$236)+L177*COS(G$236)</f>
        <v>6.4147082478732935</v>
      </c>
      <c r="M229" s="4">
        <f aca="true" t="shared" si="387" ref="M229:M234">(J229^2+K229^2+L229^2)^0.5</f>
        <v>6.970000000000001</v>
      </c>
      <c r="N229" s="4">
        <f aca="true" t="shared" si="388" ref="N229:N234">((J229-J$235)^2+(K229-K$235)^2+(L229-L$235)^2)^0.5</f>
        <v>0.39385723855683946</v>
      </c>
      <c r="O229" s="4"/>
      <c r="P229">
        <f>ASIN(J229/R229)</f>
        <v>0.395950796211257</v>
      </c>
      <c r="Q229">
        <f>P229*180/PI()</f>
        <v>22.686309517749574</v>
      </c>
      <c r="R229">
        <f>G$2*COS(S229)</f>
        <v>6.9526314443056565</v>
      </c>
      <c r="S229">
        <f>ASIN(K229/M229)</f>
        <v>-0.0706107277779617</v>
      </c>
      <c r="T229">
        <f>S229*180/PI()</f>
        <v>-4.0456966900243705</v>
      </c>
      <c r="Y229" s="4" t="s">
        <v>282</v>
      </c>
      <c r="Z229">
        <f aca="true" t="shared" si="389" ref="Z229:Z235">J229</f>
        <v>2.681529804983362</v>
      </c>
      <c r="AA229">
        <f aca="true" t="shared" si="390" ref="AA229:AA235">K229*COS(X$45)+L229*SIN(X$45)</f>
        <v>0.5073074370398758</v>
      </c>
      <c r="AB229">
        <f aca="true" t="shared" si="391" ref="AB229:AB235">-K229*SIN(X$45)+L229*COS(X$45)</f>
        <v>6.413496477687497</v>
      </c>
      <c r="AC229">
        <f aca="true" t="shared" si="392" ref="AC229:AC235">(Z229^2+AA229^2+AB229^2)^0.5</f>
        <v>6.970000000000001</v>
      </c>
      <c r="AD229" s="4">
        <f aca="true" t="shared" si="393" ref="AD229:AD234">((Z229-Z$235)^2+(AA229-AA$235)^2+(AB229-AB$235)^2)^0.5</f>
        <v>0.3938572385568393</v>
      </c>
      <c r="AF229">
        <f>ASIN(Z229/AH229)</f>
        <v>0.3960180279458838</v>
      </c>
      <c r="AG229">
        <f>AF229*180/PI()</f>
        <v>22.69016161239303</v>
      </c>
      <c r="AH229">
        <f>G$2*COS(AI229)</f>
        <v>6.951513444159051</v>
      </c>
      <c r="AI229">
        <f>ASIN(AA229/AC229)</f>
        <v>0.07284884139515141</v>
      </c>
      <c r="AJ229">
        <f>AI229*180/PI()</f>
        <v>4.173931154360099</v>
      </c>
      <c r="AS229" s="4" t="s">
        <v>282</v>
      </c>
      <c r="AT229">
        <f aca="true" t="shared" si="394" ref="AT229:AT235">Z229</f>
        <v>2.681529804983362</v>
      </c>
      <c r="AU229">
        <f aca="true" t="shared" si="395" ref="AU229:AU235">AA229*COS(AQ$13)+(AB229-AQ$18)*SIN(AQ$13)</f>
        <v>0.6337301194559359</v>
      </c>
      <c r="AV229">
        <f aca="true" t="shared" si="396" ref="AV229:AV235">-AA229*SIN(AQ$13)+(AB229-AQ$18)*COS(AQ$13)+AQ$22</f>
        <v>6.3271959043549035</v>
      </c>
      <c r="AW229">
        <f aca="true" t="shared" si="397" ref="AW229:AW234">(AT229^2+AU229^2+AV229^2)^0.5</f>
        <v>6.901132078971189</v>
      </c>
      <c r="AX229" s="4">
        <f aca="true" t="shared" si="398" ref="AX229:AX234">((AT229-AT$235)^2+(AU229-AU$235)^2+(AV229-AV$235)^2)^0.5</f>
        <v>0.3938572385568393</v>
      </c>
      <c r="AZ229">
        <f>ASIN(AT229/AW229)</f>
        <v>0.39907235422584847</v>
      </c>
      <c r="BA229">
        <f aca="true" t="shared" si="399" ref="BA229:BA235">AZ229*180/PI()</f>
        <v>22.865161617490898</v>
      </c>
      <c r="BB229">
        <f>ASIN(AU229/AW229)</f>
        <v>0.09195943331352119</v>
      </c>
      <c r="BC229">
        <f aca="true" t="shared" si="400" ref="BC229:BC235">BB229*180/PI()</f>
        <v>5.268887415279507</v>
      </c>
    </row>
    <row r="230" spans="6:55" ht="12.75">
      <c r="F230" s="4" t="s">
        <v>283</v>
      </c>
      <c r="G230">
        <f aca="true" t="shared" si="401" ref="G230:G235">ASIN(J230/G$2/COS(H230))</f>
        <v>0.39607175186214727</v>
      </c>
      <c r="H230" s="4">
        <f t="shared" si="386"/>
        <v>-0.03660235639745741</v>
      </c>
      <c r="I230" s="4"/>
      <c r="J230" s="4">
        <f aca="true" t="shared" si="402" ref="J230:J235">J178*COS(G$236)-L178*SIN(G$236)</f>
        <v>2.6872053470282786</v>
      </c>
      <c r="K230" s="4">
        <f aca="true" t="shared" si="403" ref="K230:K235">K178</f>
        <v>-0.09840199586758161</v>
      </c>
      <c r="L230" s="4">
        <f aca="true" t="shared" si="404" ref="L230:L235">J178*SIN(G$236)+L178*COS(G$236)</f>
        <v>6.430407799674287</v>
      </c>
      <c r="M230" s="4">
        <f t="shared" si="387"/>
        <v>6.970000000000001</v>
      </c>
      <c r="N230" s="4">
        <f t="shared" si="388"/>
        <v>0.3938572285608316</v>
      </c>
      <c r="O230" s="4"/>
      <c r="P230">
        <f aca="true" t="shared" si="405" ref="P230:P235">ASIN(J230/R230)</f>
        <v>0.39583332911037755</v>
      </c>
      <c r="Q230">
        <f aca="true" t="shared" si="406" ref="Q230:Q235">P230*180/PI()</f>
        <v>22.679579148637544</v>
      </c>
      <c r="R230">
        <f aca="true" t="shared" si="407" ref="R230:R235">G$2*COS(S230)</f>
        <v>6.969305348971967</v>
      </c>
      <c r="S230">
        <f aca="true" t="shared" si="408" ref="S230:S235">ASIN(K230/M230)</f>
        <v>-0.014118402440491529</v>
      </c>
      <c r="T230">
        <f aca="true" t="shared" si="409" ref="T230:T235">S230*180/PI()</f>
        <v>-0.8089248733073661</v>
      </c>
      <c r="Y230" s="4" t="s">
        <v>283</v>
      </c>
      <c r="Z230">
        <f t="shared" si="389"/>
        <v>2.6872053470282786</v>
      </c>
      <c r="AA230">
        <f t="shared" si="390"/>
        <v>0.8983412490960917</v>
      </c>
      <c r="AB230">
        <f t="shared" si="391"/>
        <v>6.3681088576652884</v>
      </c>
      <c r="AC230">
        <f t="shared" si="392"/>
        <v>6.970000000000001</v>
      </c>
      <c r="AD230" s="4">
        <f t="shared" si="393"/>
        <v>0.39385722856083155</v>
      </c>
      <c r="AF230">
        <f aca="true" t="shared" si="410" ref="AF230:AF235">ASIN(Z230/AH230)</f>
        <v>0.39930867181451174</v>
      </c>
      <c r="AG230">
        <f aca="true" t="shared" si="411" ref="AG230:AG235">AF230*180/PI()</f>
        <v>22.878701617946014</v>
      </c>
      <c r="AH230">
        <f aca="true" t="shared" si="412" ref="AH230:AH235">G$2*COS(AI230)</f>
        <v>6.91186537775241</v>
      </c>
      <c r="AI230">
        <f aca="true" t="shared" si="413" ref="AI230:AI235">ASIN(AA230/AC230)</f>
        <v>0.12924637123542548</v>
      </c>
      <c r="AJ230">
        <f aca="true" t="shared" si="414" ref="AJ230:AJ235">AI230*180/PI()</f>
        <v>7.405271589170924</v>
      </c>
      <c r="AS230" s="4" t="s">
        <v>283</v>
      </c>
      <c r="AT230">
        <f t="shared" si="394"/>
        <v>2.6872053470282786</v>
      </c>
      <c r="AU230">
        <f t="shared" si="395"/>
        <v>1.0232326911258323</v>
      </c>
      <c r="AV230">
        <f t="shared" si="396"/>
        <v>6.384250482480008</v>
      </c>
      <c r="AW230">
        <f t="shared" si="397"/>
        <v>7.001909163958941</v>
      </c>
      <c r="AX230" s="4">
        <f t="shared" si="398"/>
        <v>0.3938572285608318</v>
      </c>
      <c r="AZ230">
        <f aca="true" t="shared" si="415" ref="AZ230:AZ235">ASIN(AT230/AW230)</f>
        <v>0.393888246314189</v>
      </c>
      <c r="BA230">
        <f t="shared" si="399"/>
        <v>22.568134113612434</v>
      </c>
      <c r="BB230">
        <f aca="true" t="shared" si="416" ref="BB230:BB235">ASIN(AU230/AW230)</f>
        <v>0.1466614477322837</v>
      </c>
      <c r="BC230">
        <f t="shared" si="400"/>
        <v>8.403081972338375</v>
      </c>
    </row>
    <row r="231" spans="6:55" ht="12.75">
      <c r="F231" s="4" t="s">
        <v>284</v>
      </c>
      <c r="G231">
        <f t="shared" si="401"/>
        <v>0.3471663754744549</v>
      </c>
      <c r="H231" s="4">
        <f t="shared" si="386"/>
        <v>0.04145131395782373</v>
      </c>
      <c r="I231" s="4"/>
      <c r="J231" s="4">
        <f t="shared" si="402"/>
        <v>2.3693981737910477</v>
      </c>
      <c r="K231" s="4">
        <f t="shared" si="403"/>
        <v>0.09827095746849879</v>
      </c>
      <c r="L231" s="4">
        <f t="shared" si="404"/>
        <v>6.55417386960049</v>
      </c>
      <c r="M231" s="4">
        <f t="shared" si="387"/>
        <v>6.969999999999999</v>
      </c>
      <c r="N231" s="4">
        <f t="shared" si="388"/>
        <v>0.3938572244285077</v>
      </c>
      <c r="O231" s="4"/>
      <c r="P231">
        <f t="shared" si="405"/>
        <v>0.34689152830961395</v>
      </c>
      <c r="Q231">
        <f t="shared" si="406"/>
        <v>19.875420520983795</v>
      </c>
      <c r="R231">
        <f t="shared" si="407"/>
        <v>6.969307197915602</v>
      </c>
      <c r="S231">
        <f t="shared" si="408"/>
        <v>0.014099600224899677</v>
      </c>
      <c r="T231">
        <f t="shared" si="409"/>
        <v>0.8078475857084578</v>
      </c>
      <c r="Y231" s="4" t="s">
        <v>284</v>
      </c>
      <c r="Z231">
        <f t="shared" si="389"/>
        <v>2.3693981737910477</v>
      </c>
      <c r="AA231">
        <f t="shared" si="390"/>
        <v>1.1118043345844693</v>
      </c>
      <c r="AB231">
        <f t="shared" si="391"/>
        <v>6.45993370056031</v>
      </c>
      <c r="AC231">
        <f t="shared" si="392"/>
        <v>6.969999999999999</v>
      </c>
      <c r="AD231" s="4">
        <f t="shared" si="393"/>
        <v>0.3938572244285077</v>
      </c>
      <c r="AF231">
        <f t="shared" si="410"/>
        <v>0.35154792492340925</v>
      </c>
      <c r="AG231">
        <f t="shared" si="411"/>
        <v>20.142212394693274</v>
      </c>
      <c r="AH231">
        <f t="shared" si="412"/>
        <v>6.880755127280667</v>
      </c>
      <c r="AI231">
        <f t="shared" si="413"/>
        <v>0.16019713139968983</v>
      </c>
      <c r="AJ231">
        <f t="shared" si="414"/>
        <v>9.178619519304906</v>
      </c>
      <c r="AS231" s="4" t="s">
        <v>284</v>
      </c>
      <c r="AT231">
        <f t="shared" si="394"/>
        <v>2.3693981737910477</v>
      </c>
      <c r="AU231">
        <f t="shared" si="395"/>
        <v>1.205771189221706</v>
      </c>
      <c r="AV231">
        <f t="shared" si="396"/>
        <v>6.5280489085903675</v>
      </c>
      <c r="AW231">
        <f t="shared" si="397"/>
        <v>7.048642026636718</v>
      </c>
      <c r="AX231" s="4">
        <f t="shared" si="398"/>
        <v>0.3938572244285076</v>
      </c>
      <c r="AZ231">
        <f t="shared" si="415"/>
        <v>0.34282559118434636</v>
      </c>
      <c r="BA231">
        <f t="shared" si="399"/>
        <v>19.642459483940407</v>
      </c>
      <c r="BB231">
        <f t="shared" si="416"/>
        <v>0.17190981588108714</v>
      </c>
      <c r="BC231">
        <f t="shared" si="400"/>
        <v>9.849706906857348</v>
      </c>
    </row>
    <row r="232" spans="6:55" ht="12.75">
      <c r="F232" s="4" t="s">
        <v>285</v>
      </c>
      <c r="G232">
        <f t="shared" si="401"/>
        <v>0.29827409492737367</v>
      </c>
      <c r="H232" s="4">
        <f t="shared" si="386"/>
        <v>-0.048059768421792194</v>
      </c>
      <c r="I232" s="4"/>
      <c r="J232" s="4">
        <f t="shared" si="402"/>
        <v>2.0459154585087718</v>
      </c>
      <c r="K232" s="4">
        <f t="shared" si="403"/>
        <v>-0.09840199586758161</v>
      </c>
      <c r="L232" s="4">
        <f t="shared" si="404"/>
        <v>6.662240387725749</v>
      </c>
      <c r="M232" s="4">
        <f t="shared" si="387"/>
        <v>6.9700000000000015</v>
      </c>
      <c r="N232" s="4">
        <f t="shared" si="388"/>
        <v>0.393857230292192</v>
      </c>
      <c r="O232" s="4"/>
      <c r="P232">
        <f t="shared" si="405"/>
        <v>0.29794972750883064</v>
      </c>
      <c r="Q232">
        <f t="shared" si="406"/>
        <v>17.07126189332892</v>
      </c>
      <c r="R232">
        <f t="shared" si="407"/>
        <v>6.969305348971967</v>
      </c>
      <c r="S232">
        <f t="shared" si="408"/>
        <v>-0.014118402440491527</v>
      </c>
      <c r="T232">
        <f t="shared" si="409"/>
        <v>-0.808924873307366</v>
      </c>
      <c r="Y232" s="4" t="s">
        <v>285</v>
      </c>
      <c r="Z232">
        <f t="shared" si="389"/>
        <v>2.0459154585087718</v>
      </c>
      <c r="AA232">
        <f t="shared" si="390"/>
        <v>0.9342336080166386</v>
      </c>
      <c r="AB232">
        <f t="shared" si="391"/>
        <v>6.597146163477589</v>
      </c>
      <c r="AC232">
        <f t="shared" si="392"/>
        <v>6.970000000000001</v>
      </c>
      <c r="AD232" s="4">
        <f t="shared" si="393"/>
        <v>0.393857230292192</v>
      </c>
      <c r="AF232">
        <f t="shared" si="410"/>
        <v>0.3007163194388267</v>
      </c>
      <c r="AG232">
        <f t="shared" si="411"/>
        <v>17.229775934552645</v>
      </c>
      <c r="AH232">
        <f t="shared" si="412"/>
        <v>6.907105585239899</v>
      </c>
      <c r="AI232">
        <f t="shared" si="413"/>
        <v>0.134441009578017</v>
      </c>
      <c r="AJ232">
        <f t="shared" si="414"/>
        <v>7.702902442298251</v>
      </c>
      <c r="AS232" s="4" t="s">
        <v>285</v>
      </c>
      <c r="AT232">
        <f t="shared" si="394"/>
        <v>2.0459154585087718</v>
      </c>
      <c r="AU232">
        <f t="shared" si="395"/>
        <v>0.9988071156476783</v>
      </c>
      <c r="AV232">
        <f t="shared" si="396"/>
        <v>6.614792756575671</v>
      </c>
      <c r="AW232">
        <f t="shared" si="397"/>
        <v>6.9956321322722195</v>
      </c>
      <c r="AX232" s="4">
        <f t="shared" si="398"/>
        <v>0.39385723029219183</v>
      </c>
      <c r="AZ232">
        <f t="shared" si="415"/>
        <v>0.2967942505988437</v>
      </c>
      <c r="BA232">
        <f t="shared" si="399"/>
        <v>17.00505794306185</v>
      </c>
      <c r="BB232">
        <f t="shared" si="416"/>
        <v>0.14326540401194965</v>
      </c>
      <c r="BC232">
        <f t="shared" si="400"/>
        <v>8.208503000121327</v>
      </c>
    </row>
    <row r="233" spans="6:55" ht="12.75">
      <c r="F233" s="4" t="s">
        <v>286</v>
      </c>
      <c r="G233">
        <f t="shared" si="401"/>
        <v>0.3058456806489495</v>
      </c>
      <c r="H233" s="4">
        <f t="shared" si="386"/>
        <v>-0.23651350281888206</v>
      </c>
      <c r="I233" s="4"/>
      <c r="J233" s="4">
        <f t="shared" si="402"/>
        <v>2.0402399164638556</v>
      </c>
      <c r="K233" s="4">
        <f t="shared" si="403"/>
        <v>-0.4917479025397425</v>
      </c>
      <c r="L233" s="4">
        <f t="shared" si="404"/>
        <v>6.646540835924755</v>
      </c>
      <c r="M233" s="4">
        <f t="shared" si="387"/>
        <v>6.970000000000001</v>
      </c>
      <c r="N233" s="4">
        <f t="shared" si="388"/>
        <v>0.39385724028819924</v>
      </c>
      <c r="O233" s="4"/>
      <c r="P233">
        <f t="shared" si="405"/>
        <v>0.2978322604079513</v>
      </c>
      <c r="Q233">
        <f t="shared" si="406"/>
        <v>17.064531524216896</v>
      </c>
      <c r="R233">
        <f t="shared" si="407"/>
        <v>6.9526314443056565</v>
      </c>
      <c r="S233">
        <f t="shared" si="408"/>
        <v>-0.0706107277779617</v>
      </c>
      <c r="T233">
        <f t="shared" si="409"/>
        <v>-4.0456966900243705</v>
      </c>
      <c r="Y233" s="4" t="s">
        <v>286</v>
      </c>
      <c r="Z233">
        <f t="shared" si="389"/>
        <v>2.0402399164638556</v>
      </c>
      <c r="AA233">
        <f t="shared" si="390"/>
        <v>0.5431997959604227</v>
      </c>
      <c r="AB233">
        <f t="shared" si="391"/>
        <v>6.642533783499798</v>
      </c>
      <c r="AC233">
        <f t="shared" si="392"/>
        <v>6.9700000000000015</v>
      </c>
      <c r="AD233" s="4">
        <f t="shared" si="393"/>
        <v>0.3938572402881994</v>
      </c>
      <c r="AF233">
        <f t="shared" si="410"/>
        <v>0.29800147865425863</v>
      </c>
      <c r="AG233">
        <f t="shared" si="411"/>
        <v>17.07422701554691</v>
      </c>
      <c r="AH233">
        <f t="shared" si="412"/>
        <v>6.94880090243407</v>
      </c>
      <c r="AI233">
        <f t="shared" si="413"/>
        <v>0.07801308131903674</v>
      </c>
      <c r="AJ233">
        <f t="shared" si="414"/>
        <v>4.46982030639169</v>
      </c>
      <c r="AS233" s="4" t="s">
        <v>286</v>
      </c>
      <c r="AT233">
        <f t="shared" si="394"/>
        <v>2.0402399164638556</v>
      </c>
      <c r="AU233">
        <f t="shared" si="395"/>
        <v>0.609304543977782</v>
      </c>
      <c r="AV233">
        <f t="shared" si="396"/>
        <v>6.557738178450566</v>
      </c>
      <c r="AW233">
        <f t="shared" si="397"/>
        <v>6.894763299864076</v>
      </c>
      <c r="AX233" s="4">
        <f t="shared" si="398"/>
        <v>0.3938572402881994</v>
      </c>
      <c r="AZ233">
        <f t="shared" si="415"/>
        <v>0.30040963813493876</v>
      </c>
      <c r="BA233">
        <f t="shared" si="399"/>
        <v>17.2122043901843</v>
      </c>
      <c r="BB233">
        <f t="shared" si="416"/>
        <v>0.08848750722793325</v>
      </c>
      <c r="BC233">
        <f t="shared" si="400"/>
        <v>5.069960703793942</v>
      </c>
    </row>
    <row r="234" spans="6:55" ht="12.75">
      <c r="F234" s="4" t="s">
        <v>287</v>
      </c>
      <c r="G234">
        <f t="shared" si="401"/>
        <v>0.3601734973085005</v>
      </c>
      <c r="H234" s="4">
        <f t="shared" si="386"/>
        <v>-0.28405091395676263</v>
      </c>
      <c r="I234" s="4"/>
      <c r="J234" s="4">
        <f t="shared" si="402"/>
        <v>2.3580470897011505</v>
      </c>
      <c r="K234" s="4">
        <f t="shared" si="403"/>
        <v>-0.688420855875823</v>
      </c>
      <c r="L234" s="4">
        <f t="shared" si="404"/>
        <v>6.522774765998527</v>
      </c>
      <c r="M234" s="4">
        <f t="shared" si="387"/>
        <v>6.97</v>
      </c>
      <c r="N234" s="4">
        <f t="shared" si="388"/>
        <v>0.39385724442052333</v>
      </c>
      <c r="O234" s="4"/>
      <c r="P234">
        <f t="shared" si="405"/>
        <v>0.34689152830960424</v>
      </c>
      <c r="Q234">
        <f t="shared" si="406"/>
        <v>19.87542052098324</v>
      </c>
      <c r="R234">
        <f t="shared" si="407"/>
        <v>6.935919313630688</v>
      </c>
      <c r="S234">
        <f t="shared" si="408"/>
        <v>-0.09893042969481418</v>
      </c>
      <c r="T234">
        <f t="shared" si="409"/>
        <v>-5.6682960869285655</v>
      </c>
      <c r="Y234" s="4" t="s">
        <v>287</v>
      </c>
      <c r="Z234">
        <f t="shared" si="389"/>
        <v>2.3580470897011505</v>
      </c>
      <c r="AA234">
        <f t="shared" si="390"/>
        <v>0.329736710472041</v>
      </c>
      <c r="AB234">
        <f t="shared" si="391"/>
        <v>6.550708940604751</v>
      </c>
      <c r="AC234">
        <f t="shared" si="392"/>
        <v>6.97</v>
      </c>
      <c r="AD234" s="4">
        <f t="shared" si="393"/>
        <v>0.39385724442052344</v>
      </c>
      <c r="AF234">
        <f t="shared" si="410"/>
        <v>0.3455274535544735</v>
      </c>
      <c r="AG234">
        <f t="shared" si="411"/>
        <v>19.797264794573906</v>
      </c>
      <c r="AH234">
        <f t="shared" si="412"/>
        <v>6.962196040170592</v>
      </c>
      <c r="AI234">
        <f t="shared" si="413"/>
        <v>0.04732565693529093</v>
      </c>
      <c r="AJ234">
        <f t="shared" si="414"/>
        <v>2.7115604050762045</v>
      </c>
      <c r="AS234" s="4" t="s">
        <v>287</v>
      </c>
      <c r="AT234">
        <f t="shared" si="394"/>
        <v>2.3580470897011505</v>
      </c>
      <c r="AU234">
        <f t="shared" si="395"/>
        <v>0.42676604588191086</v>
      </c>
      <c r="AV234">
        <f t="shared" si="396"/>
        <v>6.413939752340181</v>
      </c>
      <c r="AW234">
        <f t="shared" si="397"/>
        <v>6.846980245467003</v>
      </c>
      <c r="AX234" s="4">
        <f t="shared" si="398"/>
        <v>0.3938572444205235</v>
      </c>
      <c r="AZ234">
        <f t="shared" si="415"/>
        <v>0.3515913814784604</v>
      </c>
      <c r="BA234">
        <f t="shared" si="399"/>
        <v>20.144702271889884</v>
      </c>
      <c r="BB234">
        <f t="shared" si="416"/>
        <v>0.06236951762176584</v>
      </c>
      <c r="BC234">
        <f t="shared" si="400"/>
        <v>3.573510129993998</v>
      </c>
    </row>
    <row r="235" spans="6:55" ht="12.75">
      <c r="F235" s="4" t="s">
        <v>295</v>
      </c>
      <c r="G235">
        <f t="shared" si="401"/>
        <v>0.34937092451411383</v>
      </c>
      <c r="H235" s="4">
        <f t="shared" si="386"/>
        <v>-0.12419237322993214</v>
      </c>
      <c r="I235" s="4"/>
      <c r="J235" s="4">
        <f t="shared" si="402"/>
        <v>2.3675024652181778</v>
      </c>
      <c r="K235" s="4">
        <f t="shared" si="403"/>
        <v>-0.2955467940042317</v>
      </c>
      <c r="L235" s="4">
        <f t="shared" si="404"/>
        <v>6.548930001896467</v>
      </c>
      <c r="M235" s="4">
        <f>(J235^2+K235^2+L235^2)^0.5</f>
        <v>6.97</v>
      </c>
      <c r="N235" s="4"/>
      <c r="O235" s="4"/>
      <c r="P235">
        <f t="shared" si="405"/>
        <v>0.3468915284532053</v>
      </c>
      <c r="Q235">
        <f t="shared" si="406"/>
        <v>19.875420529210977</v>
      </c>
      <c r="R235">
        <f t="shared" si="407"/>
        <v>6.963731190429009</v>
      </c>
      <c r="S235">
        <f t="shared" si="408"/>
        <v>-0.04241541330023702</v>
      </c>
      <c r="T235">
        <f t="shared" si="409"/>
        <v>-2.4302241684066397</v>
      </c>
      <c r="Y235" s="4" t="s">
        <v>295</v>
      </c>
      <c r="Z235">
        <f t="shared" si="389"/>
        <v>2.3675024652181778</v>
      </c>
      <c r="AA235">
        <f t="shared" si="390"/>
        <v>0.7219231176259926</v>
      </c>
      <c r="AB235">
        <f t="shared" si="391"/>
        <v>6.515723988124651</v>
      </c>
      <c r="AC235">
        <f t="shared" si="392"/>
        <v>6.969999999999999</v>
      </c>
      <c r="AF235">
        <f t="shared" si="410"/>
        <v>0.34851997957363917</v>
      </c>
      <c r="AG235">
        <f t="shared" si="411"/>
        <v>19.968723905555184</v>
      </c>
      <c r="AH235">
        <f t="shared" si="412"/>
        <v>6.932512316053767</v>
      </c>
      <c r="AI235">
        <f t="shared" si="413"/>
        <v>0.10376186232903975</v>
      </c>
      <c r="AJ235">
        <f t="shared" si="414"/>
        <v>5.9451167858714635</v>
      </c>
      <c r="AS235" s="4" t="s">
        <v>295</v>
      </c>
      <c r="AT235">
        <f t="shared" si="394"/>
        <v>2.3675024652181778</v>
      </c>
      <c r="AU235">
        <f t="shared" si="395"/>
        <v>0.814697801828746</v>
      </c>
      <c r="AV235">
        <f t="shared" si="396"/>
        <v>6.481342108266107</v>
      </c>
      <c r="AW235">
        <f>(AT235^2+AU235^2+AV235^2)^0.5</f>
        <v>6.9481361497528304</v>
      </c>
      <c r="AZ235">
        <f t="shared" si="415"/>
        <v>0.3477030537106349</v>
      </c>
      <c r="BA235">
        <f t="shared" si="399"/>
        <v>19.92191750142996</v>
      </c>
      <c r="BB235">
        <f t="shared" si="416"/>
        <v>0.11752450532419226</v>
      </c>
      <c r="BC235">
        <f t="shared" si="400"/>
        <v>6.733658144438989</v>
      </c>
    </row>
    <row r="236" spans="6:27" ht="12.75">
      <c r="F236" s="4" t="s">
        <v>245</v>
      </c>
      <c r="G236">
        <f>D$33</f>
        <v>-0.09911186523131546</v>
      </c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Z236">
        <f>ACOS(AB235/(Z235^2+AA235^2+AB235^2)^0.5)</f>
        <v>0.36303291910890545</v>
      </c>
      <c r="AA236">
        <f>ATAN(Z235/AA235)</f>
        <v>1.2748225276642255</v>
      </c>
    </row>
    <row r="237" spans="6:20" ht="12.75"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6:20" ht="12.75"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6:20" ht="12.75"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6:55" ht="12.75">
      <c r="F240" s="4"/>
      <c r="G240" s="4" t="s">
        <v>83</v>
      </c>
      <c r="H240" s="4" t="s">
        <v>83</v>
      </c>
      <c r="I240" s="4"/>
      <c r="J240" s="4"/>
      <c r="K240" s="4"/>
      <c r="L240" s="4"/>
      <c r="M240" s="4"/>
      <c r="N240" s="4"/>
      <c r="O240" s="4"/>
      <c r="Q240" t="s">
        <v>248</v>
      </c>
      <c r="T240" t="s">
        <v>55</v>
      </c>
      <c r="AG240" t="s">
        <v>248</v>
      </c>
      <c r="AJ240" t="s">
        <v>55</v>
      </c>
      <c r="BA240" t="s">
        <v>248</v>
      </c>
      <c r="BC240" t="s">
        <v>55</v>
      </c>
    </row>
    <row r="241" spans="6:53" ht="12.75">
      <c r="F241" s="4"/>
      <c r="G241" s="4" t="s">
        <v>33</v>
      </c>
      <c r="H241" s="4" t="s">
        <v>84</v>
      </c>
      <c r="I241" s="4"/>
      <c r="J241" s="4" t="s">
        <v>36</v>
      </c>
      <c r="K241" s="4" t="s">
        <v>38</v>
      </c>
      <c r="L241" s="4" t="s">
        <v>78</v>
      </c>
      <c r="M241" s="4" t="s">
        <v>79</v>
      </c>
      <c r="N241" s="4" t="s">
        <v>81</v>
      </c>
      <c r="O241" s="4"/>
      <c r="Q241" t="s">
        <v>247</v>
      </c>
      <c r="R241" t="s">
        <v>266</v>
      </c>
      <c r="S241" t="s">
        <v>46</v>
      </c>
      <c r="T241" t="s">
        <v>267</v>
      </c>
      <c r="Z241" t="s">
        <v>36</v>
      </c>
      <c r="AA241" t="s">
        <v>38</v>
      </c>
      <c r="AB241" t="s">
        <v>78</v>
      </c>
      <c r="AC241" t="s">
        <v>79</v>
      </c>
      <c r="AD241" t="s">
        <v>81</v>
      </c>
      <c r="AG241" t="s">
        <v>247</v>
      </c>
      <c r="AH241" t="s">
        <v>266</v>
      </c>
      <c r="AI241" t="s">
        <v>46</v>
      </c>
      <c r="AJ241" t="s">
        <v>267</v>
      </c>
      <c r="AT241" t="s">
        <v>36</v>
      </c>
      <c r="AU241" t="s">
        <v>38</v>
      </c>
      <c r="AV241" t="s">
        <v>78</v>
      </c>
      <c r="AW241" t="s">
        <v>79</v>
      </c>
      <c r="AX241" t="s">
        <v>81</v>
      </c>
      <c r="BA241" t="s">
        <v>247</v>
      </c>
    </row>
    <row r="242" spans="4:55" ht="12.75">
      <c r="D242" t="s">
        <v>251</v>
      </c>
      <c r="F242" s="4" t="s">
        <v>288</v>
      </c>
      <c r="G242">
        <f>ASIN(J242/G$2/COS(H242))</f>
        <v>0.4075643809369458</v>
      </c>
      <c r="H242" s="4">
        <f aca="true" t="shared" si="417" ref="H242:H248">ATAN(K242/J242)</f>
        <v>0.2514048509968324</v>
      </c>
      <c r="I242" s="4"/>
      <c r="J242" s="4">
        <f>J190*COS(G$249)-L190*SIN(G$249)</f>
        <v>2.675880063671423</v>
      </c>
      <c r="K242" s="4">
        <f>K190</f>
        <v>0.6872701075385119</v>
      </c>
      <c r="L242" s="4">
        <f>J190*SIN(G$249)+L190*COS(G$249)</f>
        <v>6.399080065457052</v>
      </c>
      <c r="M242" s="4">
        <f aca="true" t="shared" si="418" ref="M242:M247">(J242^2+K242^2+L242^2)^0.5</f>
        <v>6.970000000000001</v>
      </c>
      <c r="N242" s="4">
        <f aca="true" t="shared" si="419" ref="N242:N247">((J242-J$248)^2+(K242-K$248)^2+(L242-L$248)^2)^0.5</f>
        <v>0.39385723855683974</v>
      </c>
      <c r="O242" s="4"/>
      <c r="P242">
        <f>ASIN(J242/R242)</f>
        <v>0.39606829023659745</v>
      </c>
      <c r="Q242">
        <f>P242*180/PI()</f>
        <v>22.69304142951958</v>
      </c>
      <c r="R242">
        <f>G$2*COS(S242)</f>
        <v>6.936033434123858</v>
      </c>
      <c r="S242">
        <f>ASIN(K242/M242)</f>
        <v>0.09876451962352188</v>
      </c>
      <c r="T242">
        <f>S242*180/PI()</f>
        <v>5.658790140064802</v>
      </c>
      <c r="Y242" s="4" t="s">
        <v>288</v>
      </c>
      <c r="Z242">
        <f aca="true" t="shared" si="420" ref="Z242:Z248">J242</f>
        <v>2.675880063671423</v>
      </c>
      <c r="AA242">
        <f aca="true" t="shared" si="421" ref="AA242:AA248">K242*COS(X$45)+L242*SIN(X$45)</f>
        <v>1.6696900790355116</v>
      </c>
      <c r="AB242">
        <f aca="true" t="shared" si="422" ref="AB242:AB248">-K242*SIN(X$45)+L242*COS(X$45)</f>
        <v>6.215520969702879</v>
      </c>
      <c r="AC242">
        <f aca="true" t="shared" si="423" ref="AC242:AC248">(Z242^2+AA242^2+AB242^2)^0.5</f>
        <v>6.970000000000001</v>
      </c>
      <c r="AD242" s="4">
        <f aca="true" t="shared" si="424" ref="AD242:AD247">((Z242-Z$248)^2+(AA242-AA$248)^2+(AB242-AB$248)^2)^0.5</f>
        <v>0.3938572385568397</v>
      </c>
      <c r="AF242">
        <f>ASIN(Z242/AH242)</f>
        <v>0.4065332988108387</v>
      </c>
      <c r="AG242">
        <f>AF242*180/PI()</f>
        <v>23.292642253391826</v>
      </c>
      <c r="AH242">
        <f>G$2*COS(AI242)</f>
        <v>6.767055123166235</v>
      </c>
      <c r="AI242">
        <f>ASIN(AA242/AC242)</f>
        <v>0.2419062571153397</v>
      </c>
      <c r="AJ242">
        <f>AI242*180/PI()</f>
        <v>13.860207570515504</v>
      </c>
      <c r="AS242" s="4" t="s">
        <v>288</v>
      </c>
      <c r="AT242">
        <f aca="true" t="shared" si="425" ref="AT242:AT248">Z242</f>
        <v>2.675880063671423</v>
      </c>
      <c r="AU242">
        <f aca="true" t="shared" si="426" ref="AU242:AU248">AA242*COS(AQ$13)+(AB242-AQ$18)*SIN(AQ$13)</f>
        <v>1.8078326167802419</v>
      </c>
      <c r="AV242">
        <f aca="true" t="shared" si="427" ref="AV242:AV248">-AA242*SIN(AQ$13)+(AB242-AQ$18)*COS(AQ$13)+AQ$22</f>
        <v>6.4358744852775045</v>
      </c>
      <c r="AW242">
        <f aca="true" t="shared" si="428" ref="AW242:AW247">(AT242^2+AU242^2+AV242^2)^0.5</f>
        <v>7.200630061022068</v>
      </c>
      <c r="AX242" s="4">
        <f aca="true" t="shared" si="429" ref="AX242:AX247">((AT242-AT$248)^2+(AU242-AU$248)^2+(AV242-AV$248)^2)^0.5</f>
        <v>0.3938572385568397</v>
      </c>
      <c r="AZ242">
        <f>ASIN(AT242/AW242)</f>
        <v>0.3807506739226525</v>
      </c>
      <c r="BA242">
        <f aca="true" t="shared" si="430" ref="BA242:BA248">AZ242*180/PI()</f>
        <v>21.8154066625298</v>
      </c>
      <c r="BB242">
        <f>ASIN(AU242/AW242)</f>
        <v>0.2537812614673208</v>
      </c>
      <c r="BC242">
        <f aca="true" t="shared" si="431" ref="BC242:BC248">BB242*180/PI()</f>
        <v>14.540595201583505</v>
      </c>
    </row>
    <row r="243" spans="6:55" ht="12.75">
      <c r="F243" s="4" t="s">
        <v>289</v>
      </c>
      <c r="G243">
        <f aca="true" t="shared" si="432" ref="G243:G248">ASIN(J243/G$2/COS(H243))</f>
        <v>0.4242391375286284</v>
      </c>
      <c r="H243" s="4">
        <f t="shared" si="417"/>
        <v>0.38511120659080444</v>
      </c>
      <c r="I243" s="4"/>
      <c r="J243" s="4">
        <f aca="true" t="shared" si="433" ref="J243:J248">J191*COS(G$249)-L191*SIN(G$249)</f>
        <v>2.6589052580445234</v>
      </c>
      <c r="K243" s="4">
        <f aca="true" t="shared" si="434" ref="K243:K248">K191</f>
        <v>1.0777912270297079</v>
      </c>
      <c r="L243" s="4">
        <f aca="true" t="shared" si="435" ref="L243:L248">J191*SIN(G$249)+L191*COS(G$249)</f>
        <v>6.3521247547321495</v>
      </c>
      <c r="M243" s="4">
        <f t="shared" si="418"/>
        <v>6.969999999999999</v>
      </c>
      <c r="N243" s="4">
        <f t="shared" si="419"/>
        <v>0.3938572285608318</v>
      </c>
      <c r="O243" s="4"/>
      <c r="P243">
        <f aca="true" t="shared" si="436" ref="P243:P248">ASIN(J243/R243)</f>
        <v>0.3964247116864478</v>
      </c>
      <c r="Q243">
        <f aca="true" t="shared" si="437" ref="Q243:Q248">P243*180/PI()</f>
        <v>22.71346287432394</v>
      </c>
      <c r="R243">
        <f aca="true" t="shared" si="438" ref="R243:R248">G$2*COS(S243)</f>
        <v>6.886164830363691</v>
      </c>
      <c r="S243">
        <f aca="true" t="shared" si="439" ref="S243:S248">ASIN(K243/M243)</f>
        <v>0.15525586080995687</v>
      </c>
      <c r="T243">
        <f aca="true" t="shared" si="440" ref="T243:T248">S243*180/PI()</f>
        <v>8.895505569081088</v>
      </c>
      <c r="Y243" s="4" t="s">
        <v>289</v>
      </c>
      <c r="Z243">
        <f t="shared" si="420"/>
        <v>2.6589052580445234</v>
      </c>
      <c r="AA243">
        <f t="shared" si="421"/>
        <v>2.0482329273162834</v>
      </c>
      <c r="AB243">
        <f t="shared" si="422"/>
        <v>6.108671271577849</v>
      </c>
      <c r="AC243">
        <f t="shared" si="423"/>
        <v>6.969999999999999</v>
      </c>
      <c r="AD243" s="4">
        <f t="shared" si="424"/>
        <v>0.3938572285608318</v>
      </c>
      <c r="AF243">
        <f aca="true" t="shared" si="441" ref="AF243:AF248">ASIN(Z243/AH243)</f>
        <v>0.41053495817409286</v>
      </c>
      <c r="AG243">
        <f aca="true" t="shared" si="442" ref="AG243:AG248">AF243*180/PI()</f>
        <v>23.521920445955296</v>
      </c>
      <c r="AH243">
        <f aca="true" t="shared" si="443" ref="AH243:AH248">G$2*COS(AI243)</f>
        <v>6.662255014291885</v>
      </c>
      <c r="AI243">
        <f aca="true" t="shared" si="444" ref="AI243:AI248">ASIN(AA243/AC243)</f>
        <v>0.29826695394449204</v>
      </c>
      <c r="AJ243">
        <f aca="true" t="shared" si="445" ref="AJ243:AJ248">AI243*180/PI()</f>
        <v>17.089437629242294</v>
      </c>
      <c r="AS243" s="4" t="s">
        <v>289</v>
      </c>
      <c r="AT243">
        <f t="shared" si="425"/>
        <v>2.6589052580445234</v>
      </c>
      <c r="AU243">
        <f t="shared" si="426"/>
        <v>2.2011273568443785</v>
      </c>
      <c r="AV243">
        <f t="shared" si="427"/>
        <v>6.430325304093552</v>
      </c>
      <c r="AW243">
        <f t="shared" si="428"/>
        <v>7.2982067885728865</v>
      </c>
      <c r="AX243" s="4">
        <f t="shared" si="429"/>
        <v>0.3938572285608316</v>
      </c>
      <c r="AZ243">
        <f aca="true" t="shared" si="446" ref="AZ243:AZ248">ASIN(AT243/AW243)</f>
        <v>0.3729058354474375</v>
      </c>
      <c r="BA243">
        <f t="shared" si="430"/>
        <v>21.365930526938136</v>
      </c>
      <c r="BB243">
        <f aca="true" t="shared" si="447" ref="BB243:BB248">ASIN(AU243/AW243)</f>
        <v>0.30636865580552386</v>
      </c>
      <c r="BC243">
        <f t="shared" si="431"/>
        <v>17.5536309527527</v>
      </c>
    </row>
    <row r="244" spans="6:55" ht="12.75">
      <c r="F244" s="4" t="s">
        <v>290</v>
      </c>
      <c r="G244">
        <f t="shared" si="432"/>
        <v>0.3907739209576452</v>
      </c>
      <c r="H244" s="4">
        <f t="shared" si="417"/>
        <v>0.5000962053685513</v>
      </c>
      <c r="I244" s="4"/>
      <c r="J244" s="4">
        <f t="shared" si="433"/>
        <v>2.3297729109713847</v>
      </c>
      <c r="K244" s="4">
        <f t="shared" si="434"/>
        <v>1.2730517867753057</v>
      </c>
      <c r="L244" s="4">
        <f t="shared" si="435"/>
        <v>6.444563393395406</v>
      </c>
      <c r="M244" s="4">
        <f t="shared" si="418"/>
        <v>6.969999999999999</v>
      </c>
      <c r="N244" s="4">
        <f t="shared" si="419"/>
        <v>0.3938572244285078</v>
      </c>
      <c r="O244" s="4"/>
      <c r="P244">
        <f t="shared" si="436"/>
        <v>0.346891528309614</v>
      </c>
      <c r="Q244">
        <f t="shared" si="437"/>
        <v>19.8754205209838</v>
      </c>
      <c r="R244">
        <f t="shared" si="438"/>
        <v>6.8527541286834595</v>
      </c>
      <c r="S244">
        <f t="shared" si="439"/>
        <v>0.18367839029815766</v>
      </c>
      <c r="T244">
        <f t="shared" si="440"/>
        <v>10.52399655184112</v>
      </c>
      <c r="Y244" s="4" t="s">
        <v>290</v>
      </c>
      <c r="Z244">
        <f t="shared" si="420"/>
        <v>2.3297729109713847</v>
      </c>
      <c r="AA244">
        <f t="shared" si="421"/>
        <v>2.2554505309169386</v>
      </c>
      <c r="AB244">
        <f t="shared" si="422"/>
        <v>6.169765075421462</v>
      </c>
      <c r="AC244">
        <f t="shared" si="423"/>
        <v>6.969999999999999</v>
      </c>
      <c r="AD244" s="4">
        <f t="shared" si="424"/>
        <v>0.39385722442850757</v>
      </c>
      <c r="AF244">
        <f t="shared" si="441"/>
        <v>0.36105804727013024</v>
      </c>
      <c r="AG244">
        <f t="shared" si="442"/>
        <v>20.687102267813437</v>
      </c>
      <c r="AH244">
        <f t="shared" si="443"/>
        <v>6.594986194268074</v>
      </c>
      <c r="AI244">
        <f t="shared" si="444"/>
        <v>0.32952545297616775</v>
      </c>
      <c r="AJ244">
        <f t="shared" si="445"/>
        <v>18.880417697671085</v>
      </c>
      <c r="AS244" s="4" t="s">
        <v>290</v>
      </c>
      <c r="AT244">
        <f t="shared" si="425"/>
        <v>2.3297729109713847</v>
      </c>
      <c r="AU244">
        <f t="shared" si="426"/>
        <v>2.385561939137372</v>
      </c>
      <c r="AV244">
        <f t="shared" si="427"/>
        <v>6.542821850549384</v>
      </c>
      <c r="AW244">
        <f t="shared" si="428"/>
        <v>7.343518594664509</v>
      </c>
      <c r="AX244" s="4">
        <f t="shared" si="429"/>
        <v>0.3938572244285073</v>
      </c>
      <c r="AZ244">
        <f t="shared" si="446"/>
        <v>0.32283425614349853</v>
      </c>
      <c r="BA244">
        <f t="shared" si="430"/>
        <v>18.497040359267835</v>
      </c>
      <c r="BB244">
        <f t="shared" si="447"/>
        <v>0.33085599077101396</v>
      </c>
      <c r="BC244">
        <f t="shared" si="431"/>
        <v>18.956651897798416</v>
      </c>
    </row>
    <row r="245" spans="6:55" ht="12.75">
      <c r="F245" s="4" t="s">
        <v>291</v>
      </c>
      <c r="G245">
        <f t="shared" si="432"/>
        <v>0.334380871362483</v>
      </c>
      <c r="H245" s="4">
        <f t="shared" si="417"/>
        <v>0.49062453479971085</v>
      </c>
      <c r="I245" s="4"/>
      <c r="J245" s="4">
        <f t="shared" si="433"/>
        <v>2.017615369525016</v>
      </c>
      <c r="K245" s="4">
        <f t="shared" si="434"/>
        <v>1.0777912270297079</v>
      </c>
      <c r="L245" s="4">
        <f t="shared" si="435"/>
        <v>6.583957342783609</v>
      </c>
      <c r="M245" s="4">
        <f t="shared" si="418"/>
        <v>6.969999999999999</v>
      </c>
      <c r="N245" s="4">
        <f t="shared" si="419"/>
        <v>0.39385723029219183</v>
      </c>
      <c r="O245" s="4"/>
      <c r="P245">
        <f t="shared" si="436"/>
        <v>0.2973583449327603</v>
      </c>
      <c r="Q245">
        <f t="shared" si="437"/>
        <v>17.037378167642515</v>
      </c>
      <c r="R245">
        <f t="shared" si="438"/>
        <v>6.886164830363691</v>
      </c>
      <c r="S245">
        <f t="shared" si="439"/>
        <v>0.15525586080995687</v>
      </c>
      <c r="T245">
        <f t="shared" si="440"/>
        <v>8.895505569081088</v>
      </c>
      <c r="Y245" s="4" t="s">
        <v>291</v>
      </c>
      <c r="Z245">
        <f t="shared" si="420"/>
        <v>2.017615369525016</v>
      </c>
      <c r="AA245">
        <f t="shared" si="421"/>
        <v>2.08412528623683</v>
      </c>
      <c r="AB245">
        <f t="shared" si="422"/>
        <v>6.337708577390148</v>
      </c>
      <c r="AC245">
        <f t="shared" si="423"/>
        <v>6.969999999999998</v>
      </c>
      <c r="AD245" s="4">
        <f t="shared" si="424"/>
        <v>0.39385723029219194</v>
      </c>
      <c r="AF245">
        <f t="shared" si="441"/>
        <v>0.3082063312869351</v>
      </c>
      <c r="AG245">
        <f t="shared" si="442"/>
        <v>17.658922001952238</v>
      </c>
      <c r="AH245">
        <f t="shared" si="443"/>
        <v>6.651114327033347</v>
      </c>
      <c r="AI245">
        <f t="shared" si="444"/>
        <v>0.30365886804870995</v>
      </c>
      <c r="AJ245">
        <f t="shared" si="445"/>
        <v>17.398371550911044</v>
      </c>
      <c r="AS245" s="4" t="s">
        <v>291</v>
      </c>
      <c r="AT245">
        <f t="shared" si="425"/>
        <v>2.017615369525016</v>
      </c>
      <c r="AU245">
        <f t="shared" si="426"/>
        <v>2.176701781366225</v>
      </c>
      <c r="AV245">
        <f t="shared" si="427"/>
        <v>6.660867578189213</v>
      </c>
      <c r="AW245">
        <f t="shared" si="428"/>
        <v>7.292184811050711</v>
      </c>
      <c r="AX245" s="4">
        <f t="shared" si="429"/>
        <v>0.39385723029219183</v>
      </c>
      <c r="AZ245">
        <f t="shared" si="446"/>
        <v>0.2803394630372159</v>
      </c>
      <c r="BA245">
        <f t="shared" si="430"/>
        <v>16.062268062996214</v>
      </c>
      <c r="BB245">
        <f t="shared" si="447"/>
        <v>0.30311840417328434</v>
      </c>
      <c r="BC245">
        <f t="shared" si="431"/>
        <v>17.367405251869872</v>
      </c>
    </row>
    <row r="246" spans="6:55" ht="12.75">
      <c r="F246" s="4" t="s">
        <v>292</v>
      </c>
      <c r="G246">
        <f t="shared" si="432"/>
        <v>0.3132066714693906</v>
      </c>
      <c r="H246" s="4">
        <f t="shared" si="417"/>
        <v>0.3257587768713594</v>
      </c>
      <c r="I246" s="4"/>
      <c r="J246" s="4">
        <f t="shared" si="433"/>
        <v>2.0345901751519158</v>
      </c>
      <c r="K246" s="4">
        <f t="shared" si="434"/>
        <v>0.6872701075385119</v>
      </c>
      <c r="L246" s="4">
        <f t="shared" si="435"/>
        <v>6.630912653508512</v>
      </c>
      <c r="M246" s="4">
        <f t="shared" si="418"/>
        <v>6.97</v>
      </c>
      <c r="N246" s="4">
        <f t="shared" si="419"/>
        <v>0.3938572402881992</v>
      </c>
      <c r="O246" s="4"/>
      <c r="P246">
        <f t="shared" si="436"/>
        <v>0.2977147663826109</v>
      </c>
      <c r="Q246">
        <f t="shared" si="437"/>
        <v>17.05779961244689</v>
      </c>
      <c r="R246">
        <f t="shared" si="438"/>
        <v>6.936033434123858</v>
      </c>
      <c r="S246">
        <f t="shared" si="439"/>
        <v>0.0987645196235219</v>
      </c>
      <c r="T246">
        <f t="shared" si="440"/>
        <v>5.658790140064803</v>
      </c>
      <c r="Y246" s="4" t="s">
        <v>292</v>
      </c>
      <c r="Z246">
        <f t="shared" si="420"/>
        <v>2.0345901751519158</v>
      </c>
      <c r="AA246">
        <f t="shared" si="421"/>
        <v>1.7055824379560582</v>
      </c>
      <c r="AB246">
        <f t="shared" si="422"/>
        <v>6.444558275515178</v>
      </c>
      <c r="AC246">
        <f t="shared" si="423"/>
        <v>6.97</v>
      </c>
      <c r="AD246" s="4">
        <f t="shared" si="424"/>
        <v>0.3938572402881995</v>
      </c>
      <c r="AF246">
        <f t="shared" si="441"/>
        <v>0.3058035946657797</v>
      </c>
      <c r="AG246">
        <f t="shared" si="442"/>
        <v>17.52125533427851</v>
      </c>
      <c r="AH246">
        <f t="shared" si="443"/>
        <v>6.758097997760602</v>
      </c>
      <c r="AI246">
        <f t="shared" si="444"/>
        <v>0.24721374226454057</v>
      </c>
      <c r="AJ246">
        <f t="shared" si="445"/>
        <v>14.164304069393076</v>
      </c>
      <c r="AS246" s="4" t="s">
        <v>292</v>
      </c>
      <c r="AT246">
        <f t="shared" si="425"/>
        <v>2.0345901751519158</v>
      </c>
      <c r="AU246">
        <f t="shared" si="426"/>
        <v>1.7834070413020882</v>
      </c>
      <c r="AV246">
        <f t="shared" si="427"/>
        <v>6.666416759373165</v>
      </c>
      <c r="AW246">
        <f t="shared" si="428"/>
        <v>7.1945264100871835</v>
      </c>
      <c r="AX246" s="4">
        <f t="shared" si="429"/>
        <v>0.3938572402881994</v>
      </c>
      <c r="AZ246">
        <f t="shared" si="446"/>
        <v>0.2867088490690602</v>
      </c>
      <c r="BA246">
        <f t="shared" si="430"/>
        <v>16.42720700071047</v>
      </c>
      <c r="BB246">
        <f t="shared" si="447"/>
        <v>0.25049533888448444</v>
      </c>
      <c r="BC246">
        <f t="shared" si="431"/>
        <v>14.352325705780258</v>
      </c>
    </row>
    <row r="247" spans="6:55" ht="12.75">
      <c r="F247" s="4" t="s">
        <v>293</v>
      </c>
      <c r="G247">
        <f t="shared" si="432"/>
        <v>0.35372733932563877</v>
      </c>
      <c r="H247" s="4">
        <f t="shared" si="417"/>
        <v>0.20521996139278859</v>
      </c>
      <c r="I247" s="4"/>
      <c r="J247" s="4">
        <f t="shared" si="433"/>
        <v>2.363722522225119</v>
      </c>
      <c r="K247" s="4">
        <f t="shared" si="434"/>
        <v>0.49200954779291384</v>
      </c>
      <c r="L247" s="4">
        <f t="shared" si="435"/>
        <v>6.5384740148452325</v>
      </c>
      <c r="M247" s="4">
        <f t="shared" si="418"/>
        <v>6.97</v>
      </c>
      <c r="N247" s="4">
        <f t="shared" si="419"/>
        <v>0.3938572444205234</v>
      </c>
      <c r="O247" s="4"/>
      <c r="P247">
        <f t="shared" si="436"/>
        <v>0.3468915283096041</v>
      </c>
      <c r="Q247">
        <f t="shared" si="437"/>
        <v>19.875420520983234</v>
      </c>
      <c r="R247">
        <f t="shared" si="438"/>
        <v>6.952612933630105</v>
      </c>
      <c r="S247">
        <f t="shared" si="439"/>
        <v>0.0706483603784438</v>
      </c>
      <c r="T247">
        <f t="shared" si="440"/>
        <v>4.047852879204097</v>
      </c>
      <c r="Y247" s="4" t="s">
        <v>293</v>
      </c>
      <c r="Z247">
        <f t="shared" si="420"/>
        <v>2.363722522225119</v>
      </c>
      <c r="AA247">
        <f t="shared" si="421"/>
        <v>1.4983648343553988</v>
      </c>
      <c r="AB247">
        <f t="shared" si="422"/>
        <v>6.383464471671542</v>
      </c>
      <c r="AC247">
        <f t="shared" si="423"/>
        <v>6.97</v>
      </c>
      <c r="AD247" s="4">
        <f t="shared" si="424"/>
        <v>0.3938572444205236</v>
      </c>
      <c r="AF247">
        <f t="shared" si="441"/>
        <v>0.35463352301780315</v>
      </c>
      <c r="AG247">
        <f t="shared" si="442"/>
        <v>20.319004142775654</v>
      </c>
      <c r="AH247">
        <f t="shared" si="443"/>
        <v>6.807040680293244</v>
      </c>
      <c r="AI247">
        <f t="shared" si="444"/>
        <v>0.2166646276834864</v>
      </c>
      <c r="AJ247">
        <f t="shared" si="445"/>
        <v>12.41396873603711</v>
      </c>
      <c r="AS247" s="4" t="s">
        <v>293</v>
      </c>
      <c r="AT247">
        <f t="shared" si="425"/>
        <v>2.363722522225119</v>
      </c>
      <c r="AU247">
        <f t="shared" si="426"/>
        <v>1.5989724590090966</v>
      </c>
      <c r="AV247">
        <f t="shared" si="427"/>
        <v>6.55392021291731</v>
      </c>
      <c r="AW247">
        <f t="shared" si="428"/>
        <v>7.148270227406765</v>
      </c>
      <c r="AX247" s="4">
        <f t="shared" si="429"/>
        <v>0.39385724442052383</v>
      </c>
      <c r="AZ247">
        <f t="shared" si="446"/>
        <v>0.33701401722654684</v>
      </c>
      <c r="BA247">
        <f t="shared" si="430"/>
        <v>19.309480823830356</v>
      </c>
      <c r="BB247">
        <f t="shared" si="447"/>
        <v>0.22559531017436635</v>
      </c>
      <c r="BC247">
        <f t="shared" si="431"/>
        <v>12.925659150935912</v>
      </c>
    </row>
    <row r="248" spans="6:55" ht="12.75">
      <c r="F248" s="4" t="s">
        <v>294</v>
      </c>
      <c r="G248">
        <f t="shared" si="432"/>
        <v>0.3685779288204335</v>
      </c>
      <c r="H248" s="4">
        <f t="shared" si="417"/>
        <v>0.3597044140086963</v>
      </c>
      <c r="I248" s="4"/>
      <c r="J248" s="4">
        <f t="shared" si="433"/>
        <v>2.3505004048828684</v>
      </c>
      <c r="K248" s="4">
        <f t="shared" si="434"/>
        <v>0.8839419333103121</v>
      </c>
      <c r="L248" s="4">
        <f t="shared" si="435"/>
        <v>6.5018992998339415</v>
      </c>
      <c r="M248" s="4">
        <f>(J248^2+K248^2+L248^2)^0.5</f>
        <v>6.97</v>
      </c>
      <c r="N248" s="4"/>
      <c r="O248" s="4"/>
      <c r="P248">
        <f t="shared" si="436"/>
        <v>0.34689152845424404</v>
      </c>
      <c r="Q248">
        <f t="shared" si="437"/>
        <v>19.87542052927049</v>
      </c>
      <c r="R248">
        <f t="shared" si="438"/>
        <v>6.913721621423271</v>
      </c>
      <c r="S248">
        <f t="shared" si="439"/>
        <v>0.12716337677302098</v>
      </c>
      <c r="T248">
        <f t="shared" si="440"/>
        <v>7.285924797726024</v>
      </c>
      <c r="Y248" s="4" t="s">
        <v>294</v>
      </c>
      <c r="Z248">
        <f t="shared" si="420"/>
        <v>2.3505004048828684</v>
      </c>
      <c r="AA248">
        <f t="shared" si="421"/>
        <v>1.8799090580745252</v>
      </c>
      <c r="AB248">
        <f t="shared" si="422"/>
        <v>6.2866517145468475</v>
      </c>
      <c r="AC248">
        <f t="shared" si="423"/>
        <v>6.97</v>
      </c>
      <c r="AF248">
        <f t="shared" si="441"/>
        <v>0.35779495896240276</v>
      </c>
      <c r="AG248">
        <f t="shared" si="442"/>
        <v>20.50014107960217</v>
      </c>
      <c r="AH248">
        <f t="shared" si="443"/>
        <v>6.711694415970482</v>
      </c>
      <c r="AI248">
        <f t="shared" si="444"/>
        <v>0.2730963813894945</v>
      </c>
      <c r="AJ248">
        <f t="shared" si="445"/>
        <v>15.647270053913115</v>
      </c>
      <c r="AS248" s="4" t="s">
        <v>294</v>
      </c>
      <c r="AT248">
        <f t="shared" si="425"/>
        <v>2.3505004048828684</v>
      </c>
      <c r="AU248">
        <f t="shared" si="426"/>
        <v>1.9925769245330023</v>
      </c>
      <c r="AV248">
        <f t="shared" si="427"/>
        <v>6.558842541142499</v>
      </c>
      <c r="AW248">
        <f>(AT248^2+AU248^2+AV248^2)^0.5</f>
        <v>7.246628901291726</v>
      </c>
      <c r="AZ248">
        <f t="shared" si="446"/>
        <v>0.3303327140075931</v>
      </c>
      <c r="BA248">
        <f t="shared" si="430"/>
        <v>18.926670347737137</v>
      </c>
      <c r="BB248">
        <f t="shared" si="447"/>
        <v>0.27855439107037344</v>
      </c>
      <c r="BC248">
        <f t="shared" si="431"/>
        <v>15.959990973169026</v>
      </c>
    </row>
    <row r="249" spans="6:27" ht="12.75">
      <c r="F249" s="4" t="s">
        <v>245</v>
      </c>
      <c r="G249">
        <f>D$33</f>
        <v>-0.09911186523131546</v>
      </c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Z249">
        <f>ACOS(AB248/(Z248^2+AA248^2+AB248^2)^0.5)</f>
        <v>0.44651232994470935</v>
      </c>
      <c r="AA249">
        <f>ATAN(Z248/AA248)</f>
        <v>0.8961828395072119</v>
      </c>
    </row>
    <row r="250" spans="6:20" ht="12.75"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6:20" ht="12.75"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6:20" ht="12.75"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6:20" ht="12.75"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4:20" ht="12.75">
      <c r="N254" s="4"/>
      <c r="O254" s="4"/>
      <c r="P254" s="4"/>
      <c r="Q254" s="4"/>
      <c r="R254" s="4"/>
      <c r="S254" s="4"/>
      <c r="T254" s="4"/>
    </row>
    <row r="256" spans="7:27" ht="12.75">
      <c r="G256" t="s">
        <v>121</v>
      </c>
      <c r="H256">
        <f>M7</f>
        <v>0.6824531006622687</v>
      </c>
      <c r="AA256">
        <f>G7</f>
        <v>0.6821805234212612</v>
      </c>
    </row>
    <row r="257" ht="12.75">
      <c r="D257" t="s">
        <v>120</v>
      </c>
    </row>
    <row r="258" ht="12.75">
      <c r="D258" t="s">
        <v>119</v>
      </c>
    </row>
    <row r="259" spans="7:22" ht="12.75">
      <c r="G259" s="19"/>
      <c r="M259" t="s">
        <v>15</v>
      </c>
      <c r="V259" s="20"/>
    </row>
    <row r="260" spans="7:13" ht="12.75">
      <c r="G260" s="19"/>
      <c r="J260" t="s">
        <v>198</v>
      </c>
      <c r="M260">
        <v>0.28</v>
      </c>
    </row>
    <row r="261" spans="7:13" ht="12.75">
      <c r="G261" s="19"/>
      <c r="J261" t="s">
        <v>199</v>
      </c>
      <c r="K261" t="s">
        <v>42</v>
      </c>
      <c r="L261" t="s">
        <v>15</v>
      </c>
      <c r="M261" t="s">
        <v>209</v>
      </c>
    </row>
    <row r="262" ht="12.75">
      <c r="G262" s="19"/>
    </row>
    <row r="263" spans="5:30" ht="12.75">
      <c r="E263" t="s">
        <v>298</v>
      </c>
      <c r="F263" t="s">
        <v>297</v>
      </c>
      <c r="G263" s="19">
        <f>((J54-J79)^2+(K54-K79)^2+(L54-L79)^2)^0.5</f>
        <v>0.6833156988686929</v>
      </c>
      <c r="H263">
        <f>(G263-H$256)^2</f>
        <v>7.440756657262524E-07</v>
      </c>
      <c r="J263" t="s">
        <v>302</v>
      </c>
      <c r="K263">
        <f>((J115-J91)^2+(K115-K91)^2+(L115-L91)^2)^0.5</f>
        <v>0.0034630698740312103</v>
      </c>
      <c r="L263">
        <f>K263*100/2.54</f>
        <v>0.136341333623276</v>
      </c>
      <c r="M263" t="str">
        <f>IF(L263&gt;M$260,"BIG","   ")</f>
        <v>   </v>
      </c>
      <c r="AB263" t="s">
        <v>273</v>
      </c>
      <c r="AC263" s="19">
        <f>((Z118-Z157)^2+(AA118-AA157)^2+(AB118-AB157)^2)^0.5</f>
        <v>1.3661063859428877</v>
      </c>
      <c r="AD263">
        <f>(AC263-AA$256)^2</f>
        <v>0.4677545854259507</v>
      </c>
    </row>
    <row r="264" spans="5:30" ht="12.75">
      <c r="E264" t="s">
        <v>298</v>
      </c>
      <c r="F264" t="s">
        <v>201</v>
      </c>
      <c r="G264">
        <f>((J66-J79)^2+(K66-K79)^2+(L66-L79)^2)^0.5</f>
        <v>0.6844393955552648</v>
      </c>
      <c r="H264">
        <f>(G264-H$256)^2</f>
        <v>3.9453674019422515E-06</v>
      </c>
      <c r="AB264" t="s">
        <v>272</v>
      </c>
      <c r="AC264" s="9">
        <f>((Z118-Z66)^2+(AA118-AA66)^2+(AB118-AB66)^2)^0.5</f>
        <v>0.689905928844839</v>
      </c>
      <c r="AD264">
        <f>(AC264-AA$256)^2</f>
        <v>5.968188895864532E-05</v>
      </c>
    </row>
    <row r="265" spans="10:30" ht="12.75">
      <c r="J265" t="s">
        <v>303</v>
      </c>
      <c r="K265">
        <f>((J73-J101)^2+(K73-K101)^2+(L73-L101)^2)^0.5</f>
        <v>0.0034630698740999916</v>
      </c>
      <c r="L265">
        <f>K265*100/2.54</f>
        <v>0.1363413336259839</v>
      </c>
      <c r="M265" t="str">
        <f>IF(L265&gt;M$260,"BIG","   ")</f>
        <v>   </v>
      </c>
      <c r="AB265" t="s">
        <v>189</v>
      </c>
      <c r="AC265" s="9">
        <f>((Z118-Z79)^2+(AA118-AA79)^2+(AB118-AB79)^2)^0.5</f>
        <v>0.6844393955552648</v>
      </c>
      <c r="AD265">
        <f>(AC265-AA$256)^2</f>
        <v>5.102503317777767E-06</v>
      </c>
    </row>
    <row r="266" spans="5:37" ht="12.75">
      <c r="E266" t="s">
        <v>35</v>
      </c>
      <c r="F266" t="s">
        <v>272</v>
      </c>
      <c r="G266" s="9">
        <f>((J118-J66)^2+(K118-K66)^2+(L118-L66)^2)^0.5</f>
        <v>0.689905928844839</v>
      </c>
      <c r="H266">
        <f aca="true" t="shared" si="448" ref="H266:H281">(G266-H$256)^2</f>
        <v>5.554464791891434E-05</v>
      </c>
      <c r="J266" t="s">
        <v>204</v>
      </c>
      <c r="K266">
        <f>((J73-J129)^2+(K73-K129)^2+(L73-L129)^2)^0.5</f>
        <v>0.006906253131799845</v>
      </c>
      <c r="L266">
        <f>K266*100/2.54</f>
        <v>0.27189972959841907</v>
      </c>
      <c r="M266" t="str">
        <f>IF(L266&gt;M$260,"BIG","   ")</f>
        <v>   </v>
      </c>
      <c r="AB266" t="s">
        <v>190</v>
      </c>
      <c r="AC266" s="9">
        <f>((Z118-Z131)^2+(AA118-AA131)^2+(AB118-AB131)^2)^0.5</f>
        <v>0.6844393955552648</v>
      </c>
      <c r="AD266">
        <f aca="true" t="shared" si="449" ref="AD266:AD277">(AC266-AA$256)^2</f>
        <v>5.102503317777767E-06</v>
      </c>
      <c r="AH266" t="s">
        <v>198</v>
      </c>
      <c r="AK266">
        <v>0.191</v>
      </c>
    </row>
    <row r="267" spans="5:37" ht="12.75">
      <c r="E267" t="s">
        <v>35</v>
      </c>
      <c r="F267" t="s">
        <v>189</v>
      </c>
      <c r="G267" s="9">
        <f>((J118-J79)^2+(K118-K79)^2+(L118-L79)^2)^0.5</f>
        <v>0.6844393955552649</v>
      </c>
      <c r="H267">
        <f t="shared" si="448"/>
        <v>3.945367401942693E-06</v>
      </c>
      <c r="J267" t="s">
        <v>304</v>
      </c>
      <c r="K267">
        <f>((J114-J86)^2+(K114-K86)^2+(L114-L86)^2)^0.5</f>
        <v>0.0028729286036284643</v>
      </c>
      <c r="L267">
        <f>K267*100/2.54</f>
        <v>0.11310742533970333</v>
      </c>
      <c r="M267" t="str">
        <f>IF(L267&gt;M$260,"BIG","   ")</f>
        <v>   </v>
      </c>
      <c r="AB267" t="s">
        <v>191</v>
      </c>
      <c r="AC267" s="9">
        <f>((Z131-Z79)^2+(AA131-AA79)^2+(AB131-AB79)^2)^0.5</f>
        <v>0.6899059289288567</v>
      </c>
      <c r="AD267">
        <f t="shared" si="449"/>
        <v>5.968189025678664E-05</v>
      </c>
      <c r="AH267" t="s">
        <v>199</v>
      </c>
      <c r="AI267" t="s">
        <v>42</v>
      </c>
      <c r="AJ267" t="s">
        <v>15</v>
      </c>
      <c r="AK267" t="s">
        <v>209</v>
      </c>
    </row>
    <row r="268" spans="5:30" ht="12.75">
      <c r="E268" t="s">
        <v>35</v>
      </c>
      <c r="F268" t="s">
        <v>190</v>
      </c>
      <c r="G268" s="9">
        <f>((J118-J131)^2+(K118-K131)^2+(L118-L131)^2)^0.5</f>
        <v>0.6844393955552648</v>
      </c>
      <c r="H268">
        <f t="shared" si="448"/>
        <v>3.9453674019422515E-06</v>
      </c>
      <c r="AB268" t="s">
        <v>192</v>
      </c>
      <c r="AC268" s="9">
        <f>((Z131-Z92)^2+(AA131-AA92)^2+(AB131-AB92)^2)^0.5</f>
        <v>1.3661063858932543</v>
      </c>
      <c r="AD268">
        <f t="shared" si="449"/>
        <v>0.4677545853580595</v>
      </c>
    </row>
    <row r="269" spans="5:37" ht="12.75">
      <c r="E269" t="s">
        <v>35</v>
      </c>
      <c r="F269" t="s">
        <v>191</v>
      </c>
      <c r="G269" s="9">
        <f>((J131-J79)^2+(K131-K79)^2+(L131-L79)^2)^0.5</f>
        <v>0.6899059289288567</v>
      </c>
      <c r="H269">
        <f t="shared" si="448"/>
        <v>5.554464917125304E-05</v>
      </c>
      <c r="J269" t="s">
        <v>206</v>
      </c>
      <c r="K269">
        <f>((J74-J128)^2+(K74-K128)^2+(L74-L128)^2)^0.5</f>
        <v>0.008560143746805889</v>
      </c>
      <c r="L269">
        <f>K269*100/2.54</f>
        <v>0.33701353333881456</v>
      </c>
      <c r="M269" t="str">
        <f>IF(L269&gt;M$260,"BIG","   ")</f>
        <v>BIG</v>
      </c>
      <c r="AB269" t="s">
        <v>193</v>
      </c>
      <c r="AC269" s="9">
        <f>((Z79-Z92)^2+(AA79-AA92)^2+(AB79-AB92)^2)^0.5</f>
        <v>1.18054843816517</v>
      </c>
      <c r="AD269">
        <f t="shared" si="449"/>
        <v>0.248370578446192</v>
      </c>
      <c r="AH269" t="s">
        <v>202</v>
      </c>
      <c r="AI269">
        <f>((Z115-Z78)^2+(AA115-AA78)^2+(AB115-AB78)^2)^0.5</f>
        <v>1.1802921202285368</v>
      </c>
      <c r="AJ269">
        <f>AI269*100/2.54</f>
        <v>46.46819370978491</v>
      </c>
      <c r="AK269" t="str">
        <f>IF(AJ269&gt;AK$266,"BIG","   ")</f>
        <v>BIG</v>
      </c>
    </row>
    <row r="270" spans="5:30" ht="12.75">
      <c r="E270" t="s">
        <v>298</v>
      </c>
      <c r="F270" t="s">
        <v>188</v>
      </c>
      <c r="G270" s="9">
        <f>((J54-J105)^2+(K54-K105)^2+(L54-L105)^2)^0.5</f>
        <v>0.684951415972101</v>
      </c>
      <c r="H270">
        <f t="shared" si="448"/>
        <v>6.241579387342182E-06</v>
      </c>
      <c r="J270" t="s">
        <v>226</v>
      </c>
      <c r="K270">
        <f>((J126-J180)^2+(K126-K180)^2+(L126-L180)^2)^0.5</f>
        <v>0.008560143746805823</v>
      </c>
      <c r="L270">
        <f>K270*100/2.54</f>
        <v>0.3370135333388119</v>
      </c>
      <c r="M270" t="str">
        <f>IF(L270&gt;M$260,"BIG","   ")</f>
        <v>BIG</v>
      </c>
      <c r="AB270" t="s">
        <v>171</v>
      </c>
      <c r="AC270" s="9">
        <f>((Z170-Z118)^2+(AA170-AA118)^2+(AB170-AB118)^2)^0.5</f>
        <v>0.6899059288448387</v>
      </c>
      <c r="AD270">
        <f t="shared" si="449"/>
        <v>5.968188895864018E-05</v>
      </c>
    </row>
    <row r="271" spans="5:37" ht="12.75">
      <c r="E271" t="s">
        <v>298</v>
      </c>
      <c r="F271" t="s">
        <v>210</v>
      </c>
      <c r="G271" s="9">
        <f>((J105-J157)^2+(K105-K157)^2+(L105-L157)^2)^0.5</f>
        <v>0.6849514159721011</v>
      </c>
      <c r="H271">
        <f t="shared" si="448"/>
        <v>6.241579387342737E-06</v>
      </c>
      <c r="AB271" t="s">
        <v>172</v>
      </c>
      <c r="AC271" s="9">
        <f>((Z170-Z131)^2+(AA170-AA131)^2+(AB170-AB131)^2)^0.5</f>
        <v>0.6844393955552648</v>
      </c>
      <c r="AD271">
        <f t="shared" si="449"/>
        <v>5.102503317777767E-06</v>
      </c>
      <c r="AH271" t="s">
        <v>203</v>
      </c>
      <c r="AI271">
        <f>((Z73-Z114)^2+(AA73-AA114)^2+(AB73-AB114)^2)^0.5</f>
        <v>1.1802921202285372</v>
      </c>
      <c r="AJ271">
        <f>AI271*100/2.54</f>
        <v>46.468193709784934</v>
      </c>
      <c r="AK271" t="str">
        <f>IF(AJ271&gt;AK$266,"BIG","   ")</f>
        <v>BIG</v>
      </c>
    </row>
    <row r="272" spans="5:37" ht="12.75">
      <c r="E272" t="s">
        <v>298</v>
      </c>
      <c r="F272" t="s">
        <v>299</v>
      </c>
      <c r="G272" s="9">
        <f>((J66-J92)^2+(K66-K92)^2+(L66-L92)^2)^0.5</f>
        <v>0.6833156988336766</v>
      </c>
      <c r="H272">
        <f t="shared" si="448"/>
        <v>7.440756053162185E-07</v>
      </c>
      <c r="J272" t="s">
        <v>200</v>
      </c>
      <c r="K272">
        <f>((J60-J116)^2+(K60-K116)^2+(L60-L116)^2)^0.5</f>
        <v>0.008560143746805877</v>
      </c>
      <c r="L272">
        <f>K272*100/2.54</f>
        <v>0.33701353333881406</v>
      </c>
      <c r="M272" t="str">
        <f>IF(L272&gt;M$260,"BIG","   ")</f>
        <v>BIG</v>
      </c>
      <c r="AB272" t="s">
        <v>173</v>
      </c>
      <c r="AC272" s="9">
        <f>((Z170-Z183)^2+(AA170-AA183)^2+(AB170-AB183)^2)^0.5</f>
        <v>0.6844393955552648</v>
      </c>
      <c r="AD272">
        <f t="shared" si="449"/>
        <v>5.102503317777767E-06</v>
      </c>
      <c r="AH272" t="s">
        <v>204</v>
      </c>
      <c r="AI272">
        <f>((Z73-Z129)^2+(AA73-AA129)^2+(AB73-AB129)^2)^0.5</f>
        <v>0.006906253131799784</v>
      </c>
      <c r="AJ272">
        <f>AI272*100/2.54</f>
        <v>0.2718997295984167</v>
      </c>
      <c r="AK272" t="str">
        <f>IF(AJ272&gt;AK$266,"BIG","   ")</f>
        <v>BIG</v>
      </c>
    </row>
    <row r="273" spans="6:37" ht="12.75">
      <c r="F273" t="s">
        <v>307</v>
      </c>
      <c r="G273" s="9">
        <f>((J144-J92)^2+(K144-K92)^2+(L144-L92)^2)^0.5</f>
        <v>0.6849514157208146</v>
      </c>
      <c r="H273">
        <f t="shared" si="448"/>
        <v>6.241578131757299E-06</v>
      </c>
      <c r="J273" t="s">
        <v>212</v>
      </c>
      <c r="K273">
        <f>((J112-J168)^2+(K112-K168)^2+(L112-L168)^2)^0.5</f>
        <v>0.00856014374680598</v>
      </c>
      <c r="L273">
        <f>K273*100/2.54</f>
        <v>0.3370135333388181</v>
      </c>
      <c r="M273" t="str">
        <f>IF(L273&gt;M$260,"BIG","   ")</f>
        <v>BIG</v>
      </c>
      <c r="AB273" t="s">
        <v>178</v>
      </c>
      <c r="AC273" s="9">
        <f>((Z183-Z131)^2+(AA183-AA131)^2+(AB183-AB131)^2)^0.5</f>
        <v>0.6899059289288568</v>
      </c>
      <c r="AD273">
        <f t="shared" si="449"/>
        <v>5.968189025678835E-05</v>
      </c>
      <c r="AH273" t="s">
        <v>205</v>
      </c>
      <c r="AI273">
        <f>((Z114-Z129)^2+(AA114-AA129)^2+(AB114-AB129)^2)^0.5</f>
        <v>1.1802921202285368</v>
      </c>
      <c r="AJ273">
        <f>AI273*100/2.54</f>
        <v>46.46819370978491</v>
      </c>
      <c r="AK273" t="str">
        <f>IF(AJ273&gt;AK$266,"BIG","   ")</f>
        <v>BIG</v>
      </c>
    </row>
    <row r="274" spans="5:30" ht="12.75">
      <c r="E274" t="s">
        <v>35</v>
      </c>
      <c r="F274" t="s">
        <v>171</v>
      </c>
      <c r="G274" s="9">
        <f>((J170-J118)^2+(K170-K118)^2+(L170-L118)^2)^0.5</f>
        <v>0.6899059288448388</v>
      </c>
      <c r="H274">
        <f t="shared" si="448"/>
        <v>5.554464791891103E-05</v>
      </c>
      <c r="AB274" t="s">
        <v>174</v>
      </c>
      <c r="AC274" s="9">
        <f>((Z170-Z222)^2+(AA170-AA222)^2+(AB170-AB222)^2)^0.5</f>
        <v>0.689905928844839</v>
      </c>
      <c r="AD274">
        <f t="shared" si="449"/>
        <v>5.968188895864532E-05</v>
      </c>
    </row>
    <row r="275" spans="5:37" ht="12.75">
      <c r="E275" t="s">
        <v>35</v>
      </c>
      <c r="F275" t="s">
        <v>172</v>
      </c>
      <c r="G275" s="9">
        <f>((J170-J131)^2+(K170-K131)^2+(L170-L131)^2)^0.5</f>
        <v>0.6844393955552648</v>
      </c>
      <c r="H275">
        <f t="shared" si="448"/>
        <v>3.9453674019422515E-06</v>
      </c>
      <c r="J275" t="s">
        <v>213</v>
      </c>
      <c r="K275">
        <f>((J113-J167)^2+(K113-K167)^2+(L113-L167)^2)^0.5</f>
        <v>0.006906253131799572</v>
      </c>
      <c r="L275">
        <f>K275*100/2.54</f>
        <v>0.27189972959840836</v>
      </c>
      <c r="M275" t="str">
        <f>IF(L275&gt;M$260,"BIG","   ")</f>
        <v>   </v>
      </c>
      <c r="AB275" t="s">
        <v>175</v>
      </c>
      <c r="AC275" s="9">
        <f>((Z170-Z209)^2+(AA170-AA209)^2+(AB170-AB209)^2)^0.5</f>
        <v>1.3661063859428877</v>
      </c>
      <c r="AD275">
        <f t="shared" si="449"/>
        <v>0.4677545854259507</v>
      </c>
      <c r="AH275" t="s">
        <v>206</v>
      </c>
      <c r="AI275">
        <f>((Z74-Z128)^2+(AA74-AA128)^2+(AB74-AB128)^2)^0.5</f>
        <v>0.008560143746805915</v>
      </c>
      <c r="AJ275">
        <f>AI275*100/2.54</f>
        <v>0.33701353333881556</v>
      </c>
      <c r="AK275" t="str">
        <f>IF(AJ275&gt;AK$266,"BIG","   ")</f>
        <v>BIG</v>
      </c>
    </row>
    <row r="276" spans="5:37" ht="12.75">
      <c r="E276" t="s">
        <v>35</v>
      </c>
      <c r="F276" t="s">
        <v>173</v>
      </c>
      <c r="G276" s="9">
        <f>((J170-J183)^2+(K170-K183)^2+(L170-L183)^2)^0.5</f>
        <v>0.6844393955552649</v>
      </c>
      <c r="H276">
        <f t="shared" si="448"/>
        <v>3.945367401942693E-06</v>
      </c>
      <c r="J276" t="s">
        <v>305</v>
      </c>
      <c r="K276">
        <f>((J48-J103)^2+(K48-K103)^2+(L48-L103)^2)^0.5</f>
        <v>0.00031331001644970046</v>
      </c>
      <c r="L276">
        <f>K276*100/2.54</f>
        <v>0.012335040017704742</v>
      </c>
      <c r="M276" t="str">
        <f>IF(L276&gt;M$260,"BIG","   ")</f>
        <v>   </v>
      </c>
      <c r="AB276" t="s">
        <v>176</v>
      </c>
      <c r="AC276" s="9">
        <f>((Z183-Z222)^2+(AA183-AA222)^2+(AB183-AB222)^2)^0.5</f>
        <v>0.6844393955552648</v>
      </c>
      <c r="AD276">
        <f t="shared" si="449"/>
        <v>5.102503317777767E-06</v>
      </c>
      <c r="AH276" t="s">
        <v>207</v>
      </c>
      <c r="AI276">
        <f>((Z128-Z91)^2+(AA128-AA91)^2+(AB128-AB91)^2)^0.5</f>
        <v>0.6861497654411511</v>
      </c>
      <c r="AJ276">
        <f>AI276*100/2.54</f>
        <v>27.013770292958704</v>
      </c>
      <c r="AK276" t="str">
        <f>IF(AJ276&gt;AK$266,"BIG","   ")</f>
        <v>BIG</v>
      </c>
    </row>
    <row r="277" spans="5:37" ht="12.75">
      <c r="E277" t="s">
        <v>35</v>
      </c>
      <c r="F277" t="s">
        <v>178</v>
      </c>
      <c r="G277" s="9">
        <f>((J183-J131)^2+(K183-K131)^2+(L183-L131)^2)^0.5</f>
        <v>0.6899059289288567</v>
      </c>
      <c r="H277">
        <f t="shared" si="448"/>
        <v>5.554464917125304E-05</v>
      </c>
      <c r="J277" t="s">
        <v>306</v>
      </c>
      <c r="K277">
        <f>((J87-J141)^2+(K87-K141)^2+(L87-L141)^2)^0.5</f>
        <v>0.0003133100164496697</v>
      </c>
      <c r="L277">
        <f>K277*100/2.54</f>
        <v>0.012335040017703532</v>
      </c>
      <c r="M277" t="str">
        <f>IF(L277&gt;M$260,"BIG","   ")</f>
        <v>   </v>
      </c>
      <c r="AB277" t="s">
        <v>177</v>
      </c>
      <c r="AC277" s="9">
        <f>((Z209-Z222)^2+(AA209-AA222)^2+(AB209-AB222)^2)^0.5</f>
        <v>1.1805484381651696</v>
      </c>
      <c r="AD277">
        <f t="shared" si="449"/>
        <v>0.24837057844619156</v>
      </c>
      <c r="AH277" t="s">
        <v>208</v>
      </c>
      <c r="AI277">
        <f>((Z74-Z91)^2+(AA74-AA91)^2+(AB74-AB91)^2)^0.5</f>
        <v>0.6818395967466059</v>
      </c>
      <c r="AJ277">
        <f>AI277*100/2.54</f>
        <v>26.844078612071097</v>
      </c>
      <c r="AK277" t="str">
        <f>IF(AJ277&gt;AK$266,"BIG","   ")</f>
        <v>BIG</v>
      </c>
    </row>
    <row r="278" spans="5:8" ht="12.75">
      <c r="E278" t="s">
        <v>35</v>
      </c>
      <c r="F278" t="s">
        <v>174</v>
      </c>
      <c r="G278" s="9">
        <f>((J170-J222)^2+(K170-K222)^2+(L170-L222)^2)^0.5</f>
        <v>0.689905928844839</v>
      </c>
      <c r="H278">
        <f t="shared" si="448"/>
        <v>5.554464791891434E-05</v>
      </c>
    </row>
    <row r="279" spans="5:37" ht="12.75">
      <c r="E279" t="s">
        <v>298</v>
      </c>
      <c r="F279" t="s">
        <v>300</v>
      </c>
      <c r="G279" s="9">
        <f>((J222-J248)^2+(K222-K248)^2+(L222-L248)^2)^0.5</f>
        <v>0.6833156988336767</v>
      </c>
      <c r="H279">
        <f t="shared" si="448"/>
        <v>7.4407560531641E-07</v>
      </c>
      <c r="AH279" t="s">
        <v>212</v>
      </c>
      <c r="AI279">
        <f>((Z112-Z168)^2+(AA112-AA168)^2+(AB112-AB168)^2)^0.5</f>
        <v>0.008560143746806009</v>
      </c>
      <c r="AJ279">
        <f>AI279*100/2.54</f>
        <v>0.3370135333388192</v>
      </c>
      <c r="AK279" t="str">
        <f>IF(AJ279&gt;AK$266,"BIG","   ")</f>
        <v>BIG</v>
      </c>
    </row>
    <row r="280" spans="5:13" ht="12.75">
      <c r="E280" t="s">
        <v>35</v>
      </c>
      <c r="F280" t="s">
        <v>176</v>
      </c>
      <c r="G280" s="9">
        <f>((J183-J222)^2+(K183-K222)^2+(L183-L222)^2)^0.5</f>
        <v>0.6844393955552648</v>
      </c>
      <c r="H280">
        <f t="shared" si="448"/>
        <v>3.9453674019422515E-06</v>
      </c>
      <c r="J280" t="s">
        <v>217</v>
      </c>
      <c r="K280">
        <f>((J125-J181)^2+(K125-K181)^2+(L125-L181)^2)^0.5</f>
        <v>0.006906253131799744</v>
      </c>
      <c r="L280">
        <f>K280*100/2.54</f>
        <v>0.27189972959841513</v>
      </c>
      <c r="M280" t="str">
        <f>IF(L280&gt;M$260,"BIG","   ")</f>
        <v>   </v>
      </c>
    </row>
    <row r="281" spans="5:37" ht="12.75">
      <c r="E281" t="s">
        <v>298</v>
      </c>
      <c r="F281" t="s">
        <v>301</v>
      </c>
      <c r="G281" s="9">
        <f>((J209-J235)^2+(K209-K235)^2+(L209-L235)^2)^0.5</f>
        <v>0.6833156988686929</v>
      </c>
      <c r="H281">
        <f t="shared" si="448"/>
        <v>7.440756657262524E-07</v>
      </c>
      <c r="AH281" t="s">
        <v>213</v>
      </c>
      <c r="AI281">
        <f>((Z113-Z167)^2+(AA113-AA167)^2+(AB113-AB167)^2)^0.5</f>
        <v>0.006906253131799621</v>
      </c>
      <c r="AJ281">
        <f>AI281*100/2.54</f>
        <v>0.2718997295984103</v>
      </c>
      <c r="AK281" t="str">
        <f>IF(AJ281&gt;AK$266,"BIG","   ")</f>
        <v>BIG</v>
      </c>
    </row>
    <row r="282" spans="7:37" ht="12.75">
      <c r="G282" s="19"/>
      <c r="AH282" t="s">
        <v>214</v>
      </c>
      <c r="AI282">
        <f>((Z167-Z130)^2+(AA167-AA130)^2+(AB167-AB130)^2)^0.5</f>
        <v>1.180292120228537</v>
      </c>
      <c r="AJ282">
        <f>AI282*100/2.54</f>
        <v>46.46819370978492</v>
      </c>
      <c r="AK282" t="str">
        <f>IF(AJ282&gt;AK$266,"BIG","   ")</f>
        <v>BIG</v>
      </c>
    </row>
    <row r="283" spans="10:37" ht="12.75">
      <c r="J283" t="s">
        <v>325</v>
      </c>
      <c r="K283">
        <f>((J86-J142)^2+(K86-K142)^2+(L86-L142)^2)^0.5</f>
        <v>0.005259881021597678</v>
      </c>
      <c r="L283">
        <f>K283*100/2.54</f>
        <v>0.20708192998416053</v>
      </c>
      <c r="M283" t="str">
        <f>IF(L283&gt;M$260,"BIG","   ")</f>
        <v>   </v>
      </c>
      <c r="AH283" t="s">
        <v>215</v>
      </c>
      <c r="AI283">
        <f>((Z113-Z130)^2+(AA113-AA130)^2+(AB113-AB130)^2)^0.5</f>
        <v>1.1802921202285368</v>
      </c>
      <c r="AJ283">
        <f>AI283*100/2.54</f>
        <v>46.46819370978491</v>
      </c>
      <c r="AK283" t="str">
        <f>IF(AJ283&gt;AK$266,"BIG","   ")</f>
        <v>BIG</v>
      </c>
    </row>
    <row r="285" spans="34:37" ht="12.75">
      <c r="AH285" t="s">
        <v>216</v>
      </c>
      <c r="AI285">
        <f>((Z166-Z125)^2+(AA166-AA125)^2+(AB166-AB125)^2)^0.5</f>
        <v>1.1802921202285368</v>
      </c>
      <c r="AJ285">
        <f>AI285*100/2.54</f>
        <v>46.46819370978491</v>
      </c>
      <c r="AK285" t="str">
        <f>IF(AJ285&gt;AK$266,"BIG","   ")</f>
        <v>BIG</v>
      </c>
    </row>
    <row r="286" spans="7:37" ht="12.75">
      <c r="G286" s="19"/>
      <c r="I286" t="s">
        <v>313</v>
      </c>
      <c r="J286" t="s">
        <v>312</v>
      </c>
      <c r="K286">
        <f>((J49-J78)^2+(K49-K78)^2+(L49-L78)^2)^0.5</f>
        <v>0.0028729286035657255</v>
      </c>
      <c r="L286">
        <f>K286*100/2.54</f>
        <v>0.11310742533723328</v>
      </c>
      <c r="M286" t="str">
        <f>IF(L286&gt;M$260,"BIG","   ")</f>
        <v>   </v>
      </c>
      <c r="AH286" t="s">
        <v>217</v>
      </c>
      <c r="AI286">
        <f>((Z125-Z181)^2+(AA125-AA181)^2+(AB125-AB181)^2)^0.5</f>
        <v>0.006906253131799716</v>
      </c>
      <c r="AJ286">
        <f>AI286*100/2.54</f>
        <v>0.271899729598414</v>
      </c>
      <c r="AK286" t="str">
        <f>IF(AJ286&gt;AK$266,"BIG","   ")</f>
        <v>BIG</v>
      </c>
    </row>
    <row r="287" spans="9:37" ht="12.75">
      <c r="I287" t="s">
        <v>313</v>
      </c>
      <c r="J287" t="s">
        <v>314</v>
      </c>
      <c r="K287">
        <f>((J50-J77)^2+(K50-K77)^2+(L50-L77)^2)^0.5</f>
        <v>0.0034630698739627304</v>
      </c>
      <c r="L287">
        <f>K287*100/2.54</f>
        <v>0.13634133362057993</v>
      </c>
      <c r="M287" t="str">
        <f>IF(L287&gt;M$260,"BIG","   ")</f>
        <v>   </v>
      </c>
      <c r="AH287" t="s">
        <v>218</v>
      </c>
      <c r="AI287">
        <f>((Z166-Z181)^2+(AA166-AA181)^2+(AB166-AB181)^2)^0.5</f>
        <v>1.1802921202285366</v>
      </c>
      <c r="AJ287">
        <f>AI287*100/2.54</f>
        <v>46.468193709784906</v>
      </c>
      <c r="AK287" t="str">
        <f>IF(AJ287&gt;AK$266,"BIG","   ")</f>
        <v>BIG</v>
      </c>
    </row>
    <row r="288" spans="10:13" ht="12.75">
      <c r="J288" t="s">
        <v>315</v>
      </c>
      <c r="K288">
        <f>((J62-J90)^2+(K62-K90)^2+(L62-L90)^2)^0.5</f>
        <v>0.002872928603502694</v>
      </c>
      <c r="L288">
        <f>K288*100/2.54</f>
        <v>0.11310742533475174</v>
      </c>
      <c r="M288" t="str">
        <f>IF(L288&gt;M$260,"BIG","   ")</f>
        <v>   </v>
      </c>
    </row>
    <row r="289" spans="34:37" ht="12.75">
      <c r="AH289" t="s">
        <v>219</v>
      </c>
      <c r="AI289">
        <f>((Z206-Z169)^2+(AA206-AA169)^2+(AB206-AB169)^2)^0.5</f>
        <v>0.6844976000466149</v>
      </c>
      <c r="AJ289">
        <f>AI289*100/2.54</f>
        <v>26.948724411284047</v>
      </c>
      <c r="AK289" t="str">
        <f>IF(AJ289&gt;AK$266,"BIG","   ")</f>
        <v>BIG</v>
      </c>
    </row>
    <row r="290" spans="10:13" ht="12.75">
      <c r="J290" t="s">
        <v>308</v>
      </c>
      <c r="K290">
        <f>((J76-J65)^2+(K76-K65)^2+(L76-L65)^2)^0.5</f>
        <v>0.004282078503415444</v>
      </c>
      <c r="L290">
        <f>K290*100/2.54</f>
        <v>0.16858576785100174</v>
      </c>
      <c r="M290" t="str">
        <f>IF(L290&gt;M$260,"BIG","   ")</f>
        <v>   </v>
      </c>
    </row>
    <row r="292" spans="9:37" ht="12.75">
      <c r="I292" t="s">
        <v>313</v>
      </c>
      <c r="J292" t="s">
        <v>271</v>
      </c>
      <c r="K292">
        <f>((J103-J48)^2+(K103-K48)^2+(L103-L48)^2)^0.5</f>
        <v>0.00031331001644970046</v>
      </c>
      <c r="L292">
        <f>K292*100/2.54</f>
        <v>0.012335040017704742</v>
      </c>
      <c r="M292" t="str">
        <f>IF(L292&gt;M$260,"BIG","   ")</f>
        <v>   </v>
      </c>
      <c r="AH292" t="s">
        <v>220</v>
      </c>
      <c r="AI292">
        <f>((Z205-Z164)^2+(AA205-AA164)^2+(AB205-AB164)^2)^0.5</f>
        <v>0.6861497654411867</v>
      </c>
      <c r="AJ292">
        <f>AI292*100/2.54</f>
        <v>27.013770292960103</v>
      </c>
      <c r="AK292" t="str">
        <f>IF(AJ292&gt;AK$266,"BIG","   ")</f>
        <v>BIG</v>
      </c>
    </row>
    <row r="293" spans="10:37" ht="12.75">
      <c r="J293" t="s">
        <v>311</v>
      </c>
      <c r="K293">
        <f>((J151-J207)^2+(K151-K207)^2+(L151-L207)^2)^0.5</f>
        <v>0.00031331001644963595</v>
      </c>
      <c r="L293">
        <f>K293*100/2.54</f>
        <v>0.012335040017702203</v>
      </c>
      <c r="M293" t="str">
        <f>IF(L293&gt;M$260,"BIG","   ")</f>
        <v>   </v>
      </c>
      <c r="AH293" t="s">
        <v>221</v>
      </c>
      <c r="AI293">
        <f>((Z164-Z220)^2+(AA164-AA220)^2+(AB164-AB220)^2)^0.5</f>
        <v>0.008560143746806208</v>
      </c>
      <c r="AJ293">
        <f>AI293*100/2.54</f>
        <v>0.3370135333388271</v>
      </c>
      <c r="AK293" t="str">
        <f>IF(AJ293&gt;AK$266,"BIG","   ")</f>
        <v>BIG</v>
      </c>
    </row>
    <row r="294" spans="34:37" ht="12.75">
      <c r="AH294" t="s">
        <v>222</v>
      </c>
      <c r="AI294">
        <f>((Z220-Z205)^2+(AA220-AA205)^2+(AB220-AB205)^2)^0.5</f>
        <v>0.6818395967466404</v>
      </c>
      <c r="AJ294">
        <f>AI294*100/2.54</f>
        <v>26.844078612072455</v>
      </c>
      <c r="AK294" t="str">
        <f>IF(AJ294&gt;AK$266,"BIG","   ")</f>
        <v>BIG</v>
      </c>
    </row>
    <row r="295" ht="12.75">
      <c r="I295" t="s">
        <v>320</v>
      </c>
    </row>
    <row r="296" spans="10:13" ht="12.75">
      <c r="J296" t="s">
        <v>321</v>
      </c>
      <c r="K296">
        <f>((2*J76)^2)^0.5</f>
        <v>0.008560143746805915</v>
      </c>
      <c r="L296">
        <f>K296*100/2.54</f>
        <v>0.33701353333881556</v>
      </c>
      <c r="M296" t="str">
        <f>IF(0.002&gt;L296-L269,"same as c2-g4","BIG ")</f>
        <v>same as c2-g4</v>
      </c>
    </row>
    <row r="297" spans="10:13" ht="12.75">
      <c r="J297" t="s">
        <v>322</v>
      </c>
      <c r="K297">
        <f>((2*J77)^2)^0.5</f>
        <v>0.006906253131799711</v>
      </c>
      <c r="L297">
        <f>K297*100/2.54</f>
        <v>0.2718997295984138</v>
      </c>
      <c r="M297" t="str">
        <f>IF(0.002&gt;L297-L266,"same as c1-g5","BIG ")</f>
        <v>same as c1-g5</v>
      </c>
    </row>
    <row r="298" spans="10:13" ht="12.75">
      <c r="J298" t="s">
        <v>323</v>
      </c>
      <c r="K298">
        <f>((2*J89)^2)^0.5</f>
        <v>0.00031331001644974155</v>
      </c>
      <c r="L298">
        <f>K298*100/2.54</f>
        <v>0.01233504001770636</v>
      </c>
      <c r="M298" t="str">
        <f>IF(0.002&gt;L298-L277,"same as d2-h4","BIG ")</f>
        <v>same as d2-h4</v>
      </c>
    </row>
    <row r="299" spans="10:13" ht="12.75">
      <c r="J299" t="s">
        <v>324</v>
      </c>
      <c r="K299">
        <f>((2*J90)^2)^0.5</f>
        <v>0.00525988102159769</v>
      </c>
      <c r="L299">
        <f>K299*100/2.54</f>
        <v>0.20708192998416103</v>
      </c>
      <c r="M299" t="str">
        <f>IF(0.002&gt;L299-L283,"same as d1-h5","BIG ")</f>
        <v>same as d1-h5</v>
      </c>
    </row>
    <row r="301" spans="11:37" ht="12.75">
      <c r="K301" t="s">
        <v>318</v>
      </c>
      <c r="AH301" t="s">
        <v>259</v>
      </c>
      <c r="AI301">
        <f>((Z165-Z182)^2+(AA165-AA182)^2+(AB165-AB182)^2)^0.5</f>
        <v>1.1802921202285368</v>
      </c>
      <c r="AJ301">
        <f>AI301*100/2.54</f>
        <v>46.46819370978491</v>
      </c>
      <c r="AK301" t="str">
        <f>IF(AJ301&gt;AK$266,"BIG","   ")</f>
        <v>BIG</v>
      </c>
    </row>
    <row r="302" ht="12.75">
      <c r="K302">
        <f>N36</f>
        <v>0.3938572344245155</v>
      </c>
    </row>
    <row r="303" spans="9:37" ht="12.75">
      <c r="I303" t="s">
        <v>316</v>
      </c>
      <c r="AH303" t="s">
        <v>271</v>
      </c>
      <c r="AI303">
        <f>((Z103-Z48)^2+(AA103-AA48)^2+(AB103-AB48)^2)^0.5</f>
        <v>0.0003133100164497419</v>
      </c>
      <c r="AJ303">
        <f>AI303*100/2.54</f>
        <v>0.012335040017706373</v>
      </c>
      <c r="AK303" t="str">
        <f>IF(AJ304&gt;AK$266,"BIG","   ")</f>
        <v>BIG</v>
      </c>
    </row>
    <row r="304" spans="10:36" ht="12.75">
      <c r="J304" t="s">
        <v>317</v>
      </c>
      <c r="K304">
        <f>((J78-J54)^2+(K78-K54)^2+(L78-L54)^2)^0.5-K$302</f>
        <v>0.0016926109042408322</v>
      </c>
      <c r="L304">
        <f aca="true" t="shared" si="450" ref="L304:L320">K304*100/2.54</f>
        <v>0.06663822457641072</v>
      </c>
      <c r="M304" t="str">
        <f aca="true" t="shared" si="451" ref="M304:M320">IF(L304&lt;0,"interference","gap")</f>
        <v>gap</v>
      </c>
      <c r="AH304" t="s">
        <v>260</v>
      </c>
      <c r="AI304">
        <f>((Z86-Z127)^2+(AA86-AA127)^2+(AB86-AB127)^2)^0.5</f>
        <v>0.6844976000466497</v>
      </c>
      <c r="AJ304">
        <f>AI304*100/2.54</f>
        <v>26.94872441128542</v>
      </c>
    </row>
    <row r="305" spans="10:36" ht="12.75">
      <c r="J305" t="s">
        <v>319</v>
      </c>
      <c r="K305">
        <f>((J102-J54)^2+(K102-K54)^2+(L102-L54)^2)^0.5-K$302</f>
        <v>0.004547433510864951</v>
      </c>
      <c r="L305">
        <f t="shared" si="450"/>
        <v>0.1790328153883839</v>
      </c>
      <c r="M305" t="str">
        <f t="shared" si="451"/>
        <v>gap</v>
      </c>
      <c r="AH305" t="s">
        <v>211</v>
      </c>
      <c r="AI305">
        <f>((Z100-Z117)^2+(AA100-AA117)^2+(AB100-AB117)^2)^0.5</f>
        <v>0.6818395967466055</v>
      </c>
      <c r="AJ305">
        <f>AI305*100/2.54</f>
        <v>26.844078612071083</v>
      </c>
    </row>
    <row r="306" spans="10:36" ht="12.75">
      <c r="J306" t="s">
        <v>326</v>
      </c>
      <c r="K306">
        <f>((J77-J54)^2+(K77-K54)^2+(L77-L54)^2)^0.5-K$302</f>
        <v>0.00027722699075005686</v>
      </c>
      <c r="L306">
        <f t="shared" si="450"/>
        <v>0.010914448454726647</v>
      </c>
      <c r="M306" t="str">
        <f t="shared" si="451"/>
        <v>gap</v>
      </c>
      <c r="AH306" t="s">
        <v>263</v>
      </c>
      <c r="AI306">
        <f>((Z101-Z116)^2+(AA101-AA116)^2+(AB101-AB116)^2)^0.5</f>
        <v>0.6818395967466403</v>
      </c>
      <c r="AJ306">
        <f>AI306*100/2.54</f>
        <v>26.84407861207245</v>
      </c>
    </row>
    <row r="307" spans="10:13" ht="12.75">
      <c r="J307" t="s">
        <v>327</v>
      </c>
      <c r="K307">
        <f>((J103-J54)^2+(K103-K54)^2+(L103-L54)^2)^0.5-K$302</f>
        <v>0.00027234642726359226</v>
      </c>
      <c r="L307">
        <f t="shared" si="450"/>
        <v>0.0107223002859682</v>
      </c>
      <c r="M307" t="str">
        <f t="shared" si="451"/>
        <v>gap</v>
      </c>
    </row>
    <row r="308" spans="10:13" ht="12.75">
      <c r="J308" t="s">
        <v>328</v>
      </c>
      <c r="K308">
        <f>((J141-J92)^2+(K141-K92)^2+(L141-L92)^2)^0.5-K$302</f>
        <v>0.000272336438063181</v>
      </c>
      <c r="L308">
        <f t="shared" si="450"/>
        <v>0.010721907010361456</v>
      </c>
      <c r="M308" t="str">
        <f t="shared" si="451"/>
        <v>gap</v>
      </c>
    </row>
    <row r="309" spans="10:36" ht="12.75">
      <c r="J309" t="s">
        <v>329</v>
      </c>
      <c r="K309">
        <f>((J142-J92)^2+(K142-K92)^2+(L142-L92)^2)^0.5-K$302</f>
        <v>0.0045474433911184</v>
      </c>
      <c r="L309">
        <f t="shared" si="450"/>
        <v>0.17903320437474016</v>
      </c>
      <c r="M309" t="str">
        <f t="shared" si="451"/>
        <v>gap</v>
      </c>
      <c r="AH309" t="s">
        <v>268</v>
      </c>
      <c r="AI309">
        <f>((Z190-Z216)^2+(AA190-AA216)^2+(AB190-AB216)^2)^0.5</f>
        <v>0.6822294961492137</v>
      </c>
      <c r="AJ309">
        <f>AI309*100/2.54</f>
        <v>26.859428982252503</v>
      </c>
    </row>
    <row r="310" spans="10:36" ht="12.75">
      <c r="J310" t="s">
        <v>330</v>
      </c>
      <c r="K310">
        <f>((J114-J92)^2+(K114-K92)^2+(L114-L92)^2)^0.5-K$302</f>
        <v>0.0016926207982557728</v>
      </c>
      <c r="L310">
        <f t="shared" si="450"/>
        <v>0.06663861410455799</v>
      </c>
      <c r="M310" t="str">
        <f t="shared" si="451"/>
        <v>gap</v>
      </c>
      <c r="AI310">
        <f>((0.296501-1.5806)^2+(6.547397-6.360662)^2)^0.5</f>
        <v>1.2976055648871117</v>
      </c>
      <c r="AJ310">
        <f>AI310*100/2.54</f>
        <v>51.08683326327211</v>
      </c>
    </row>
    <row r="311" spans="10:13" ht="12.75">
      <c r="J311" t="s">
        <v>331</v>
      </c>
      <c r="K311">
        <f>((J115-J92)^2+(K115-K92)^2+(L115-L92)^2)^0.5-K$302</f>
        <v>0.0002772469819864454</v>
      </c>
      <c r="L311">
        <f t="shared" si="450"/>
        <v>0.010915235511277377</v>
      </c>
      <c r="M311" t="str">
        <f t="shared" si="451"/>
        <v>gap</v>
      </c>
    </row>
    <row r="312" spans="10:36" ht="12.75">
      <c r="J312" t="s">
        <v>332</v>
      </c>
      <c r="K312">
        <f>((J61-J92)^2+(K61-K92)^2+(L61-L92)^2)^0.5-K$302</f>
        <v>0.00027724699950898435</v>
      </c>
      <c r="L312">
        <f t="shared" si="450"/>
        <v>0.010915236201141116</v>
      </c>
      <c r="M312" t="str">
        <f t="shared" si="451"/>
        <v>gap</v>
      </c>
      <c r="AH312" t="s">
        <v>269</v>
      </c>
      <c r="AI312">
        <f>((Z190-Z203)^2+(AA190-AA203)^2+(AB190-AB203)^2)^0.5</f>
        <v>1.7991364907424217</v>
      </c>
      <c r="AJ312">
        <f>AI312*100/2.54</f>
        <v>70.83214530481975</v>
      </c>
    </row>
    <row r="313" spans="10:35" ht="12.75">
      <c r="J313" t="s">
        <v>333</v>
      </c>
      <c r="K313">
        <f>((J62-J92)^2+(K62-K92)^2+(L62-L92)^2)^0.5-K$302</f>
        <v>0.001692622535340249</v>
      </c>
      <c r="L313">
        <f t="shared" si="450"/>
        <v>0.06663868249371059</v>
      </c>
      <c r="M313" t="str">
        <f t="shared" si="451"/>
        <v>gap</v>
      </c>
      <c r="AI313">
        <f>((81.54366-81.85403)^2+(256.707-257.913)^2+(0-25.91093)^2)^0.5</f>
        <v>25.94083766962432</v>
      </c>
    </row>
    <row r="314" spans="10:13" ht="12.75">
      <c r="J314" t="s">
        <v>334</v>
      </c>
      <c r="K314">
        <f>((J60-J79)^2+(K60-K79)^2+(L60-L79)^2)^0.5-K$302</f>
        <v>0.0001542180215057254</v>
      </c>
      <c r="L314">
        <f t="shared" si="450"/>
        <v>0.0060715756498317085</v>
      </c>
      <c r="M314" t="str">
        <f t="shared" si="451"/>
        <v>gap</v>
      </c>
    </row>
    <row r="315" spans="10:13" ht="12.75">
      <c r="J315" t="s">
        <v>335</v>
      </c>
      <c r="K315">
        <f>((J65-J79)^2+(K65-K79)^2+(L65-L79)^2)^0.5-K$302</f>
        <v>0.003773020218578782</v>
      </c>
      <c r="L315">
        <f t="shared" si="450"/>
        <v>0.14854410309365285</v>
      </c>
      <c r="M315" t="str">
        <f t="shared" si="451"/>
        <v>gap</v>
      </c>
    </row>
    <row r="316" spans="10:13" ht="12.75">
      <c r="J316" t="s">
        <v>336</v>
      </c>
      <c r="K316">
        <f>((J116-J79)^2+(K116-K79)^2+(L116-L79)^2)^0.5-K$302</f>
        <v>0.0001542179997801041</v>
      </c>
      <c r="L316">
        <f t="shared" si="450"/>
        <v>0.006071574794492287</v>
      </c>
      <c r="M316" t="str">
        <f t="shared" si="451"/>
        <v>gap</v>
      </c>
    </row>
    <row r="317" spans="10:13" ht="12.75">
      <c r="J317" t="s">
        <v>340</v>
      </c>
      <c r="K317">
        <f>((J101-J79)^2+(K101-K79)^2+(L101-L79)^2)^0.5-K$302</f>
        <v>0.003127351926721089</v>
      </c>
      <c r="L317">
        <f t="shared" si="450"/>
        <v>0.12312409160319249</v>
      </c>
      <c r="M317" t="str">
        <f t="shared" si="451"/>
        <v>gap</v>
      </c>
    </row>
    <row r="318" spans="10:13" ht="12.75">
      <c r="J318" t="s">
        <v>337</v>
      </c>
      <c r="K318">
        <f>((J117-J79)^2+(K117-K79)^2+(L117-L79)^2)^0.5-K$302</f>
        <v>0.003773018482145729</v>
      </c>
      <c r="L318">
        <f t="shared" si="450"/>
        <v>0.14854403473014682</v>
      </c>
      <c r="M318" t="str">
        <f t="shared" si="451"/>
        <v>gap</v>
      </c>
    </row>
    <row r="319" spans="10:13" ht="12.75">
      <c r="J319" t="s">
        <v>338</v>
      </c>
      <c r="K319">
        <f>((J116-J66)^2+(K116-K66)^2+(L116-L66)^2)^0.5-K$302</f>
        <v>0.0074272261133996875</v>
      </c>
      <c r="L319">
        <f t="shared" si="450"/>
        <v>0.2924104769054995</v>
      </c>
      <c r="M319" t="str">
        <f t="shared" si="451"/>
        <v>gap</v>
      </c>
    </row>
    <row r="320" spans="10:13" ht="12.75">
      <c r="J320" t="s">
        <v>339</v>
      </c>
      <c r="K320">
        <f>((J115-J66)^2+(K115-K66)^2+(L115-L66)^2)^0.5-K$302</f>
        <v>0.0060029679682155335</v>
      </c>
      <c r="L320">
        <f t="shared" si="450"/>
        <v>0.2363373215832887</v>
      </c>
      <c r="M320" t="str">
        <f t="shared" si="451"/>
        <v>gap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cease</dc:creator>
  <cp:keywords/>
  <dc:description/>
  <cp:lastModifiedBy>cease</cp:lastModifiedBy>
  <cp:lastPrinted>2001-08-02T13:49:20Z</cp:lastPrinted>
  <dcterms:created xsi:type="dcterms:W3CDTF">2001-08-02T13:12:49Z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