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chartsheets/sheet1.xml" ContentType="application/vnd.openxmlformats-officedocument.spreadsheetml.chart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72" yWindow="216" windowWidth="14232" windowHeight="4260" tabRatio="803" activeTab="1"/>
  </bookViews>
  <sheets>
    <sheet name="Directions-Update log" sheetId="1" r:id="rId1"/>
    <sheet name="Input form" sheetId="2" r:id="rId2"/>
    <sheet name="Sheet1" sheetId="3" r:id="rId3"/>
    <sheet name="D2887 curve fit" sheetId="4" r:id="rId4"/>
    <sheet name="Carbon Blend Data" sheetId="5" r:id="rId5"/>
    <sheet name="Equiv ratio" sheetId="6" r:id="rId6"/>
    <sheet name="Antoine cffnts" sheetId="7" r:id="rId7"/>
    <sheet name="Fuel Distillation Curves" sheetId="8" r:id="rId8"/>
    <sheet name="Individual Fuel Blends" sheetId="9" r:id="rId9"/>
  </sheets>
  <definedNames>
    <definedName name="sencount" hidden="1">1</definedName>
    <definedName name="solver_adj" localSheetId="6" hidden="1">'Antoine cffnts'!$Z$3:$Z$4</definedName>
    <definedName name="solver_adj" localSheetId="3" hidden="1">'D2887 curve fit'!$D$3:$D$4</definedName>
    <definedName name="solver_cvg" localSheetId="6" hidden="1">0.001</definedName>
    <definedName name="solver_cvg" localSheetId="3" hidden="1">0.0001</definedName>
    <definedName name="solver_drv" localSheetId="6" hidden="1">1</definedName>
    <definedName name="solver_drv" localSheetId="3" hidden="1">1</definedName>
    <definedName name="solver_est" localSheetId="6" hidden="1">1</definedName>
    <definedName name="solver_est" localSheetId="3" hidden="1">1</definedName>
    <definedName name="solver_itr" localSheetId="6" hidden="1">100</definedName>
    <definedName name="solver_itr" localSheetId="3" hidden="1">100</definedName>
    <definedName name="solver_lhs1" localSheetId="3" hidden="1">'D2887 curve fit'!$E$46</definedName>
    <definedName name="solver_lin" localSheetId="6" hidden="1">2</definedName>
    <definedName name="solver_lin" localSheetId="3" hidden="1">2</definedName>
    <definedName name="solver_neg" localSheetId="6" hidden="1">2</definedName>
    <definedName name="solver_neg" localSheetId="3" hidden="1">2</definedName>
    <definedName name="solver_num" localSheetId="6" hidden="1">0</definedName>
    <definedName name="solver_num" localSheetId="3" hidden="1">1</definedName>
    <definedName name="solver_nwt" localSheetId="6" hidden="1">1</definedName>
    <definedName name="solver_nwt" localSheetId="3" hidden="1">1</definedName>
    <definedName name="solver_opt" localSheetId="6" hidden="1">'Antoine cffnts'!$Z$6</definedName>
    <definedName name="solver_opt" localSheetId="3" hidden="1">'D2887 curve fit'!$F$3</definedName>
    <definedName name="solver_pre" localSheetId="6" hidden="1">0.000001</definedName>
    <definedName name="solver_pre" localSheetId="3" hidden="1">0.000001</definedName>
    <definedName name="solver_rel1" localSheetId="3" hidden="1">2</definedName>
    <definedName name="solver_rhs1" localSheetId="3" hidden="1">0</definedName>
    <definedName name="solver_scl" localSheetId="6" hidden="1">2</definedName>
    <definedName name="solver_scl" localSheetId="3" hidden="1">2</definedName>
    <definedName name="solver_sho" localSheetId="6" hidden="1">2</definedName>
    <definedName name="solver_sho" localSheetId="3" hidden="1">2</definedName>
    <definedName name="solver_tim" localSheetId="6" hidden="1">100</definedName>
    <definedName name="solver_tim" localSheetId="3" hidden="1">100</definedName>
    <definedName name="solver_tol" localSheetId="6" hidden="1">0.05</definedName>
    <definedName name="solver_tol" localSheetId="3" hidden="1">0.05</definedName>
    <definedName name="solver_typ" localSheetId="6" hidden="1">2</definedName>
    <definedName name="solver_typ" localSheetId="3" hidden="1">2</definedName>
    <definedName name="solver_val" localSheetId="6" hidden="1">0</definedName>
    <definedName name="solver_val" localSheetId="3" hidden="1">0</definedName>
  </definedNames>
  <calcPr fullCalcOnLoad="1"/>
</workbook>
</file>

<file path=xl/comments2.xml><?xml version="1.0" encoding="utf-8"?>
<comments xmlns="http://schemas.openxmlformats.org/spreadsheetml/2006/main">
  <authors>
    <author>NM117NIT</author>
  </authors>
  <commentList>
    <comment ref="G32" authorId="0">
      <text>
        <r>
          <rPr>
            <b/>
            <sz val="8"/>
            <rFont val="Tahoma"/>
            <family val="0"/>
          </rPr>
          <t>NM117NIT:</t>
        </r>
        <r>
          <rPr>
            <sz val="8"/>
            <rFont val="Tahoma"/>
            <family val="0"/>
          </rPr>
          <t xml:space="preserve">
</t>
        </r>
        <r>
          <rPr>
            <sz val="12"/>
            <rFont val="Tahoma"/>
            <family val="2"/>
          </rPr>
          <t>This is the computed FAR for a stoichiometric mixture. This can be plugged into Cell J27 and the "find temp" button clicked to get the temperature at which the fuel vapor is stoichiometric.</t>
        </r>
      </text>
    </comment>
    <comment ref="H9" authorId="0">
      <text>
        <r>
          <rPr>
            <b/>
            <sz val="8"/>
            <rFont val="Tahoma"/>
            <family val="0"/>
          </rPr>
          <t>NM117NIT:</t>
        </r>
        <r>
          <rPr>
            <sz val="8"/>
            <rFont val="Tahoma"/>
            <family val="0"/>
          </rPr>
          <t xml:space="preserve">
</t>
        </r>
        <r>
          <rPr>
            <sz val="12"/>
            <rFont val="Tahoma"/>
            <family val="2"/>
          </rPr>
          <t xml:space="preserve">These values define the distillation curve for the fuel. Change the values to drive flash point up or down. The range of 1 sigma values for real fuels is from 40 to 90. </t>
        </r>
      </text>
    </comment>
    <comment ref="H14" authorId="0">
      <text>
        <r>
          <rPr>
            <b/>
            <sz val="8"/>
            <rFont val="Tahoma"/>
            <family val="0"/>
          </rPr>
          <t>NM117NIT:</t>
        </r>
        <r>
          <rPr>
            <sz val="8"/>
            <rFont val="Tahoma"/>
            <family val="0"/>
          </rPr>
          <t xml:space="preserve">
This should be 1.00 if there is no fuel mixing, and the program will use just the Private Brew" fuel. This is the normal way to run.</t>
        </r>
      </text>
    </comment>
    <comment ref="F19" authorId="0">
      <text>
        <r>
          <rPr>
            <b/>
            <sz val="8"/>
            <rFont val="Tahoma"/>
            <family val="0"/>
          </rPr>
          <t>NM117NIT:</t>
        </r>
        <r>
          <rPr>
            <sz val="8"/>
            <rFont val="Tahoma"/>
            <family val="0"/>
          </rPr>
          <t xml:space="preserve">
</t>
        </r>
        <r>
          <rPr>
            <sz val="12"/>
            <rFont val="Tahoma"/>
            <family val="2"/>
          </rPr>
          <t>Flammability limits as a function of altitude,  expressed as FAR by weight</t>
        </r>
      </text>
    </comment>
    <comment ref="F20" authorId="0">
      <text>
        <r>
          <rPr>
            <b/>
            <sz val="8"/>
            <rFont val="Tahoma"/>
            <family val="0"/>
          </rPr>
          <t>NM117NIT:</t>
        </r>
        <r>
          <rPr>
            <sz val="8"/>
            <rFont val="Tahoma"/>
            <family val="0"/>
          </rPr>
          <t xml:space="preserve">
</t>
        </r>
        <r>
          <rPr>
            <sz val="12"/>
            <rFont val="Tahoma"/>
            <family val="2"/>
          </rPr>
          <t>Computed FAR by weight for the conditions specified</t>
        </r>
      </text>
    </comment>
    <comment ref="F21" authorId="0">
      <text>
        <r>
          <rPr>
            <b/>
            <sz val="8"/>
            <rFont val="Tahoma"/>
            <family val="0"/>
          </rPr>
          <t>NM117NIT:</t>
        </r>
        <r>
          <rPr>
            <sz val="8"/>
            <rFont val="Tahoma"/>
            <family val="0"/>
          </rPr>
          <t xml:space="preserve">
</t>
        </r>
        <r>
          <rPr>
            <sz val="12"/>
            <rFont val="Tahoma"/>
            <family val="2"/>
          </rPr>
          <t>Vapor pressure of the evaporated fuel</t>
        </r>
      </text>
    </comment>
    <comment ref="F24" authorId="0">
      <text>
        <r>
          <rPr>
            <b/>
            <sz val="8"/>
            <rFont val="Tahoma"/>
            <family val="0"/>
          </rPr>
          <t>NM117NIT:</t>
        </r>
        <r>
          <rPr>
            <sz val="8"/>
            <rFont val="Tahoma"/>
            <family val="0"/>
          </rPr>
          <t xml:space="preserve">
</t>
        </r>
        <r>
          <rPr>
            <sz val="12"/>
            <rFont val="Tahoma"/>
            <family val="2"/>
          </rPr>
          <t>Expressing fuel load in the tankk in Kg/M^3, a full tank is going to be around 800.</t>
        </r>
      </text>
    </comment>
    <comment ref="F25" authorId="0">
      <text>
        <r>
          <rPr>
            <b/>
            <sz val="8"/>
            <rFont val="Tahoma"/>
            <family val="0"/>
          </rPr>
          <t>NM117NIT:</t>
        </r>
        <r>
          <rPr>
            <sz val="8"/>
            <rFont val="Tahoma"/>
            <family val="0"/>
          </rPr>
          <t xml:space="preserve">
</t>
        </r>
        <r>
          <rPr>
            <sz val="12"/>
            <rFont val="Tahoma"/>
            <family val="2"/>
          </rPr>
          <t>Fuel vapor expressed in parts per million by volume</t>
        </r>
      </text>
    </comment>
    <comment ref="F26" authorId="0">
      <text>
        <r>
          <rPr>
            <b/>
            <sz val="8"/>
            <rFont val="Tahoma"/>
            <family val="0"/>
          </rPr>
          <t>NM117NIT:</t>
        </r>
        <r>
          <rPr>
            <sz val="8"/>
            <rFont val="Tahoma"/>
            <family val="0"/>
          </rPr>
          <t xml:space="preserve">
</t>
        </r>
        <r>
          <rPr>
            <sz val="12"/>
            <rFont val="Tahoma"/>
            <family val="2"/>
          </rPr>
          <t>Ratio of the FAR computed to the stoichiometric FAR, both by weight.</t>
        </r>
      </text>
    </comment>
    <comment ref="F27" authorId="0">
      <text>
        <r>
          <rPr>
            <b/>
            <sz val="8"/>
            <rFont val="Tahoma"/>
            <family val="0"/>
          </rPr>
          <t>NM117NIT:</t>
        </r>
        <r>
          <rPr>
            <sz val="8"/>
            <rFont val="Tahoma"/>
            <family val="0"/>
          </rPr>
          <t xml:space="preserve">
</t>
        </r>
        <r>
          <rPr>
            <sz val="12"/>
            <rFont val="Tahoma"/>
            <family val="2"/>
          </rPr>
          <t>Ratio of Hydrogen to Carbon molecules in the vapor</t>
        </r>
      </text>
    </comment>
    <comment ref="F28" authorId="0">
      <text>
        <r>
          <rPr>
            <b/>
            <sz val="8"/>
            <rFont val="Tahoma"/>
            <family val="0"/>
          </rPr>
          <t>NM117NIT:</t>
        </r>
        <r>
          <rPr>
            <sz val="8"/>
            <rFont val="Tahoma"/>
            <family val="0"/>
          </rPr>
          <t xml:space="preserve">
</t>
        </r>
        <r>
          <rPr>
            <sz val="12"/>
            <rFont val="Tahoma"/>
            <family val="2"/>
          </rPr>
          <t>Conversion of the FAR to PPM of C3H8 for use in hydrocarbon analysers that are calibrated with C3H8.</t>
        </r>
      </text>
    </comment>
    <comment ref="F29" authorId="0">
      <text>
        <r>
          <rPr>
            <b/>
            <sz val="8"/>
            <rFont val="Tahoma"/>
            <family val="0"/>
          </rPr>
          <t>NM117NIT:</t>
        </r>
        <r>
          <rPr>
            <sz val="8"/>
            <rFont val="Tahoma"/>
            <family val="0"/>
          </rPr>
          <t xml:space="preserve">
</t>
        </r>
        <r>
          <rPr>
            <sz val="12"/>
            <rFont val="Tahoma"/>
            <family val="2"/>
          </rPr>
          <t xml:space="preserve">Vapor pressure of the fuel expressed in mbar </t>
        </r>
        <r>
          <rPr>
            <sz val="8"/>
            <rFont val="Tahoma"/>
            <family val="0"/>
          </rPr>
          <t xml:space="preserve">
</t>
        </r>
      </text>
    </comment>
    <comment ref="H27" authorId="0">
      <text>
        <r>
          <rPr>
            <b/>
            <sz val="8"/>
            <rFont val="Tahoma"/>
            <family val="0"/>
          </rPr>
          <t>NM117NIT:</t>
        </r>
        <r>
          <rPr>
            <sz val="8"/>
            <rFont val="Tahoma"/>
            <family val="0"/>
          </rPr>
          <t xml:space="preserve">
</t>
        </r>
        <r>
          <rPr>
            <sz val="12"/>
            <rFont val="Tahoma"/>
            <family val="2"/>
          </rPr>
          <t>Enter a target FAR here to let the program iterate to a solution that matches the target FAR</t>
        </r>
      </text>
    </comment>
    <comment ref="H28" authorId="0">
      <text>
        <r>
          <rPr>
            <b/>
            <sz val="8"/>
            <rFont val="Tahoma"/>
            <family val="0"/>
          </rPr>
          <t>NM117NIT:</t>
        </r>
        <r>
          <rPr>
            <sz val="8"/>
            <rFont val="Tahoma"/>
            <family val="0"/>
          </rPr>
          <t xml:space="preserve">
</t>
        </r>
        <r>
          <rPr>
            <sz val="12"/>
            <rFont val="Tahoma"/>
            <family val="2"/>
          </rPr>
          <t>click the "find temp" button to solve for a temperature that gives the target FAR for the fuel in use and the altitude and load conditions input in cells c20 and c21</t>
        </r>
      </text>
    </comment>
    <comment ref="H29" authorId="0">
      <text>
        <r>
          <rPr>
            <b/>
            <sz val="8"/>
            <rFont val="Tahoma"/>
            <family val="0"/>
          </rPr>
          <t>NM117NIT:</t>
        </r>
        <r>
          <rPr>
            <sz val="8"/>
            <rFont val="Tahoma"/>
            <family val="0"/>
          </rPr>
          <t xml:space="preserve">
</t>
        </r>
        <r>
          <rPr>
            <sz val="12"/>
            <rFont val="Tahoma"/>
            <family val="2"/>
          </rPr>
          <t>For the target FAR and the 1 sigma value in Cell H11, and the input temperature, altitude and fuel load, click the "find 50% temp" button to find the 50% temperature of a fuel that will match the input condition</t>
        </r>
      </text>
    </comment>
    <comment ref="H30" authorId="0">
      <text>
        <r>
          <rPr>
            <b/>
            <sz val="8"/>
            <rFont val="Tahoma"/>
            <family val="0"/>
          </rPr>
          <t>NM117NIT:</t>
        </r>
        <r>
          <rPr>
            <sz val="8"/>
            <rFont val="Tahoma"/>
            <family val="0"/>
          </rPr>
          <t xml:space="preserve">
</t>
        </r>
        <r>
          <rPr>
            <sz val="12"/>
            <rFont val="Tahoma"/>
            <family val="2"/>
          </rPr>
          <t xml:space="preserve">For the target FAR and the 50%  value in CellH11, plus the input temperature, altitude and fuel load, click the "find  one sigma" button to find the 1 sigma value of a fuel that will match the input conditions </t>
        </r>
      </text>
    </comment>
    <comment ref="K28" authorId="0">
      <text>
        <r>
          <rPr>
            <b/>
            <sz val="8"/>
            <rFont val="Tahoma"/>
            <family val="0"/>
          </rPr>
          <t>NM117NIT:</t>
        </r>
        <r>
          <rPr>
            <sz val="8"/>
            <rFont val="Tahoma"/>
            <family val="0"/>
          </rPr>
          <t xml:space="preserve">
</t>
        </r>
        <r>
          <rPr>
            <sz val="12"/>
            <rFont val="Tahoma"/>
            <family val="2"/>
          </rPr>
          <t>These cells allow the user to input a first guess at the correct solution. This aids the iteration process.</t>
        </r>
      </text>
    </comment>
  </commentList>
</comments>
</file>

<file path=xl/comments4.xml><?xml version="1.0" encoding="utf-8"?>
<comments xmlns="http://schemas.openxmlformats.org/spreadsheetml/2006/main">
  <authors>
    <author>NM117NIT</author>
  </authors>
  <commentList>
    <comment ref="F1" authorId="0">
      <text>
        <r>
          <rPr>
            <b/>
            <sz val="8"/>
            <rFont val="Tahoma"/>
            <family val="0"/>
          </rPr>
          <t>NM117NIT:</t>
        </r>
        <r>
          <rPr>
            <sz val="8"/>
            <rFont val="Tahoma"/>
            <family val="0"/>
          </rPr>
          <t xml:space="preserve">
</t>
        </r>
        <r>
          <rPr>
            <sz val="12"/>
            <rFont val="Tahoma"/>
            <family val="2"/>
          </rPr>
          <t>Curve fitting the D2887 data:
Enter the data from D2887 in column C.
Check if you have the Solver add-in loaded in excel. Go to Tools and click on solver. IF it's not there, click on Add-ons and select Solver from the add-on list. It should show up under Tools after that.
Open Solver, set the target cell to F3 (mouse click)
Set goal to minimium (mouse click)
Set changing Cells to D3 and D4. (highlight with mouse and click)
Run solver. 
The answer should be a good fit to the D2887 data.
The curve fit generates a Gaussian curve with the 50% value in Cell C3 and the +/- 1 sigma value in Cell C4.
To get the best fit to the fuel, move the two values to the "Private Brew" fuel on the "input form" sheet, Cells H11 and H12.
On the input form sheet, set altitude to zero, fuel load to 60% and target FAR (Cell J27) to 0.044. This is the Flash Point FAR.
Click the "Find Temp" button. The resultant FP temp will show in the temp cell, C19.
If this is not the measured FP, you can try varying the 50% value or the 1 sigma value to get a better fit.
To do this you enter the real FP in the temp cell, C19, the target FAR stays at 0.044, now click the find 50% temp button. The program will find a 50% temp to match the FP. You can do the same thing for the 1 sigma value, by resetting the 50% value to the original value from the curvefit, and change the 1 sigma value to get a good fit to FP. You can play with both values and compare to the D2887 curve to find the best fit that looks like the D2887 curve and gives the correct FP. Once you have that, you can play with temperature and altitude and fuel load to get FAR and PPM etc.</t>
        </r>
        <r>
          <rPr>
            <sz val="8"/>
            <rFont val="Tahoma"/>
            <family val="0"/>
          </rPr>
          <t xml:space="preserve">
</t>
        </r>
      </text>
    </comment>
    <comment ref="C5" authorId="0">
      <text>
        <r>
          <rPr>
            <b/>
            <sz val="8"/>
            <rFont val="Tahoma"/>
            <family val="0"/>
          </rPr>
          <t>NM117NIT:</t>
        </r>
        <r>
          <rPr>
            <sz val="8"/>
            <rFont val="Tahoma"/>
            <family val="0"/>
          </rPr>
          <t xml:space="preserve">
</t>
        </r>
        <r>
          <rPr>
            <sz val="12"/>
            <rFont val="Tahoma"/>
            <family val="2"/>
          </rPr>
          <t>Input the test data from the D2887 distillation test here.</t>
        </r>
      </text>
    </comment>
  </commentList>
</comments>
</file>

<file path=xl/sharedStrings.xml><?xml version="1.0" encoding="utf-8"?>
<sst xmlns="http://schemas.openxmlformats.org/spreadsheetml/2006/main" count="479" uniqueCount="312">
  <si>
    <t xml:space="preserve"> Cell F17 allows the user to turn off the Gaussian Distribution and manually enter a weight distribution for a fuel. This is useful when dealing with a lab blend of hydrocarbons. </t>
  </si>
  <si>
    <t xml:space="preserve">To Use: Enter the Fuel Properties and Tank conditions in yellow cells, </t>
  </si>
  <si>
    <t>%</t>
  </si>
  <si>
    <t>M^3</t>
  </si>
  <si>
    <t>psi</t>
  </si>
  <si>
    <t>kg/m^3</t>
  </si>
  <si>
    <t>Mass Loading</t>
  </si>
  <si>
    <t>psia</t>
  </si>
  <si>
    <t>vapor</t>
  </si>
  <si>
    <t>MW</t>
  </si>
  <si>
    <t>Temperature</t>
  </si>
  <si>
    <t>gms</t>
  </si>
  <si>
    <t>% in slice</t>
  </si>
  <si>
    <t>Pressure</t>
  </si>
  <si>
    <t>Tank size</t>
  </si>
  <si>
    <t>Fuel weight</t>
  </si>
  <si>
    <t>Deg F</t>
  </si>
  <si>
    <t>grams</t>
  </si>
  <si>
    <t>Kg/M^3</t>
  </si>
  <si>
    <t>wt in</t>
  </si>
  <si>
    <t>slice</t>
  </si>
  <si>
    <t>Check weight</t>
  </si>
  <si>
    <t>pressure</t>
  </si>
  <si>
    <t xml:space="preserve">Temp K </t>
  </si>
  <si>
    <t xml:space="preserve">Mol </t>
  </si>
  <si>
    <t>Fraction</t>
  </si>
  <si>
    <t>partial</t>
  </si>
  <si>
    <t>Vapor Press.</t>
  </si>
  <si>
    <t>Fuel</t>
  </si>
  <si>
    <t>Evaporated</t>
  </si>
  <si>
    <t>Density</t>
  </si>
  <si>
    <t>lb/gal @60F</t>
  </si>
  <si>
    <t>kg/M^3@60F</t>
  </si>
  <si>
    <t>spec vol</t>
  </si>
  <si>
    <t>M^3/kg</t>
  </si>
  <si>
    <t>Ullage Volume</t>
  </si>
  <si>
    <t>Univ. Gas Constant</t>
  </si>
  <si>
    <t>psi*M^3/K</t>
  </si>
  <si>
    <t>Weight of Vapor</t>
  </si>
  <si>
    <t>Mol Weight of Vapor</t>
  </si>
  <si>
    <t>Weight of Air</t>
  </si>
  <si>
    <t>Fuel Air Ratio</t>
  </si>
  <si>
    <t>/slice</t>
  </si>
  <si>
    <t>Total Mols</t>
  </si>
  <si>
    <t>mol</t>
  </si>
  <si>
    <t>Initial</t>
  </si>
  <si>
    <t>Final</t>
  </si>
  <si>
    <t>wt</t>
  </si>
  <si>
    <t>evap.</t>
  </si>
  <si>
    <t>from slice</t>
  </si>
  <si>
    <t>error</t>
  </si>
  <si>
    <t>evaporated</t>
  </si>
  <si>
    <t>Fuel Weight</t>
  </si>
  <si>
    <t>KG</t>
  </si>
  <si>
    <t xml:space="preserve">Final </t>
  </si>
  <si>
    <t>Liquid</t>
  </si>
  <si>
    <t>weight</t>
  </si>
  <si>
    <t>Mol/slice</t>
  </si>
  <si>
    <t>final total</t>
  </si>
  <si>
    <t>mols</t>
  </si>
  <si>
    <t>estimate of</t>
  </si>
  <si>
    <t>Final Mols</t>
  </si>
  <si>
    <t>Input Conditions</t>
  </si>
  <si>
    <t>Results</t>
  </si>
  <si>
    <t>Warning</t>
  </si>
  <si>
    <t>ln(%evap)</t>
  </si>
  <si>
    <t>vapor phase</t>
  </si>
  <si>
    <t>g</t>
  </si>
  <si>
    <t>carbon #</t>
  </si>
  <si>
    <t>fraction</t>
  </si>
  <si>
    <t>total mols</t>
  </si>
  <si>
    <t>Carbon</t>
  </si>
  <si>
    <t>Hydrogen</t>
  </si>
  <si>
    <t>A</t>
  </si>
  <si>
    <t>B</t>
  </si>
  <si>
    <t>C</t>
  </si>
  <si>
    <t>deg F</t>
  </si>
  <si>
    <t>Deg K</t>
  </si>
  <si>
    <t>Log 10(P)</t>
  </si>
  <si>
    <t>P (bar)</t>
  </si>
  <si>
    <t>P(psi)</t>
  </si>
  <si>
    <t>Antoine's Coefficients</t>
  </si>
  <si>
    <t>NIST Chemical Data Web site.</t>
  </si>
  <si>
    <t>Carbon Content</t>
  </si>
  <si>
    <t>carbon</t>
  </si>
  <si>
    <t>vp total=</t>
  </si>
  <si>
    <t>Mol wt of Vapor</t>
  </si>
  <si>
    <t>This may occur at very low mass loadings ( below 0.05 kg/m^3)</t>
  </si>
  <si>
    <t>A flag gets set if this  happens</t>
  </si>
  <si>
    <t>% full</t>
  </si>
  <si>
    <t>JP-5</t>
  </si>
  <si>
    <t>% wt in</t>
  </si>
  <si>
    <t>distribution</t>
  </si>
  <si>
    <t>blend</t>
  </si>
  <si>
    <t>Std Dev</t>
  </si>
  <si>
    <t>Fuel Properties</t>
  </si>
  <si>
    <t>Typical Fuels (for Reference)</t>
  </si>
  <si>
    <t>Avgas</t>
  </si>
  <si>
    <t>bucket</t>
  </si>
  <si>
    <t>% of total</t>
  </si>
  <si>
    <t>If the temperature is too high, a flag is set</t>
  </si>
  <si>
    <t>Comments welcome by author, Ivor Thomas, ANM117N, ivor.thomas@faa.gov</t>
  </si>
  <si>
    <t>of total</t>
  </si>
  <si>
    <r>
      <t>Enter</t>
    </r>
    <r>
      <rPr>
        <b/>
        <sz val="12"/>
        <color indexed="14"/>
        <rFont val="Arial"/>
        <family val="2"/>
      </rPr>
      <t xml:space="preserve"> input data fields ( Fuel data and tank conditions)</t>
    </r>
    <r>
      <rPr>
        <b/>
        <sz val="12"/>
        <rFont val="Arial"/>
        <family val="2"/>
      </rPr>
      <t xml:space="preserve"> and run Contol Q Macro</t>
    </r>
  </si>
  <si>
    <t>JetA/JP 8</t>
  </si>
  <si>
    <t>Jet B/JP 4</t>
  </si>
  <si>
    <t>TS-1(Russian)</t>
  </si>
  <si>
    <t>% Evaporated</t>
  </si>
  <si>
    <t>=convergency check, should be very close to 1.000</t>
  </si>
  <si>
    <t>100% evaporation solution</t>
  </si>
  <si>
    <t>100% evaporation vapor pressure=</t>
  </si>
  <si>
    <t xml:space="preserve">The vapor pressure will be lower than this but asymtopic to this value as the % evaporated approaches 100% </t>
  </si>
  <si>
    <t>100% evaporation Fuel Air Ratio=</t>
  </si>
  <si>
    <t>Use100% values as a check at very low fuel volumes or if % evaporated is over 99.5%</t>
  </si>
  <si>
    <t>% evaporated</t>
  </si>
  <si>
    <t>altitude=</t>
  </si>
  <si>
    <t>ft       =</t>
  </si>
  <si>
    <t>delta=</t>
  </si>
  <si>
    <t>=</t>
  </si>
  <si>
    <t>ft</t>
  </si>
  <si>
    <t>delta</t>
  </si>
  <si>
    <t>Reference Conversions</t>
  </si>
  <si>
    <t>FAR</t>
  </si>
  <si>
    <t>Actual</t>
  </si>
  <si>
    <t>Blend mixture eg 2 parts avgas, 6 parts jet A etc</t>
  </si>
  <si>
    <t>Blend</t>
  </si>
  <si>
    <t>JP 4</t>
  </si>
  <si>
    <t>TS 1</t>
  </si>
  <si>
    <t>Jet A</t>
  </si>
  <si>
    <t>JP5</t>
  </si>
  <si>
    <t>% in Blend</t>
  </si>
  <si>
    <t>AVGAS</t>
  </si>
  <si>
    <t>TS1</t>
  </si>
  <si>
    <t>JP 5</t>
  </si>
  <si>
    <t>Private Brew</t>
  </si>
  <si>
    <t>Final Result</t>
  </si>
  <si>
    <t>Private</t>
  </si>
  <si>
    <t>Brew</t>
  </si>
  <si>
    <t>Resultant % ages</t>
  </si>
  <si>
    <t>CARBON</t>
  </si>
  <si>
    <t>The "Private Brew" lets you</t>
  </si>
  <si>
    <t>try different values for a fuel.</t>
  </si>
  <si>
    <t>hydrogen</t>
  </si>
  <si>
    <t>correction for</t>
  </si>
  <si>
    <t xml:space="preserve">% weight </t>
  </si>
  <si>
    <t>Vapor</t>
  </si>
  <si>
    <t>mbar</t>
  </si>
  <si>
    <t xml:space="preserve">Alternatively, to do a manual blend, enter yes in cell F17, </t>
  </si>
  <si>
    <t>Blender at cells BI1-BL25</t>
  </si>
  <si>
    <t>Manual Blender</t>
  </si>
  <si>
    <t>Parts in blend</t>
  </si>
  <si>
    <t>Resultant</t>
  </si>
  <si>
    <t>% by wt.</t>
  </si>
  <si>
    <t>Input desired</t>
  </si>
  <si>
    <t>Don’t Forget to run control q macro</t>
  </si>
  <si>
    <t>after inputting desired blend</t>
  </si>
  <si>
    <t>KG/M^3</t>
  </si>
  <si>
    <t>psi=</t>
  </si>
  <si>
    <t>mbar=</t>
  </si>
  <si>
    <t>Kg/M^3=</t>
  </si>
  <si>
    <t>Fuel Load</t>
  </si>
  <si>
    <t>% wt.=</t>
  </si>
  <si>
    <t>Deg C=</t>
  </si>
  <si>
    <t xml:space="preserve">Temperature </t>
  </si>
  <si>
    <t>Deg F=</t>
  </si>
  <si>
    <t>Deg C</t>
  </si>
  <si>
    <t>Boiling</t>
  </si>
  <si>
    <t>Point</t>
  </si>
  <si>
    <t>Curve fit</t>
  </si>
  <si>
    <t>1/Deg K</t>
  </si>
  <si>
    <t>Carbon #</t>
  </si>
  <si>
    <t>Break</t>
  </si>
  <si>
    <t>Point K</t>
  </si>
  <si>
    <t>Boiling Pt</t>
  </si>
  <si>
    <t>no</t>
  </si>
  <si>
    <t>mols air</t>
  </si>
  <si>
    <t>mols fuel</t>
  </si>
  <si>
    <t>ppm volume</t>
  </si>
  <si>
    <t>Fuel PPM volume</t>
  </si>
  <si>
    <t>Calculation of Stoichiometric FAR</t>
  </si>
  <si>
    <t>O2 needed</t>
  </si>
  <si>
    <t>Weight</t>
  </si>
  <si>
    <t>Oxygen</t>
  </si>
  <si>
    <t>Nitrogen</t>
  </si>
  <si>
    <t>Mol wt</t>
  </si>
  <si>
    <t>cn</t>
  </si>
  <si>
    <t>Carbon m</t>
  </si>
  <si>
    <t>Hydrogen n</t>
  </si>
  <si>
    <t>N2 present</t>
  </si>
  <si>
    <t>Total</t>
  </si>
  <si>
    <t>Fuel Vapor</t>
  </si>
  <si>
    <t>wt. (gms)</t>
  </si>
  <si>
    <t>Air</t>
  </si>
  <si>
    <t>wt. gms</t>
  </si>
  <si>
    <t>FAR=</t>
  </si>
  <si>
    <t>Equivalency Ratio=</t>
  </si>
  <si>
    <t>Stoichiometric</t>
  </si>
  <si>
    <t>The program is set to stop if vapor pressure is near 0.002 psi</t>
  </si>
  <si>
    <t>Equivalency ratio</t>
  </si>
  <si>
    <t>gms H</t>
  </si>
  <si>
    <t>gms C</t>
  </si>
  <si>
    <t>H/C ratio=</t>
  </si>
  <si>
    <t>H/C Ratio=</t>
  </si>
  <si>
    <t>50% point</t>
  </si>
  <si>
    <t>Distillation</t>
  </si>
  <si>
    <t>% age in fuel</t>
  </si>
  <si>
    <t>Individual</t>
  </si>
  <si>
    <t>%age in Fuel</t>
  </si>
  <si>
    <t>50%  temp (Deg F) D 2887</t>
  </si>
  <si>
    <t xml:space="preserve">% full. </t>
  </si>
  <si>
    <t>Model based on  ASTM D2887 Distillation curves</t>
  </si>
  <si>
    <t>1 Sigma from 50% (Deg F)</t>
  </si>
  <si>
    <t xml:space="preserve">Occasionally a point may be off because of a failure to converge, </t>
  </si>
  <si>
    <t>Predicted</t>
  </si>
  <si>
    <t>Measured</t>
  </si>
  <si>
    <t>TC Fuel data</t>
  </si>
  <si>
    <t>Gold</t>
  </si>
  <si>
    <t>play</t>
  </si>
  <si>
    <t>Altitude</t>
  </si>
  <si>
    <t>BP K</t>
  </si>
  <si>
    <t>BP F</t>
  </si>
  <si>
    <t>1/K</t>
  </si>
  <si>
    <t>Cn</t>
  </si>
  <si>
    <t>fit K</t>
  </si>
  <si>
    <t>This spreadsheet is a model to predict fuel vapor pressure and hence Fuel Air Ratio (FAR) for a wide range of fuels and over a range of altitudes and temperatures and mass loadings.</t>
  </si>
  <si>
    <t xml:space="preserve">The model is based on two Physical laws, Rault's Law that states the vapor pressure of a compound mixed with other compounds is reduced by the mol fraction of the compound relative to the total mixture, and the universal ideal gas law PV=wtRT/Mol wt. </t>
  </si>
  <si>
    <t>The actual fuel characteristics were determined from the D2887 tests to be reasonably represented by a gaussian curve defined by a 50% temperature and a 1-sigma temperature to define the distillation curve about the 50% temperature.</t>
  </si>
  <si>
    <t>Operation of the Spreadsheet:</t>
  </si>
  <si>
    <t>Background to the Spreadsheet:</t>
  </si>
  <si>
    <t>Update Log :</t>
  </si>
  <si>
    <t>to solve for a given value of FAR,</t>
  </si>
  <si>
    <t>Enter FAR value</t>
  </si>
  <si>
    <t>First Guess</t>
  </si>
  <si>
    <t>Vapor Press-mbar</t>
  </si>
  <si>
    <t>Mol Fraction</t>
  </si>
  <si>
    <t>wt.</t>
  </si>
  <si>
    <t>Partial Presures</t>
  </si>
  <si>
    <t>Woodrow</t>
  </si>
  <si>
    <t>#344</t>
  </si>
  <si>
    <t xml:space="preserve">The second correction was to change the "cut" temperatures to better match the predicted vapor pressure to that of a number of test fuels analyzed for this purpose. </t>
  </si>
  <si>
    <t>This version has the "cut" temperatures adjusted to match the flash point of 11 test fuels using the assumption that the Flash point is a fixed FAR of 0.044.</t>
  </si>
  <si>
    <t>To find 50% distillation</t>
  </si>
  <si>
    <t>To Find 1 sigma value</t>
  </si>
  <si>
    <t>To FindTemp to give FAR</t>
  </si>
  <si>
    <r>
      <t xml:space="preserve">     </t>
    </r>
    <r>
      <rPr>
        <b/>
        <sz val="10"/>
        <rFont val="Arial"/>
        <family val="2"/>
      </rPr>
      <t xml:space="preserve"> Fuel Vapor Pressure Calculations:</t>
    </r>
  </si>
  <si>
    <t xml:space="preserve">The user enters a Desired FAR value on "Input form" Cell J27 and the tank pressure and fuel load in cells C20 and C21. </t>
  </si>
  <si>
    <r>
      <t>Similarly, if the user wants to find a 50% distillation temperature that gives a FAR value at a desired tank temperature, pressure and fuel load, the user enters tank data in cells C19,C20,C21 as usual, then the 1 sigma value in cell H12, a first guess for the 50% value in cell K29, and left clicks the button "</t>
    </r>
    <r>
      <rPr>
        <b/>
        <sz val="10"/>
        <rFont val="Arial"/>
        <family val="2"/>
      </rPr>
      <t>find 50%</t>
    </r>
    <r>
      <rPr>
        <sz val="10"/>
        <rFont val="Arial"/>
        <family val="0"/>
      </rPr>
      <t>". the macro will iterate to a solution.</t>
    </r>
  </si>
  <si>
    <t>Solvers have been added to let the user iterate on the key fuel properties to solve for a desired FAR.</t>
  </si>
  <si>
    <r>
      <t xml:space="preserve">Similarly, if the user wants to find a 1 sigma value that gives a FAR value at a desired tank temperature, pressure and fuel load, the user enters tank data in cells C19,C20,C21 as usual, then the 50% distillation value in cell H11, a first guess for the one sigma value in cell K30, and left clicks the button </t>
    </r>
    <r>
      <rPr>
        <b/>
        <sz val="10"/>
        <rFont val="Arial"/>
        <family val="2"/>
      </rPr>
      <t>"find 1 sigma</t>
    </r>
    <r>
      <rPr>
        <sz val="10"/>
        <rFont val="Arial"/>
        <family val="0"/>
      </rPr>
      <t>". the macro will iterate to a solution.</t>
    </r>
  </si>
  <si>
    <t>The model is no substitute for Engineering Common Sense</t>
  </si>
  <si>
    <r>
      <t>Cautions and Observations:</t>
    </r>
    <r>
      <rPr>
        <sz val="10"/>
        <color indexed="10"/>
        <rFont val="Arial"/>
        <family val="2"/>
      </rPr>
      <t xml:space="preserve">   The model uses a Curve fit through the distillation data to give an approximation of the FAR. A small amount of light ends can produce a major shift in FAR. For instance a 0.5% addition of Avgas can lower the Flash Point by 10 Deg F or more. If possible obtain the D2887 data </t>
    </r>
    <r>
      <rPr>
        <u val="single"/>
        <sz val="10"/>
        <color indexed="10"/>
        <rFont val="Arial"/>
        <family val="2"/>
      </rPr>
      <t>and</t>
    </r>
    <r>
      <rPr>
        <sz val="10"/>
        <color indexed="10"/>
        <rFont val="Arial"/>
        <family val="2"/>
      </rPr>
      <t xml:space="preserve"> the Flash Point of the fuel. You can then use both data sets to make minor corrections in the Gaussian curve fit to approximate the FP, either by moving the 50% point up or down, changing the 1 sigma value or even adding a small amount of light ends if the data suggests that would be appropriate.</t>
    </r>
  </si>
  <si>
    <t>The weight of compounds in each bucket was determined by using the ASTM D2887 distillation curve, and by "cutting" the distillation curve into sections, the weight of compounds in each bucket could be assigned. In reality the compounds in any one bucket are not all alcanes, and two corrections were introduced. The first was to decrease the hydrogen content of the compounds in any one bucket by an increasing value as the Carbon number increased. Thus the light compounds were assumed to be near CnH2n+2, the heavier groups were changes from CnH2+2, to CnH2n+c, where c was a correction factor and reduced the H value to less than 2 at the heavier buckets. This gave more realistic groupings and matched the Carbon-Hydrogen ratios reported for jet fuels.</t>
  </si>
  <si>
    <t>Since jet fuel comprises of several hundred compounds, a way of simplifying the analysis was needed. In the case of this model, it was decided to cut the fuel into a number of "buckets", using the Alcane boiling points as a guide, where all the compounds with a constant carbon number were placed in the same bucket. E.g., all the compounds with a C7 carbon number were assigned to the C7 bucket.  This simplified the model down to dealing with 19 buckets rather than several hundred buckets.</t>
  </si>
  <si>
    <r>
      <t>If the user wants to find the temperature that give that FAR, enter a first guess in Cell  K28, and left click the button "</t>
    </r>
    <r>
      <rPr>
        <b/>
        <sz val="10"/>
        <rFont val="Arial"/>
        <family val="2"/>
      </rPr>
      <t>Find temp</t>
    </r>
    <r>
      <rPr>
        <sz val="10"/>
        <rFont val="Arial"/>
        <family val="0"/>
      </rPr>
      <t>". The macro will run several times to iterate to a solution.</t>
    </r>
  </si>
  <si>
    <t>First Rule:  Save the original and play with a second copy.</t>
  </si>
  <si>
    <t xml:space="preserve">The program calculates the partial vapor pressure of each bucket by using the mol fraction of the liquid fuel in each bucket. Since the amount of fuel evaporated changes the mol fraction of the fuel that, in turn, changes the partial vapor pressure, an iteration process is used to calculate partial vapor pressure. Initially the partial vapor pressure is computed together with the weight of fuel needed to be evaporated to create that vapor pressure. The vapor pressure is then recomputed to allow for the mol fraction changes caused by the evaporation. This is repeated for each "bucket" and for the total fuel quantity to reach a stable set of values where the partial vapor pressures of each bucket is in balance with the amount evaporated and the resultant mol fractions.  One the partial pressures are known, the sum will give the vapor pressure of the fuel. By knowing the weight and mol weight of each bucket, the mol weight of the vapor can be calculated. The weight of air is calculated from the partial pressure, volume and temperature of the air in the tank,  and from this the FAR is calculated. </t>
  </si>
  <si>
    <t>Carbon blends, ie the weight in each bucket, both liquid and vapor, are plotted on the "Carbon Blend Data" sheet, and the distillation curves for the "Standard" fuels are on the "Fuel Distillation Curves" sheet.</t>
  </si>
  <si>
    <t>Altitude=</t>
  </si>
  <si>
    <t>ft.</t>
  </si>
  <si>
    <t>Temp (F)</t>
  </si>
  <si>
    <t>Corrected solving routine to allow entry of 0 Deg F as a guess :July 5th 2000</t>
  </si>
  <si>
    <t xml:space="preserve">Run Model by pressing "Run Model" Button </t>
  </si>
  <si>
    <t>Relative Humidity</t>
  </si>
  <si>
    <t>Antione Coefficients H20</t>
  </si>
  <si>
    <t>Water Partial Press.</t>
  </si>
  <si>
    <t>Correct for RH</t>
  </si>
  <si>
    <t>Air Pressure(Corr RH)</t>
  </si>
  <si>
    <t>Added Water vapor to the model as a Relativer Humidity Input July 6th 2000</t>
  </si>
  <si>
    <t>Solvers for Private Brew ONLY</t>
  </si>
  <si>
    <t>Solvers for use with the "Private Brew" Fuel</t>
  </si>
  <si>
    <t>Added error message to catch attempts to use FAR solvers without having any Private Brew fuel selected. July 11th 2000</t>
  </si>
  <si>
    <t>Water vapor-psi</t>
  </si>
  <si>
    <t>Corrected a minor error in the Relative Humidity Antoine Coefficients  Water now boils at 212 F not 211.83 F. July12th 2000</t>
  </si>
  <si>
    <t>Results are invalid without running model after making changes</t>
  </si>
  <si>
    <t>Flammability Limits</t>
  </si>
  <si>
    <t>LFL</t>
  </si>
  <si>
    <t>UFL</t>
  </si>
  <si>
    <t xml:space="preserve">Dry bulb temp </t>
  </si>
  <si>
    <t>deg K</t>
  </si>
  <si>
    <t>Added LFL and UFL versus Altitude and tied "flammability " flag in cell H20 to the limits  July 21st 2000</t>
  </si>
  <si>
    <t>Added Dry bulb temp input to allow more flexiblity in water vapor calculations July 21st 2000</t>
  </si>
  <si>
    <t>LFL and UFL are based on 1955 WADC 55-418 report compared to later work by Shepherd (CIT/NTSB) and others.</t>
  </si>
  <si>
    <r>
      <t>Use the Zoom feature to be able to see down as far as Row 31 on the "input form" sheet to see the main part of the input /output. The "</t>
    </r>
    <r>
      <rPr>
        <b/>
        <sz val="10"/>
        <rFont val="Arial"/>
        <family val="2"/>
      </rPr>
      <t>Input form</t>
    </r>
    <r>
      <rPr>
        <sz val="10"/>
        <rFont val="Arial"/>
        <family val="0"/>
      </rPr>
      <t xml:space="preserve">" sheet has several input cells, colored Yellow. </t>
    </r>
    <r>
      <rPr>
        <b/>
        <u val="single"/>
        <sz val="10"/>
        <color indexed="10"/>
        <rFont val="Arial"/>
        <family val="2"/>
      </rPr>
      <t>Only Change The Yellow Cells</t>
    </r>
    <r>
      <rPr>
        <sz val="10"/>
        <rFont val="Arial"/>
        <family val="0"/>
      </rPr>
      <t xml:space="preserve">. Cells C19, 20 and 21 set the conditions in the tank. Cells C 23 and C24 allow the user to input relative humidity effects. Cells H11 and 12 allow the user to input an ASTM D2887 fuel distillation curve expressed as a 50% temperature and a 1-sigma value. Cells C11 through G12 are typical values for several fuels. Cells C14 through H14 allow the user to mix a blend of fuels by specifying the number of parts of each fuel to be used in the final blend, eg, 5 parts gas, 20 parts TS-1 and 150 parts JP8. The percentage values of each fuel is displayed in Cells C15 through H15. Setting the blend value to 1 for a given fuel  and the rest to 0, will give results for that fuel only. </t>
    </r>
  </si>
  <si>
    <t xml:space="preserve">(Setting all the fuels except "Private Brew" to 0 and "Private Brew" to 1 allows changing the Private Brew to change fuel properties. This is the normal operational mod).  Several conversion factors are listed in rows 40 to 46, to convert from C to F, and Altitude to psia etc. Note: The iteration process runs a lot longer at low fuel quanties as the solver copes with trying to evaporate, but not quite, all the light ends. </t>
  </si>
  <si>
    <r>
      <t>To run the spreadsheet the user left clicks on the button "</t>
    </r>
    <r>
      <rPr>
        <b/>
        <sz val="10"/>
        <rFont val="Arial"/>
        <family val="2"/>
      </rPr>
      <t>Run Model</t>
    </r>
    <r>
      <rPr>
        <sz val="10"/>
        <rFont val="Arial"/>
        <family val="0"/>
      </rPr>
      <t>". The results are displayed in the blue cells,G20 through G28. There are notes on running the "Solvers" in the update section below.</t>
    </r>
  </si>
  <si>
    <t xml:space="preserve">This curve was used to assign a portion of the fuel to buckets according the cut temperatures, and the weight of fuel calculated for each bucket. The molecular weight of each cut could then be determined from the Carbon Hydrogen ratio. The true vapor pressure of each cut could be determined from the Antoine Coefficients. Use of a curve fit that best fits the lower 30% of the D2887 data gives the best results. </t>
  </si>
  <si>
    <t xml:space="preserve">Fuel Air Ratio Calculator, use at your own discretion and cross check with other sources. See "Directions-Update"sheet for more info. </t>
  </si>
  <si>
    <t>Dry bulb temp</t>
  </si>
  <si>
    <t>Constants for LFL and UFL Slopes</t>
  </si>
  <si>
    <t>Work is still in progress on this subject see FAA Tech Center website for any new info.</t>
  </si>
  <si>
    <t xml:space="preserve">The vapor pressure of a compound is typically a function of Absolute temperature, and can be expressed as lognVP=A+B/(Tk+C), where A, B and C are constants, known as the Antoine Coefficients.  These Coefficients can be found in reference books, such as Reid et al or downloaded from the web (http://webbook.nist.gov/chemistry/) or other sites. </t>
  </si>
  <si>
    <t>C3H8 ppm equiv.</t>
  </si>
  <si>
    <t>c=</t>
  </si>
  <si>
    <t>h</t>
  </si>
  <si>
    <t>% Dist.</t>
  </si>
  <si>
    <t>Mean=</t>
  </si>
  <si>
    <t>Sigma=</t>
  </si>
  <si>
    <t>D2887</t>
  </si>
  <si>
    <t>ASTM D2887 Distillation data for Tech Center Fuels</t>
  </si>
  <si>
    <t>Curvefit</t>
  </si>
  <si>
    <t>DegF</t>
  </si>
  <si>
    <t>TBD</t>
  </si>
  <si>
    <t>Curve fit to first 30% of D2887</t>
  </si>
  <si>
    <t>Stoichiometric FAR</t>
  </si>
  <si>
    <t>See Lines 40 through 46 for helpful conversions</t>
  </si>
  <si>
    <t>RSS</t>
  </si>
  <si>
    <t>Error</t>
  </si>
  <si>
    <t>Square of</t>
  </si>
  <si>
    <t>the error</t>
  </si>
  <si>
    <t>Oct 30th 2001 Version</t>
  </si>
  <si>
    <t>Added D2887 curvefit capability in the program. Go to the "D2887 curve fit" sheet and read remarks in cell F1 on how to do the curvefit.</t>
  </si>
  <si>
    <t xml:space="preserve">October 30th 2001, Added computation of ppm based on C3H8. Added a stoichiometric FAR computation to help find minimum ignition energy conditions. Also added several "remarks" notes to help the user. These show as a small red triangle in the top right corner of the cell. Moving the mouse to the cell brings up the remark.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</si>
</sst>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 numFmtId="167" formatCode="00000"/>
    <numFmt numFmtId="168" formatCode="0.0000000"/>
    <numFmt numFmtId="169" formatCode="0.00000000000000000"/>
  </numFmts>
  <fonts count="50">
    <font>
      <sz val="10"/>
      <name val="Arial"/>
      <family val="0"/>
    </font>
    <font>
      <b/>
      <sz val="10"/>
      <color indexed="12"/>
      <name val="Arial"/>
      <family val="2"/>
    </font>
    <font>
      <b/>
      <sz val="10"/>
      <color indexed="14"/>
      <name val="Arial"/>
      <family val="2"/>
    </font>
    <font>
      <b/>
      <sz val="12"/>
      <name val="Arial"/>
      <family val="2"/>
    </font>
    <font>
      <b/>
      <sz val="10"/>
      <color indexed="62"/>
      <name val="Arial"/>
      <family val="2"/>
    </font>
    <font>
      <b/>
      <sz val="12"/>
      <color indexed="14"/>
      <name val="Arial"/>
      <family val="2"/>
    </font>
    <font>
      <b/>
      <sz val="12"/>
      <color indexed="10"/>
      <name val="Arial"/>
      <family val="2"/>
    </font>
    <font>
      <b/>
      <sz val="10"/>
      <color indexed="10"/>
      <name val="Arial"/>
      <family val="2"/>
    </font>
    <font>
      <b/>
      <sz val="10"/>
      <color indexed="20"/>
      <name val="Arial"/>
      <family val="2"/>
    </font>
    <font>
      <b/>
      <sz val="12"/>
      <color indexed="20"/>
      <name val="Arial"/>
      <family val="2"/>
    </font>
    <font>
      <sz val="12"/>
      <name val="Arial"/>
      <family val="2"/>
    </font>
    <font>
      <b/>
      <sz val="12"/>
      <color indexed="12"/>
      <name val="Arial"/>
      <family val="2"/>
    </font>
    <font>
      <b/>
      <sz val="9.25"/>
      <name val="Arial"/>
      <family val="0"/>
    </font>
    <font>
      <sz val="10"/>
      <color indexed="57"/>
      <name val="Arial"/>
      <family val="2"/>
    </font>
    <font>
      <sz val="10"/>
      <color indexed="10"/>
      <name val="Arial"/>
      <family val="2"/>
    </font>
    <font>
      <sz val="10"/>
      <color indexed="12"/>
      <name val="Arial"/>
      <family val="2"/>
    </font>
    <font>
      <sz val="10"/>
      <color indexed="58"/>
      <name val="Arial"/>
      <family val="2"/>
    </font>
    <font>
      <sz val="10"/>
      <color indexed="15"/>
      <name val="Arial"/>
      <family val="2"/>
    </font>
    <font>
      <sz val="10"/>
      <color indexed="53"/>
      <name val="Arial"/>
      <family val="2"/>
    </font>
    <font>
      <sz val="10"/>
      <color indexed="62"/>
      <name val="Arial"/>
      <family val="2"/>
    </font>
    <font>
      <b/>
      <sz val="10"/>
      <name val="Arial"/>
      <family val="2"/>
    </font>
    <font>
      <b/>
      <sz val="20"/>
      <name val="Arial"/>
      <family val="2"/>
    </font>
    <font>
      <b/>
      <sz val="16"/>
      <name val="Arial"/>
      <family val="2"/>
    </font>
    <font>
      <b/>
      <sz val="24"/>
      <name val="Arial"/>
      <family val="2"/>
    </font>
    <font>
      <b/>
      <sz val="26"/>
      <name val="Arial"/>
      <family val="2"/>
    </font>
    <font>
      <b/>
      <sz val="18"/>
      <name val="Arial"/>
      <family val="2"/>
    </font>
    <font>
      <i/>
      <sz val="16"/>
      <name val="Arial"/>
      <family val="2"/>
    </font>
    <font>
      <sz val="8.5"/>
      <name val="Arial"/>
      <family val="0"/>
    </font>
    <font>
      <sz val="10"/>
      <color indexed="20"/>
      <name val="Arial"/>
      <family val="2"/>
    </font>
    <font>
      <b/>
      <i/>
      <sz val="10"/>
      <color indexed="12"/>
      <name val="Arial"/>
      <family val="2"/>
    </font>
    <font>
      <sz val="10"/>
      <color indexed="48"/>
      <name val="Arial"/>
      <family val="2"/>
    </font>
    <font>
      <b/>
      <sz val="11"/>
      <color indexed="62"/>
      <name val="Arial"/>
      <family val="2"/>
    </font>
    <font>
      <b/>
      <sz val="11"/>
      <name val="Arial"/>
      <family val="2"/>
    </font>
    <font>
      <b/>
      <u val="single"/>
      <sz val="10"/>
      <color indexed="10"/>
      <name val="Arial"/>
      <family val="2"/>
    </font>
    <font>
      <i/>
      <sz val="8"/>
      <name val="Arial"/>
      <family val="2"/>
    </font>
    <font>
      <sz val="8"/>
      <name val="Arial"/>
      <family val="2"/>
    </font>
    <font>
      <u val="single"/>
      <sz val="10"/>
      <color indexed="10"/>
      <name val="Arial"/>
      <family val="2"/>
    </font>
    <font>
      <b/>
      <sz val="11"/>
      <color indexed="14"/>
      <name val="Arial"/>
      <family val="2"/>
    </font>
    <font>
      <b/>
      <sz val="11"/>
      <color indexed="16"/>
      <name val="Arial"/>
      <family val="2"/>
    </font>
    <font>
      <b/>
      <sz val="11"/>
      <color indexed="12"/>
      <name val="Arial"/>
      <family val="2"/>
    </font>
    <font>
      <b/>
      <sz val="8"/>
      <name val="Arial"/>
      <family val="2"/>
    </font>
    <font>
      <sz val="5"/>
      <name val="Arial"/>
      <family val="0"/>
    </font>
    <font>
      <u val="single"/>
      <sz val="10"/>
      <color indexed="12"/>
      <name val="Arial"/>
      <family val="0"/>
    </font>
    <font>
      <u val="single"/>
      <sz val="10"/>
      <color indexed="36"/>
      <name val="Arial"/>
      <family val="0"/>
    </font>
    <font>
      <sz val="10"/>
      <name val="Helv"/>
      <family val="0"/>
    </font>
    <font>
      <b/>
      <sz val="10"/>
      <name val="Helv"/>
      <family val="0"/>
    </font>
    <font>
      <b/>
      <sz val="12"/>
      <name val="Helv"/>
      <family val="0"/>
    </font>
    <font>
      <sz val="8"/>
      <name val="Tahoma"/>
      <family val="0"/>
    </font>
    <font>
      <b/>
      <sz val="8"/>
      <name val="Tahoma"/>
      <family val="0"/>
    </font>
    <font>
      <sz val="12"/>
      <name val="Tahoma"/>
      <family val="2"/>
    </font>
  </fonts>
  <fills count="9">
    <fill>
      <patternFill/>
    </fill>
    <fill>
      <patternFill patternType="gray125"/>
    </fill>
    <fill>
      <patternFill patternType="solid">
        <fgColor indexed="15"/>
        <bgColor indexed="64"/>
      </patternFill>
    </fill>
    <fill>
      <patternFill patternType="solid">
        <fgColor indexed="42"/>
        <bgColor indexed="64"/>
      </patternFill>
    </fill>
    <fill>
      <patternFill patternType="solid">
        <fgColor indexed="44"/>
        <bgColor indexed="64"/>
      </patternFill>
    </fill>
    <fill>
      <patternFill patternType="solid">
        <fgColor indexed="43"/>
        <bgColor indexed="64"/>
      </patternFill>
    </fill>
    <fill>
      <patternFill patternType="solid">
        <fgColor indexed="41"/>
        <bgColor indexed="64"/>
      </patternFill>
    </fill>
    <fill>
      <patternFill patternType="solid">
        <fgColor indexed="40"/>
        <bgColor indexed="64"/>
      </patternFill>
    </fill>
    <fill>
      <patternFill patternType="solid">
        <fgColor indexed="13"/>
        <bgColor indexed="64"/>
      </patternFill>
    </fill>
  </fills>
  <borders count="37">
    <border>
      <left/>
      <right/>
      <top/>
      <bottom/>
      <diagonal/>
    </border>
    <border>
      <left style="thin"/>
      <right style="thin"/>
      <top style="thin"/>
      <bottom style="thin"/>
    </border>
    <border>
      <left>
        <color indexed="63"/>
      </left>
      <right style="thin"/>
      <top style="thin"/>
      <bottom style="thin"/>
    </border>
    <border>
      <left>
        <color indexed="63"/>
      </left>
      <right>
        <color indexed="63"/>
      </right>
      <top style="thick">
        <color indexed="10"/>
      </top>
      <bottom>
        <color indexed="63"/>
      </bottom>
    </border>
    <border>
      <left>
        <color indexed="63"/>
      </left>
      <right>
        <color indexed="63"/>
      </right>
      <top>
        <color indexed="63"/>
      </top>
      <bottom style="thick">
        <color indexed="10"/>
      </bottom>
    </border>
    <border>
      <left style="thick">
        <color indexed="12"/>
      </left>
      <right style="thick">
        <color indexed="12"/>
      </right>
      <top style="thick">
        <color indexed="12"/>
      </top>
      <bottom style="thick">
        <color indexed="12"/>
      </bottom>
    </border>
    <border>
      <left style="thick">
        <color indexed="12"/>
      </left>
      <right style="thick">
        <color indexed="12"/>
      </right>
      <top style="thick">
        <color indexed="12"/>
      </top>
      <bottom>
        <color indexed="63"/>
      </bottom>
    </border>
    <border>
      <left style="medium"/>
      <right style="medium"/>
      <top style="medium"/>
      <bottom style="medium"/>
    </border>
    <border>
      <left style="thick">
        <color indexed="17"/>
      </left>
      <right style="thick">
        <color indexed="17"/>
      </right>
      <top>
        <color indexed="63"/>
      </top>
      <bottom style="thick">
        <color indexed="17"/>
      </bottom>
    </border>
    <border>
      <left style="medium"/>
      <right>
        <color indexed="63"/>
      </right>
      <top style="medium"/>
      <bottom style="medium"/>
    </border>
    <border>
      <left style="medium"/>
      <right style="medium"/>
      <top style="medium"/>
      <bottom>
        <color indexed="63"/>
      </bottom>
    </border>
    <border>
      <left style="medium"/>
      <right style="medium"/>
      <top>
        <color indexed="63"/>
      </top>
      <bottom style="medium"/>
    </border>
    <border>
      <left style="thick">
        <color indexed="10"/>
      </left>
      <right>
        <color indexed="63"/>
      </right>
      <top>
        <color indexed="63"/>
      </top>
      <bottom>
        <color indexed="63"/>
      </bottom>
    </border>
    <border>
      <left style="thick">
        <color indexed="17"/>
      </left>
      <right style="thick">
        <color indexed="17"/>
      </right>
      <top style="thick">
        <color indexed="17"/>
      </top>
      <bottom style="thick">
        <color indexed="17"/>
      </bottom>
    </border>
    <border>
      <left>
        <color indexed="63"/>
      </left>
      <right>
        <color indexed="63"/>
      </right>
      <top style="medium"/>
      <bottom style="medium"/>
    </border>
    <border>
      <left>
        <color indexed="63"/>
      </left>
      <right style="medium"/>
      <top style="medium"/>
      <bottom style="medium"/>
    </border>
    <border>
      <left style="thick">
        <color indexed="12"/>
      </left>
      <right>
        <color indexed="63"/>
      </right>
      <top>
        <color indexed="63"/>
      </top>
      <bottom style="thick">
        <color indexed="12"/>
      </bottom>
    </border>
    <border>
      <left style="thick">
        <color indexed="12"/>
      </left>
      <right>
        <color indexed="63"/>
      </right>
      <top style="thick">
        <color indexed="12"/>
      </top>
      <bottom style="thick">
        <color indexed="12"/>
      </bottom>
    </border>
    <border>
      <left>
        <color indexed="63"/>
      </left>
      <right style="thin"/>
      <top>
        <color indexed="63"/>
      </top>
      <bottom style="thin"/>
    </border>
    <border>
      <left style="thick">
        <color indexed="10"/>
      </left>
      <right>
        <color indexed="63"/>
      </right>
      <top style="thick">
        <color indexed="10"/>
      </top>
      <bottom>
        <color indexed="63"/>
      </bottom>
    </border>
    <border>
      <left>
        <color indexed="63"/>
      </left>
      <right style="thick">
        <color indexed="12"/>
      </right>
      <top>
        <color indexed="63"/>
      </top>
      <bottom>
        <color indexed="63"/>
      </bottom>
    </border>
    <border>
      <left style="thick">
        <color indexed="17"/>
      </left>
      <right style="thick">
        <color indexed="17"/>
      </right>
      <top style="thick">
        <color indexed="17"/>
      </top>
      <bottom>
        <color indexed="63"/>
      </bottom>
    </border>
    <border>
      <left style="thick">
        <color indexed="12"/>
      </left>
      <right style="thick">
        <color indexed="12"/>
      </right>
      <top>
        <color indexed="63"/>
      </top>
      <bottom style="thick">
        <color indexed="12"/>
      </bottom>
    </border>
    <border>
      <left style="thick">
        <color indexed="12"/>
      </left>
      <right>
        <color indexed="63"/>
      </right>
      <top style="thick">
        <color indexed="12"/>
      </top>
      <bottom>
        <color indexed="63"/>
      </bottom>
    </border>
    <border>
      <left>
        <color indexed="63"/>
      </left>
      <right style="thick">
        <color indexed="10"/>
      </right>
      <top style="thick">
        <color indexed="10"/>
      </top>
      <bottom>
        <color indexed="63"/>
      </bottom>
    </border>
    <border>
      <left style="thick">
        <color indexed="10"/>
      </left>
      <right>
        <color indexed="63"/>
      </right>
      <top>
        <color indexed="63"/>
      </top>
      <bottom style="thick">
        <color indexed="10"/>
      </bottom>
    </border>
    <border>
      <left>
        <color indexed="63"/>
      </left>
      <right style="thick">
        <color indexed="10"/>
      </right>
      <top>
        <color indexed="63"/>
      </top>
      <bottom>
        <color indexed="63"/>
      </bottom>
    </border>
    <border>
      <left>
        <color indexed="63"/>
      </left>
      <right style="thick">
        <color indexed="10"/>
      </right>
      <top>
        <color indexed="63"/>
      </top>
      <bottom style="thick">
        <color indexed="10"/>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color indexed="63"/>
      </top>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209">
    <xf numFmtId="0" fontId="0" fillId="0" borderId="0" xfId="0" applyAlignment="1">
      <alignment/>
    </xf>
    <xf numFmtId="0" fontId="0" fillId="0" borderId="0" xfId="0" applyAlignment="1" quotePrefix="1">
      <alignment/>
    </xf>
    <xf numFmtId="0" fontId="0" fillId="0" borderId="0" xfId="0" applyFont="1" applyAlignment="1">
      <alignment/>
    </xf>
    <xf numFmtId="0" fontId="0" fillId="0" borderId="0" xfId="0" applyAlignment="1" applyProtection="1">
      <alignment/>
      <protection locked="0"/>
    </xf>
    <xf numFmtId="0" fontId="0" fillId="0" borderId="0" xfId="0" applyAlignment="1" applyProtection="1">
      <alignment/>
      <protection hidden="1"/>
    </xf>
    <xf numFmtId="0" fontId="0" fillId="0" borderId="0" xfId="0" applyAlignment="1" applyProtection="1">
      <alignment/>
      <protection/>
    </xf>
    <xf numFmtId="0" fontId="2" fillId="0" borderId="0" xfId="0" applyFont="1" applyAlignment="1">
      <alignment/>
    </xf>
    <xf numFmtId="0" fontId="2" fillId="0" borderId="0" xfId="0" applyFont="1" applyAlignment="1" applyProtection="1">
      <alignment/>
      <protection locked="0"/>
    </xf>
    <xf numFmtId="0" fontId="2" fillId="0" borderId="0" xfId="0" applyFont="1" applyAlignment="1" applyProtection="1">
      <alignment/>
      <protection/>
    </xf>
    <xf numFmtId="0" fontId="1" fillId="0" borderId="0" xfId="0" applyFont="1" applyAlignment="1" applyProtection="1">
      <alignment/>
      <protection hidden="1"/>
    </xf>
    <xf numFmtId="0" fontId="1" fillId="0" borderId="0" xfId="0" applyFont="1" applyAlignment="1">
      <alignment/>
    </xf>
    <xf numFmtId="0" fontId="3" fillId="0" borderId="0" xfId="0" applyFont="1" applyAlignment="1">
      <alignment/>
    </xf>
    <xf numFmtId="0" fontId="4" fillId="0" borderId="0" xfId="0" applyFont="1" applyAlignment="1">
      <alignment/>
    </xf>
    <xf numFmtId="0" fontId="0" fillId="0" borderId="1" xfId="0" applyBorder="1" applyAlignment="1">
      <alignment horizontal="right"/>
    </xf>
    <xf numFmtId="0" fontId="0" fillId="0" borderId="2" xfId="0" applyBorder="1" applyAlignment="1">
      <alignment horizontal="right"/>
    </xf>
    <xf numFmtId="1" fontId="0" fillId="0" borderId="0" xfId="0" applyNumberFormat="1" applyAlignment="1" applyProtection="1">
      <alignment/>
      <protection hidden="1"/>
    </xf>
    <xf numFmtId="1" fontId="0" fillId="0" borderId="0" xfId="0" applyNumberFormat="1" applyAlignment="1">
      <alignment/>
    </xf>
    <xf numFmtId="164" fontId="0" fillId="0" borderId="0" xfId="0" applyNumberFormat="1" applyAlignment="1">
      <alignment/>
    </xf>
    <xf numFmtId="0" fontId="7" fillId="0" borderId="0" xfId="0" applyFont="1" applyAlignment="1">
      <alignment/>
    </xf>
    <xf numFmtId="166" fontId="0" fillId="0" borderId="0" xfId="0" applyNumberFormat="1" applyAlignment="1">
      <alignment/>
    </xf>
    <xf numFmtId="0" fontId="8" fillId="0" borderId="0" xfId="0" applyFont="1" applyAlignment="1">
      <alignment/>
    </xf>
    <xf numFmtId="0" fontId="9" fillId="0" borderId="0" xfId="0" applyFont="1" applyAlignment="1">
      <alignment/>
    </xf>
    <xf numFmtId="0" fontId="5" fillId="0" borderId="0" xfId="0" applyFont="1" applyAlignment="1">
      <alignment/>
    </xf>
    <xf numFmtId="0" fontId="10" fillId="0" borderId="0" xfId="0" applyFont="1" applyAlignment="1">
      <alignment/>
    </xf>
    <xf numFmtId="0" fontId="6" fillId="0" borderId="0" xfId="0" applyFont="1" applyAlignment="1">
      <alignment/>
    </xf>
    <xf numFmtId="0" fontId="13" fillId="0" borderId="0" xfId="0" applyFont="1" applyAlignment="1">
      <alignment/>
    </xf>
    <xf numFmtId="0" fontId="13" fillId="0" borderId="0" xfId="0" applyFont="1" applyAlignment="1" quotePrefix="1">
      <alignment/>
    </xf>
    <xf numFmtId="0" fontId="13" fillId="0" borderId="0" xfId="0" applyFont="1" applyAlignment="1" applyProtection="1">
      <alignment/>
      <protection hidden="1"/>
    </xf>
    <xf numFmtId="1" fontId="13" fillId="0" borderId="0" xfId="0" applyNumberFormat="1" applyFont="1" applyAlignment="1" applyProtection="1">
      <alignment/>
      <protection hidden="1"/>
    </xf>
    <xf numFmtId="1" fontId="13" fillId="0" borderId="0" xfId="0" applyNumberFormat="1" applyFont="1" applyAlignment="1">
      <alignment/>
    </xf>
    <xf numFmtId="0" fontId="14" fillId="0" borderId="0" xfId="0" applyFont="1" applyAlignment="1">
      <alignment/>
    </xf>
    <xf numFmtId="0" fontId="14" fillId="0" borderId="0" xfId="0" applyFont="1" applyAlignment="1" quotePrefix="1">
      <alignment/>
    </xf>
    <xf numFmtId="0" fontId="14" fillId="0" borderId="0" xfId="0" applyFont="1" applyAlignment="1" applyProtection="1">
      <alignment/>
      <protection hidden="1"/>
    </xf>
    <xf numFmtId="1" fontId="14" fillId="0" borderId="0" xfId="0" applyNumberFormat="1" applyFont="1" applyAlignment="1" applyProtection="1">
      <alignment/>
      <protection hidden="1"/>
    </xf>
    <xf numFmtId="1" fontId="14" fillId="0" borderId="0" xfId="0" applyNumberFormat="1" applyFont="1" applyAlignment="1">
      <alignment/>
    </xf>
    <xf numFmtId="0" fontId="15" fillId="0" borderId="0" xfId="0" applyFont="1" applyAlignment="1">
      <alignment/>
    </xf>
    <xf numFmtId="0" fontId="15" fillId="0" borderId="0" xfId="0" applyFont="1" applyAlignment="1" quotePrefix="1">
      <alignment/>
    </xf>
    <xf numFmtId="0" fontId="15" fillId="0" borderId="0" xfId="0" applyFont="1" applyAlignment="1" applyProtection="1">
      <alignment/>
      <protection hidden="1"/>
    </xf>
    <xf numFmtId="1" fontId="15" fillId="0" borderId="0" xfId="0" applyNumberFormat="1" applyFont="1" applyAlignment="1" applyProtection="1">
      <alignment/>
      <protection hidden="1"/>
    </xf>
    <xf numFmtId="1" fontId="15" fillId="0" borderId="0" xfId="0" applyNumberFormat="1" applyFont="1" applyAlignment="1">
      <alignment/>
    </xf>
    <xf numFmtId="0" fontId="16" fillId="0" borderId="0" xfId="0" applyFont="1" applyAlignment="1">
      <alignment/>
    </xf>
    <xf numFmtId="0" fontId="16" fillId="0" borderId="0" xfId="0" applyFont="1" applyAlignment="1" quotePrefix="1">
      <alignment/>
    </xf>
    <xf numFmtId="0" fontId="16" fillId="0" borderId="0" xfId="0" applyFont="1" applyAlignment="1" applyProtection="1">
      <alignment/>
      <protection hidden="1"/>
    </xf>
    <xf numFmtId="1" fontId="16" fillId="0" borderId="0" xfId="0" applyNumberFormat="1" applyFont="1" applyAlignment="1" applyProtection="1">
      <alignment/>
      <protection hidden="1"/>
    </xf>
    <xf numFmtId="1" fontId="16" fillId="0" borderId="0" xfId="0" applyNumberFormat="1" applyFont="1" applyAlignment="1">
      <alignment/>
    </xf>
    <xf numFmtId="0" fontId="17" fillId="0" borderId="0" xfId="0" applyFont="1" applyAlignment="1">
      <alignment/>
    </xf>
    <xf numFmtId="0" fontId="18" fillId="0" borderId="0" xfId="0" applyFont="1" applyAlignment="1">
      <alignment/>
    </xf>
    <xf numFmtId="0" fontId="18" fillId="0" borderId="0" xfId="0" applyFont="1" applyAlignment="1" quotePrefix="1">
      <alignment/>
    </xf>
    <xf numFmtId="0" fontId="18" fillId="0" borderId="0" xfId="0" applyFont="1" applyAlignment="1" applyProtection="1">
      <alignment/>
      <protection hidden="1"/>
    </xf>
    <xf numFmtId="1" fontId="18" fillId="0" borderId="0" xfId="0" applyNumberFormat="1" applyFont="1" applyAlignment="1" applyProtection="1">
      <alignment/>
      <protection hidden="1"/>
    </xf>
    <xf numFmtId="1" fontId="18" fillId="0" borderId="0" xfId="0" applyNumberFormat="1" applyFont="1" applyAlignment="1">
      <alignment/>
    </xf>
    <xf numFmtId="0" fontId="19" fillId="0" borderId="0" xfId="0" applyFont="1" applyAlignment="1">
      <alignment/>
    </xf>
    <xf numFmtId="0" fontId="19" fillId="0" borderId="0" xfId="0" applyFont="1" applyAlignment="1" quotePrefix="1">
      <alignment/>
    </xf>
    <xf numFmtId="0" fontId="19" fillId="0" borderId="0" xfId="0" applyFont="1" applyAlignment="1" applyProtection="1">
      <alignment/>
      <protection hidden="1"/>
    </xf>
    <xf numFmtId="1" fontId="19" fillId="0" borderId="0" xfId="0" applyNumberFormat="1" applyFont="1" applyAlignment="1" applyProtection="1">
      <alignment/>
      <protection hidden="1"/>
    </xf>
    <xf numFmtId="1" fontId="19" fillId="0" borderId="0" xfId="0" applyNumberFormat="1" applyFont="1" applyAlignment="1">
      <alignment/>
    </xf>
    <xf numFmtId="0" fontId="20" fillId="0" borderId="0" xfId="0" applyFont="1" applyAlignment="1">
      <alignment/>
    </xf>
    <xf numFmtId="166" fontId="19" fillId="0" borderId="0" xfId="0" applyNumberFormat="1" applyFont="1" applyAlignment="1">
      <alignment/>
    </xf>
    <xf numFmtId="0" fontId="28" fillId="0" borderId="0" xfId="0" applyFont="1" applyAlignment="1">
      <alignment/>
    </xf>
    <xf numFmtId="0" fontId="29" fillId="0" borderId="0" xfId="0" applyFont="1" applyAlignment="1">
      <alignment/>
    </xf>
    <xf numFmtId="0" fontId="4" fillId="0" borderId="0" xfId="0" applyFont="1" applyAlignment="1" quotePrefix="1">
      <alignment/>
    </xf>
    <xf numFmtId="0" fontId="30" fillId="0" borderId="0" xfId="0" applyFont="1" applyAlignment="1">
      <alignment/>
    </xf>
    <xf numFmtId="0" fontId="31" fillId="0" borderId="0" xfId="0" applyFont="1" applyAlignment="1">
      <alignment/>
    </xf>
    <xf numFmtId="0" fontId="32" fillId="0" borderId="0" xfId="0" applyFont="1" applyAlignment="1">
      <alignment/>
    </xf>
    <xf numFmtId="0" fontId="0" fillId="0" borderId="0" xfId="21">
      <alignment/>
      <protection/>
    </xf>
    <xf numFmtId="0" fontId="0" fillId="0" borderId="0" xfId="21" applyFont="1">
      <alignment/>
      <protection/>
    </xf>
    <xf numFmtId="164" fontId="13" fillId="0" borderId="0" xfId="0" applyNumberFormat="1" applyFont="1" applyAlignment="1">
      <alignment/>
    </xf>
    <xf numFmtId="164" fontId="14" fillId="0" borderId="0" xfId="0" applyNumberFormat="1" applyFont="1" applyAlignment="1">
      <alignment/>
    </xf>
    <xf numFmtId="164" fontId="15" fillId="0" borderId="0" xfId="0" applyNumberFormat="1" applyFont="1" applyAlignment="1">
      <alignment/>
    </xf>
    <xf numFmtId="164" fontId="16" fillId="0" borderId="0" xfId="0" applyNumberFormat="1" applyFont="1" applyAlignment="1">
      <alignment/>
    </xf>
    <xf numFmtId="164" fontId="18" fillId="0" borderId="0" xfId="0" applyNumberFormat="1" applyFont="1" applyAlignment="1">
      <alignment/>
    </xf>
    <xf numFmtId="164" fontId="19" fillId="0" borderId="0" xfId="0" applyNumberFormat="1" applyFont="1" applyAlignment="1">
      <alignment/>
    </xf>
    <xf numFmtId="2" fontId="0" fillId="0" borderId="0" xfId="0" applyNumberFormat="1" applyAlignment="1">
      <alignment/>
    </xf>
    <xf numFmtId="0" fontId="20" fillId="0" borderId="0" xfId="0" applyFont="1" applyFill="1" applyBorder="1" applyAlignment="1">
      <alignment/>
    </xf>
    <xf numFmtId="0" fontId="0" fillId="2" borderId="3" xfId="0" applyFill="1" applyBorder="1" applyAlignment="1">
      <alignment/>
    </xf>
    <xf numFmtId="0" fontId="0" fillId="0" borderId="0" xfId="0" applyBorder="1" applyAlignment="1">
      <alignment/>
    </xf>
    <xf numFmtId="0" fontId="0" fillId="0" borderId="4" xfId="0" applyBorder="1" applyAlignment="1">
      <alignment/>
    </xf>
    <xf numFmtId="0" fontId="1" fillId="3" borderId="5" xfId="0" applyFont="1" applyFill="1" applyBorder="1" applyAlignment="1">
      <alignment/>
    </xf>
    <xf numFmtId="0" fontId="1" fillId="3" borderId="5" xfId="0" applyFont="1" applyFill="1" applyBorder="1" applyAlignment="1" applyProtection="1">
      <alignment/>
      <protection hidden="1"/>
    </xf>
    <xf numFmtId="0" fontId="0" fillId="0" borderId="0" xfId="0" applyNumberFormat="1" applyAlignment="1">
      <alignment/>
    </xf>
    <xf numFmtId="3" fontId="0" fillId="0" borderId="0" xfId="0" applyNumberFormat="1" applyAlignment="1">
      <alignment/>
    </xf>
    <xf numFmtId="4" fontId="0" fillId="0" borderId="0" xfId="0" applyNumberFormat="1" applyAlignment="1">
      <alignment/>
    </xf>
    <xf numFmtId="9" fontId="0" fillId="0" borderId="0" xfId="0" applyNumberFormat="1" applyAlignment="1">
      <alignment/>
    </xf>
    <xf numFmtId="0" fontId="0" fillId="0" borderId="0" xfId="0" applyAlignment="1">
      <alignment wrapText="1"/>
    </xf>
    <xf numFmtId="0" fontId="1" fillId="3" borderId="6" xfId="0" applyFont="1" applyFill="1" applyBorder="1" applyAlignment="1">
      <alignment/>
    </xf>
    <xf numFmtId="0" fontId="20" fillId="4" borderId="7" xfId="0" applyFont="1" applyFill="1" applyBorder="1" applyAlignment="1">
      <alignment/>
    </xf>
    <xf numFmtId="0" fontId="0" fillId="4" borderId="7" xfId="0" applyFill="1" applyBorder="1" applyAlignment="1">
      <alignment/>
    </xf>
    <xf numFmtId="0" fontId="6" fillId="5" borderId="8" xfId="0" applyFont="1" applyFill="1" applyBorder="1" applyAlignment="1">
      <alignment/>
    </xf>
    <xf numFmtId="0" fontId="20" fillId="4" borderId="9" xfId="0" applyFont="1" applyFill="1" applyBorder="1" applyAlignment="1">
      <alignment/>
    </xf>
    <xf numFmtId="0" fontId="20" fillId="2" borderId="10" xfId="0" applyFont="1" applyFill="1" applyBorder="1" applyAlignment="1">
      <alignment/>
    </xf>
    <xf numFmtId="0" fontId="20" fillId="2" borderId="11" xfId="0" applyFont="1" applyFill="1" applyBorder="1" applyAlignment="1">
      <alignment/>
    </xf>
    <xf numFmtId="11" fontId="0" fillId="0" borderId="0" xfId="0" applyNumberFormat="1" applyAlignment="1">
      <alignment/>
    </xf>
    <xf numFmtId="0" fontId="7" fillId="0" borderId="0" xfId="0" applyFont="1" applyAlignment="1">
      <alignment vertical="center"/>
    </xf>
    <xf numFmtId="0" fontId="20" fillId="2" borderId="0" xfId="0" applyFont="1" applyFill="1" applyAlignment="1">
      <alignment vertical="center"/>
    </xf>
    <xf numFmtId="0" fontId="0" fillId="0" borderId="0" xfId="0" applyAlignment="1">
      <alignment vertical="center" wrapText="1"/>
    </xf>
    <xf numFmtId="0" fontId="0" fillId="2" borderId="0" xfId="0" applyFill="1" applyAlignment="1">
      <alignment vertical="center" wrapText="1"/>
    </xf>
    <xf numFmtId="0" fontId="0" fillId="0" borderId="0" xfId="0" applyFill="1" applyAlignment="1">
      <alignment vertical="center"/>
    </xf>
    <xf numFmtId="0" fontId="0" fillId="6" borderId="0" xfId="0" applyFill="1" applyAlignment="1">
      <alignment vertical="center" wrapText="1"/>
    </xf>
    <xf numFmtId="0" fontId="0" fillId="0" borderId="0" xfId="0" applyAlignment="1">
      <alignment vertical="center"/>
    </xf>
    <xf numFmtId="0" fontId="20" fillId="0" borderId="0" xfId="0" applyFont="1" applyAlignment="1">
      <alignment vertical="center"/>
    </xf>
    <xf numFmtId="0" fontId="7" fillId="0" borderId="0" xfId="0" applyFont="1" applyAlignment="1">
      <alignment vertical="center" wrapText="1"/>
    </xf>
    <xf numFmtId="14" fontId="0" fillId="0" borderId="0" xfId="0" applyNumberFormat="1" applyAlignment="1">
      <alignment horizontal="left" vertical="center"/>
    </xf>
    <xf numFmtId="0" fontId="0" fillId="7" borderId="0" xfId="0" applyFill="1" applyAlignment="1">
      <alignment/>
    </xf>
    <xf numFmtId="0" fontId="4" fillId="7" borderId="0" xfId="0" applyFont="1" applyFill="1" applyAlignment="1">
      <alignment/>
    </xf>
    <xf numFmtId="0" fontId="20" fillId="7" borderId="0" xfId="0" applyFont="1" applyFill="1" applyAlignment="1">
      <alignment/>
    </xf>
    <xf numFmtId="0" fontId="34" fillId="0" borderId="12" xfId="0" applyFont="1" applyBorder="1" applyAlignment="1">
      <alignment/>
    </xf>
    <xf numFmtId="0" fontId="20" fillId="0" borderId="0" xfId="0" applyFont="1" applyAlignment="1">
      <alignment horizontal="center"/>
    </xf>
    <xf numFmtId="0" fontId="1" fillId="3" borderId="5" xfId="0" applyFont="1" applyFill="1" applyBorder="1" applyAlignment="1">
      <alignment horizontal="center"/>
    </xf>
    <xf numFmtId="0" fontId="7" fillId="0" borderId="0" xfId="0" applyFont="1" applyAlignment="1">
      <alignment horizontal="center"/>
    </xf>
    <xf numFmtId="0" fontId="1" fillId="0" borderId="0" xfId="0" applyFont="1" applyAlignment="1">
      <alignment horizontal="center"/>
    </xf>
    <xf numFmtId="0" fontId="0" fillId="4" borderId="7" xfId="0" applyFill="1" applyBorder="1" applyAlignment="1">
      <alignment horizontal="center"/>
    </xf>
    <xf numFmtId="0" fontId="2" fillId="0" borderId="0" xfId="0" applyFont="1" applyAlignment="1">
      <alignment horizontal="center"/>
    </xf>
    <xf numFmtId="0" fontId="2" fillId="8" borderId="13" xfId="0" applyFont="1" applyFill="1" applyBorder="1" applyAlignment="1" applyProtection="1">
      <alignment horizontal="center"/>
      <protection locked="0"/>
    </xf>
    <xf numFmtId="2" fontId="1" fillId="3" borderId="9" xfId="0" applyNumberFormat="1" applyFont="1" applyFill="1" applyBorder="1" applyAlignment="1">
      <alignment horizontal="center"/>
    </xf>
    <xf numFmtId="2" fontId="1" fillId="3" borderId="14" xfId="0" applyNumberFormat="1" applyFont="1" applyFill="1" applyBorder="1" applyAlignment="1">
      <alignment horizontal="center"/>
    </xf>
    <xf numFmtId="2" fontId="1" fillId="3" borderId="15" xfId="0" applyNumberFormat="1" applyFont="1" applyFill="1" applyBorder="1" applyAlignment="1">
      <alignment horizontal="center"/>
    </xf>
    <xf numFmtId="164" fontId="1" fillId="3" borderId="5" xfId="0" applyNumberFormat="1" applyFont="1" applyFill="1" applyBorder="1" applyAlignment="1">
      <alignment horizontal="center"/>
    </xf>
    <xf numFmtId="164" fontId="1" fillId="3" borderId="16" xfId="0" applyNumberFormat="1" applyFont="1" applyFill="1" applyBorder="1" applyAlignment="1">
      <alignment horizontal="center"/>
    </xf>
    <xf numFmtId="2" fontId="1" fillId="3" borderId="5" xfId="0" applyNumberFormat="1" applyFont="1" applyFill="1" applyBorder="1" applyAlignment="1">
      <alignment horizontal="center"/>
    </xf>
    <xf numFmtId="2" fontId="1" fillId="3" borderId="17" xfId="0" applyNumberFormat="1" applyFont="1" applyFill="1" applyBorder="1" applyAlignment="1" applyProtection="1">
      <alignment horizontal="center"/>
      <protection hidden="1"/>
    </xf>
    <xf numFmtId="165" fontId="1" fillId="3" borderId="5" xfId="0" applyNumberFormat="1" applyFont="1" applyFill="1" applyBorder="1" applyAlignment="1">
      <alignment horizontal="center"/>
    </xf>
    <xf numFmtId="0" fontId="0" fillId="0" borderId="18" xfId="0" applyBorder="1" applyAlignment="1">
      <alignment horizontal="right"/>
    </xf>
    <xf numFmtId="2" fontId="1" fillId="3" borderId="17" xfId="0" applyNumberFormat="1" applyFont="1" applyFill="1" applyBorder="1" applyAlignment="1">
      <alignment horizontal="center"/>
    </xf>
    <xf numFmtId="165" fontId="1" fillId="3" borderId="17" xfId="0" applyNumberFormat="1" applyFont="1" applyFill="1" applyBorder="1" applyAlignment="1">
      <alignment horizontal="center"/>
    </xf>
    <xf numFmtId="0" fontId="1" fillId="3" borderId="10" xfId="0" applyFont="1" applyFill="1" applyBorder="1" applyAlignment="1" applyProtection="1">
      <alignment horizontal="center"/>
      <protection hidden="1"/>
    </xf>
    <xf numFmtId="0" fontId="20" fillId="2" borderId="19" xfId="0" applyFont="1" applyFill="1" applyBorder="1" applyAlignment="1">
      <alignment/>
    </xf>
    <xf numFmtId="0" fontId="11" fillId="2" borderId="17" xfId="0" applyFont="1" applyFill="1" applyBorder="1" applyAlignment="1">
      <alignment/>
    </xf>
    <xf numFmtId="0" fontId="7" fillId="3" borderId="20" xfId="0" applyFont="1" applyFill="1" applyBorder="1" applyAlignment="1">
      <alignment horizontal="center"/>
    </xf>
    <xf numFmtId="0" fontId="37" fillId="0" borderId="0" xfId="0" applyFont="1" applyAlignment="1">
      <alignment horizontal="center"/>
    </xf>
    <xf numFmtId="0" fontId="5" fillId="0" borderId="0" xfId="0" applyFont="1" applyAlignment="1">
      <alignment horizontal="center"/>
    </xf>
    <xf numFmtId="2" fontId="2" fillId="8" borderId="13" xfId="0" applyNumberFormat="1" applyFont="1" applyFill="1" applyBorder="1" applyAlignment="1" applyProtection="1">
      <alignment horizontal="center"/>
      <protection locked="0"/>
    </xf>
    <xf numFmtId="165" fontId="20" fillId="3" borderId="21" xfId="0" applyNumberFormat="1" applyFont="1" applyFill="1" applyBorder="1" applyAlignment="1">
      <alignment horizontal="center"/>
    </xf>
    <xf numFmtId="164" fontId="38" fillId="3" borderId="22" xfId="0" applyNumberFormat="1" applyFont="1" applyFill="1" applyBorder="1" applyAlignment="1">
      <alignment horizontal="center"/>
    </xf>
    <xf numFmtId="0" fontId="39" fillId="3" borderId="5" xfId="0" applyFont="1" applyFill="1" applyBorder="1" applyAlignment="1">
      <alignment/>
    </xf>
    <xf numFmtId="2" fontId="1" fillId="3" borderId="23" xfId="0" applyNumberFormat="1" applyFont="1" applyFill="1" applyBorder="1" applyAlignment="1">
      <alignment horizontal="center"/>
    </xf>
    <xf numFmtId="0" fontId="20" fillId="2" borderId="12" xfId="0" applyFont="1" applyFill="1" applyBorder="1" applyAlignment="1">
      <alignment/>
    </xf>
    <xf numFmtId="0" fontId="0" fillId="2" borderId="0" xfId="0" applyFill="1" applyBorder="1" applyAlignment="1">
      <alignment/>
    </xf>
    <xf numFmtId="0" fontId="34" fillId="0" borderId="19" xfId="0" applyFont="1" applyBorder="1" applyAlignment="1">
      <alignment/>
    </xf>
    <xf numFmtId="0" fontId="0" fillId="0" borderId="3" xfId="0" applyBorder="1" applyAlignment="1">
      <alignment/>
    </xf>
    <xf numFmtId="0" fontId="35" fillId="0" borderId="3" xfId="0" applyFont="1" applyBorder="1" applyAlignment="1">
      <alignment wrapText="1"/>
    </xf>
    <xf numFmtId="0" fontId="0" fillId="0" borderId="24" xfId="0" applyFill="1" applyBorder="1" applyAlignment="1">
      <alignment/>
    </xf>
    <xf numFmtId="0" fontId="34" fillId="0" borderId="25" xfId="0" applyFont="1" applyBorder="1" applyAlignment="1">
      <alignment/>
    </xf>
    <xf numFmtId="2" fontId="2" fillId="8" borderId="21" xfId="0" applyNumberFormat="1" applyFont="1" applyFill="1" applyBorder="1" applyAlignment="1" applyProtection="1">
      <alignment horizontal="center"/>
      <protection locked="0"/>
    </xf>
    <xf numFmtId="0" fontId="20" fillId="8" borderId="13" xfId="0" applyFont="1" applyFill="1" applyBorder="1" applyAlignment="1" applyProtection="1">
      <alignment horizontal="center"/>
      <protection locked="0"/>
    </xf>
    <xf numFmtId="0" fontId="20" fillId="8" borderId="7" xfId="0" applyFont="1" applyFill="1" applyBorder="1" applyAlignment="1" applyProtection="1">
      <alignment horizontal="center"/>
      <protection locked="0"/>
    </xf>
    <xf numFmtId="0" fontId="20" fillId="0" borderId="26" xfId="0" applyFont="1" applyBorder="1" applyAlignment="1">
      <alignment/>
    </xf>
    <xf numFmtId="0" fontId="20" fillId="0" borderId="27" xfId="0" applyFont="1" applyBorder="1" applyAlignment="1">
      <alignment/>
    </xf>
    <xf numFmtId="0" fontId="2" fillId="6" borderId="13" xfId="0" applyFont="1" applyFill="1" applyBorder="1" applyAlignment="1" applyProtection="1">
      <alignment horizontal="center"/>
      <protection/>
    </xf>
    <xf numFmtId="0" fontId="0" fillId="4" borderId="28" xfId="0" applyFill="1" applyBorder="1" applyAlignment="1">
      <alignment/>
    </xf>
    <xf numFmtId="0" fontId="0" fillId="4" borderId="29" xfId="0" applyFill="1" applyBorder="1" applyAlignment="1">
      <alignment/>
    </xf>
    <xf numFmtId="0" fontId="0" fillId="4" borderId="30" xfId="0" applyFill="1" applyBorder="1" applyAlignment="1">
      <alignment/>
    </xf>
    <xf numFmtId="0" fontId="0" fillId="4" borderId="31" xfId="0" applyFill="1" applyBorder="1" applyAlignment="1">
      <alignment/>
    </xf>
    <xf numFmtId="0" fontId="0" fillId="4" borderId="0" xfId="0" applyFill="1" applyBorder="1" applyAlignment="1">
      <alignment/>
    </xf>
    <xf numFmtId="0" fontId="0" fillId="4" borderId="32" xfId="0" applyFill="1" applyBorder="1" applyAlignment="1">
      <alignment/>
    </xf>
    <xf numFmtId="11" fontId="0" fillId="4" borderId="31" xfId="0" applyNumberFormat="1" applyFill="1" applyBorder="1" applyAlignment="1">
      <alignment/>
    </xf>
    <xf numFmtId="11" fontId="0" fillId="4" borderId="0" xfId="0" applyNumberFormat="1" applyFill="1" applyBorder="1" applyAlignment="1">
      <alignment/>
    </xf>
    <xf numFmtId="11" fontId="0" fillId="4" borderId="33" xfId="0" applyNumberFormat="1" applyFill="1" applyBorder="1" applyAlignment="1">
      <alignment/>
    </xf>
    <xf numFmtId="11" fontId="0" fillId="4" borderId="34" xfId="0" applyNumberFormat="1" applyFill="1" applyBorder="1" applyAlignment="1">
      <alignment/>
    </xf>
    <xf numFmtId="0" fontId="0" fillId="4" borderId="35" xfId="0" applyFill="1" applyBorder="1" applyAlignment="1">
      <alignment/>
    </xf>
    <xf numFmtId="0" fontId="20" fillId="4" borderId="28" xfId="0" applyFont="1" applyFill="1" applyBorder="1" applyAlignment="1">
      <alignment/>
    </xf>
    <xf numFmtId="0" fontId="0" fillId="4" borderId="0" xfId="0" applyFill="1" applyBorder="1" applyAlignment="1" quotePrefix="1">
      <alignment/>
    </xf>
    <xf numFmtId="0" fontId="0" fillId="4" borderId="32" xfId="0" applyFill="1" applyBorder="1" applyAlignment="1" quotePrefix="1">
      <alignment/>
    </xf>
    <xf numFmtId="0" fontId="0" fillId="4" borderId="33" xfId="0" applyFill="1" applyBorder="1" applyAlignment="1">
      <alignment/>
    </xf>
    <xf numFmtId="0" fontId="0" fillId="4" borderId="34" xfId="0" applyFill="1" applyBorder="1" applyAlignment="1">
      <alignment/>
    </xf>
    <xf numFmtId="0" fontId="0" fillId="8" borderId="7" xfId="0" applyFill="1" applyBorder="1" applyAlignment="1">
      <alignment horizontal="center"/>
    </xf>
    <xf numFmtId="164" fontId="0" fillId="8" borderId="7" xfId="0" applyNumberFormat="1" applyFill="1" applyBorder="1" applyAlignment="1">
      <alignment horizontal="center"/>
    </xf>
    <xf numFmtId="2" fontId="0" fillId="4" borderId="0" xfId="0" applyNumberFormat="1" applyFill="1" applyBorder="1" applyAlignment="1">
      <alignment horizontal="center"/>
    </xf>
    <xf numFmtId="165" fontId="0" fillId="4" borderId="0" xfId="0" applyNumberFormat="1" applyFill="1" applyBorder="1" applyAlignment="1">
      <alignment horizontal="center"/>
    </xf>
    <xf numFmtId="0" fontId="45" fillId="0" borderId="0" xfId="0" applyFont="1" applyAlignment="1">
      <alignment/>
    </xf>
    <xf numFmtId="2" fontId="45" fillId="0" borderId="0" xfId="0" applyNumberFormat="1" applyFont="1" applyAlignment="1">
      <alignment/>
    </xf>
    <xf numFmtId="4" fontId="45" fillId="0" borderId="0" xfId="0" applyNumberFormat="1" applyFont="1" applyAlignment="1">
      <alignment/>
    </xf>
    <xf numFmtId="166" fontId="44" fillId="8" borderId="10" xfId="0" applyNumberFormat="1" applyFont="1" applyFill="1" applyBorder="1" applyAlignment="1">
      <alignment/>
    </xf>
    <xf numFmtId="166" fontId="44" fillId="8" borderId="36" xfId="0" applyNumberFormat="1" applyFont="1" applyFill="1" applyBorder="1" applyAlignment="1">
      <alignment/>
    </xf>
    <xf numFmtId="0" fontId="0" fillId="8" borderId="36" xfId="0" applyFill="1" applyBorder="1" applyAlignment="1">
      <alignment/>
    </xf>
    <xf numFmtId="166" fontId="44" fillId="8" borderId="11" xfId="0" applyNumberFormat="1" applyFont="1" applyFill="1" applyBorder="1" applyAlignment="1">
      <alignment/>
    </xf>
    <xf numFmtId="0" fontId="0" fillId="4" borderId="0" xfId="0" applyFill="1" applyAlignment="1">
      <alignment/>
    </xf>
    <xf numFmtId="0" fontId="0" fillId="4" borderId="9" xfId="0" applyFill="1" applyBorder="1" applyAlignment="1">
      <alignment/>
    </xf>
    <xf numFmtId="0" fontId="0" fillId="4" borderId="14" xfId="0" applyFill="1" applyBorder="1" applyAlignment="1">
      <alignment/>
    </xf>
    <xf numFmtId="0" fontId="0" fillId="4" borderId="15" xfId="0" applyFill="1" applyBorder="1" applyAlignment="1">
      <alignment/>
    </xf>
    <xf numFmtId="165" fontId="0" fillId="6" borderId="7" xfId="0" applyNumberFormat="1" applyFill="1" applyBorder="1" applyAlignment="1">
      <alignment/>
    </xf>
    <xf numFmtId="2" fontId="45" fillId="8" borderId="10" xfId="0" applyNumberFormat="1" applyFont="1" applyFill="1" applyBorder="1" applyAlignment="1">
      <alignment/>
    </xf>
    <xf numFmtId="4" fontId="45" fillId="8" borderId="11" xfId="0" applyNumberFormat="1" applyFont="1" applyFill="1" applyBorder="1" applyAlignment="1">
      <alignment/>
    </xf>
    <xf numFmtId="0" fontId="45" fillId="4" borderId="0" xfId="0" applyNumberFormat="1" applyFont="1" applyFill="1" applyAlignment="1">
      <alignment/>
    </xf>
    <xf numFmtId="2" fontId="46" fillId="4" borderId="0" xfId="0" applyNumberFormat="1" applyFont="1" applyFill="1" applyAlignment="1">
      <alignment/>
    </xf>
    <xf numFmtId="0" fontId="20" fillId="4" borderId="0" xfId="0" applyFont="1" applyFill="1" applyAlignment="1">
      <alignment horizontal="center"/>
    </xf>
    <xf numFmtId="0" fontId="45" fillId="4" borderId="0" xfId="0" applyFont="1" applyFill="1" applyAlignment="1">
      <alignment/>
    </xf>
    <xf numFmtId="0" fontId="0" fillId="4" borderId="0" xfId="0" applyNumberFormat="1" applyFill="1" applyAlignment="1">
      <alignment/>
    </xf>
    <xf numFmtId="4" fontId="45" fillId="4" borderId="0" xfId="0" applyNumberFormat="1" applyFont="1" applyFill="1" applyAlignment="1">
      <alignment/>
    </xf>
    <xf numFmtId="166" fontId="0" fillId="4" borderId="0" xfId="0" applyNumberFormat="1" applyFill="1" applyAlignment="1">
      <alignment/>
    </xf>
    <xf numFmtId="0" fontId="44" fillId="4" borderId="0" xfId="0" applyFont="1" applyFill="1" applyAlignment="1">
      <alignment/>
    </xf>
    <xf numFmtId="166" fontId="44" fillId="4" borderId="0" xfId="0" applyNumberFormat="1" applyFont="1" applyFill="1" applyBorder="1" applyAlignment="1">
      <alignment/>
    </xf>
    <xf numFmtId="1" fontId="0" fillId="4" borderId="0" xfId="0" applyNumberFormat="1" applyFill="1" applyAlignment="1">
      <alignment/>
    </xf>
    <xf numFmtId="3" fontId="45" fillId="4" borderId="0" xfId="0" applyNumberFormat="1" applyFont="1" applyFill="1" applyAlignment="1">
      <alignment/>
    </xf>
    <xf numFmtId="1" fontId="45" fillId="4" borderId="0" xfId="0" applyNumberFormat="1" applyFont="1" applyFill="1" applyAlignment="1">
      <alignment/>
    </xf>
    <xf numFmtId="3" fontId="0" fillId="4" borderId="0" xfId="0" applyNumberFormat="1" applyFill="1" applyAlignment="1">
      <alignment/>
    </xf>
    <xf numFmtId="2" fontId="0" fillId="4" borderId="0" xfId="0" applyNumberFormat="1" applyFill="1" applyAlignment="1">
      <alignment/>
    </xf>
    <xf numFmtId="4" fontId="0" fillId="4" borderId="0" xfId="0" applyNumberFormat="1" applyFill="1" applyAlignment="1">
      <alignment/>
    </xf>
    <xf numFmtId="0" fontId="20" fillId="4" borderId="0" xfId="0" applyFont="1" applyFill="1" applyAlignment="1">
      <alignment/>
    </xf>
    <xf numFmtId="2" fontId="20" fillId="8" borderId="10" xfId="0" applyNumberFormat="1" applyFont="1" applyFill="1" applyBorder="1" applyAlignment="1">
      <alignment/>
    </xf>
    <xf numFmtId="0" fontId="20" fillId="8" borderId="11" xfId="0" applyFont="1" applyFill="1" applyBorder="1" applyAlignment="1">
      <alignment/>
    </xf>
    <xf numFmtId="2" fontId="45" fillId="6" borderId="10" xfId="0" applyNumberFormat="1" applyFont="1" applyFill="1" applyBorder="1" applyAlignment="1">
      <alignment/>
    </xf>
    <xf numFmtId="4" fontId="45" fillId="6" borderId="11" xfId="0" applyNumberFormat="1" applyFont="1" applyFill="1" applyBorder="1" applyAlignment="1">
      <alignment/>
    </xf>
    <xf numFmtId="2" fontId="45" fillId="4" borderId="9" xfId="0" applyNumberFormat="1" applyFont="1" applyFill="1" applyBorder="1" applyAlignment="1">
      <alignment horizontal="right"/>
    </xf>
    <xf numFmtId="165" fontId="20" fillId="8" borderId="7" xfId="0" applyNumberFormat="1" applyFont="1" applyFill="1" applyBorder="1" applyAlignment="1" applyProtection="1">
      <alignment horizontal="center"/>
      <protection locked="0"/>
    </xf>
    <xf numFmtId="0" fontId="0" fillId="0" borderId="0" xfId="0" applyAlignment="1">
      <alignment wrapText="1"/>
    </xf>
    <xf numFmtId="0" fontId="7" fillId="2" borderId="3" xfId="0" applyFont="1" applyFill="1" applyBorder="1" applyAlignment="1">
      <alignment wrapText="1"/>
    </xf>
    <xf numFmtId="0" fontId="20" fillId="0" borderId="24" xfId="0" applyFont="1" applyBorder="1" applyAlignment="1">
      <alignment wrapText="1"/>
    </xf>
    <xf numFmtId="0" fontId="20" fillId="0" borderId="0" xfId="0" applyFont="1" applyBorder="1" applyAlignment="1">
      <alignment wrapText="1"/>
    </xf>
    <xf numFmtId="0" fontId="20" fillId="0" borderId="26" xfId="0" applyFont="1" applyBorder="1" applyAlignment="1">
      <alignment wrapText="1"/>
    </xf>
  </cellXfs>
  <cellStyles count="9">
    <cellStyle name="Normal" xfId="0"/>
    <cellStyle name="Comma" xfId="15"/>
    <cellStyle name="Comma [0]" xfId="16"/>
    <cellStyle name="Currency" xfId="17"/>
    <cellStyle name="Currency [0]" xfId="18"/>
    <cellStyle name="Followed Hyperlink" xfId="19"/>
    <cellStyle name="Hyperlink" xfId="20"/>
    <cellStyle name="Normal_OCR0005"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chartsheet" Target="chartsheets/sheet2.xml" /><Relationship Id="rId9" Type="http://schemas.openxmlformats.org/officeDocument/2006/relationships/chartsheet" Target="chartsheets/sheet3.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ASTM D2887 Distillation Curve</a:t>
            </a:r>
          </a:p>
        </c:rich>
      </c:tx>
      <c:layout/>
      <c:spPr>
        <a:noFill/>
        <a:ln>
          <a:noFill/>
        </a:ln>
      </c:spPr>
    </c:title>
    <c:plotArea>
      <c:layout>
        <c:manualLayout>
          <c:xMode val="edge"/>
          <c:yMode val="edge"/>
          <c:x val="0.08825"/>
          <c:y val="0.128"/>
          <c:w val="0.8495"/>
          <c:h val="0.73675"/>
        </c:manualLayout>
      </c:layout>
      <c:scatterChart>
        <c:scatterStyle val="smooth"/>
        <c:varyColors val="0"/>
        <c:ser>
          <c:idx val="0"/>
          <c:order val="0"/>
          <c:tx>
            <c:v>Distillation Curve</c:v>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'Input form'!$BB$41:$BB$59</c:f>
              <c:numCache>
                <c:ptCount val="19"/>
                <c:pt idx="0">
                  <c:v>0</c:v>
                </c:pt>
                <c:pt idx="1">
                  <c:v>1.1546319456101628E-14</c:v>
                </c:pt>
                <c:pt idx="2">
                  <c:v>2.588169678574559E-10</c:v>
                </c:pt>
                <c:pt idx="3">
                  <c:v>2.42259173499626E-07</c:v>
                </c:pt>
                <c:pt idx="4">
                  <c:v>3.07466913879173E-05</c:v>
                </c:pt>
                <c:pt idx="5">
                  <c:v>0.0009692761432975594</c:v>
                </c:pt>
                <c:pt idx="6">
                  <c:v>0.009918476753905336</c:v>
                </c:pt>
                <c:pt idx="7">
                  <c:v>0.05190480087884686</c:v>
                </c:pt>
                <c:pt idx="8">
                  <c:v>0.156772034965884</c:v>
                </c:pt>
                <c:pt idx="9">
                  <c:v>0.3319038628758063</c:v>
                </c:pt>
                <c:pt idx="10">
                  <c:v>0.5397114298063841</c:v>
                </c:pt>
                <c:pt idx="11">
                  <c:v>0.7161979229448832</c:v>
                </c:pt>
                <c:pt idx="12">
                  <c:v>0.8447828532594959</c:v>
                </c:pt>
                <c:pt idx="13">
                  <c:v>0.9279125193684364</c:v>
                </c:pt>
                <c:pt idx="14">
                  <c:v>0.9721096648325419</c:v>
                </c:pt>
                <c:pt idx="15">
                  <c:v>0.9911933948607985</c:v>
                </c:pt>
                <c:pt idx="16">
                  <c:v>0.9977802716589435</c:v>
                </c:pt>
                <c:pt idx="17">
                  <c:v>0.9995161802476968</c:v>
                </c:pt>
                <c:pt idx="18">
                  <c:v>0.9999076441305691</c:v>
                </c:pt>
              </c:numCache>
            </c:numRef>
          </c:xVal>
          <c:yVal>
            <c:numRef>
              <c:f>'Input form'!$W$41:$W$59</c:f>
              <c:numCache>
                <c:ptCount val="19"/>
                <c:pt idx="0">
                  <c:v>-201.64581629285817</c:v>
                </c:pt>
                <c:pt idx="1">
                  <c:v>-88.05465657009157</c:v>
                </c:pt>
                <c:pt idx="2">
                  <c:v>-0.24817321144700344</c:v>
                </c:pt>
                <c:pt idx="3">
                  <c:v>72.89781072938675</c:v>
                </c:pt>
                <c:pt idx="4">
                  <c:v>136.38010706589503</c:v>
                </c:pt>
                <c:pt idx="5">
                  <c:v>192.56228550062434</c:v>
                </c:pt>
                <c:pt idx="6">
                  <c:v>240.23205033218284</c:v>
                </c:pt>
                <c:pt idx="7">
                  <c:v>283.7337348270931</c:v>
                </c:pt>
                <c:pt idx="8">
                  <c:v>322.0410960505166</c:v>
                </c:pt>
                <c:pt idx="9">
                  <c:v>357.51993767596065</c:v>
                </c:pt>
                <c:pt idx="10">
                  <c:v>390.5980914324682</c:v>
                </c:pt>
                <c:pt idx="11">
                  <c:v>419.80790788174545</c:v>
                </c:pt>
                <c:pt idx="12">
                  <c:v>447.21336194699217</c:v>
                </c:pt>
                <c:pt idx="13">
                  <c:v>474.82805608491867</c:v>
                </c:pt>
                <c:pt idx="14">
                  <c:v>502.82758667925077</c:v>
                </c:pt>
                <c:pt idx="15">
                  <c:v>531.3582837692321</c:v>
                </c:pt>
                <c:pt idx="16">
                  <c:v>560.5435403485724</c:v>
                </c:pt>
                <c:pt idx="17">
                  <c:v>588.6884941455711</c:v>
                </c:pt>
                <c:pt idx="18">
                  <c:v>615.8835555771623</c:v>
                </c:pt>
              </c:numCache>
            </c:numRef>
          </c:yVal>
          <c:smooth val="1"/>
        </c:ser>
        <c:axId val="15347990"/>
        <c:axId val="3914183"/>
      </c:scatterChart>
      <c:valAx>
        <c:axId val="15347990"/>
        <c:scaling>
          <c:orientation val="minMax"/>
          <c:max val="1"/>
          <c:min val="0"/>
        </c:scaling>
        <c:axPos val="b"/>
        <c:title>
          <c:tx>
            <c:rich>
              <a:bodyPr vert="horz" rot="0" anchor="ctr"/>
              <a:lstStyle/>
              <a:p>
                <a:pPr algn="ctr">
                  <a:defRPr/>
                </a:pPr>
                <a:r>
                  <a:rPr lang="en-US" cap="none" sz="800" b="1" i="0" u="none" baseline="0">
                    <a:latin typeface="Arial"/>
                    <a:ea typeface="Arial"/>
                    <a:cs typeface="Arial"/>
                  </a:rPr>
                  <a:t>Fraction Distilled</a:t>
                </a:r>
              </a:p>
            </c:rich>
          </c:tx>
          <c:layout>
            <c:manualLayout>
              <c:xMode val="factor"/>
              <c:yMode val="factor"/>
              <c:x val="-0.00675"/>
              <c:y val="0.0105"/>
            </c:manualLayout>
          </c:layout>
          <c:overlay val="0"/>
          <c:spPr>
            <a:noFill/>
            <a:ln>
              <a:noFill/>
            </a:ln>
          </c:spPr>
        </c:title>
        <c:majorGridlines/>
        <c:delete val="0"/>
        <c:numFmt formatCode="0.0" sourceLinked="0"/>
        <c:majorTickMark val="out"/>
        <c:minorTickMark val="none"/>
        <c:tickLblPos val="nextTo"/>
        <c:crossAx val="3914183"/>
        <c:crosses val="autoZero"/>
        <c:crossBetween val="midCat"/>
        <c:dispUnits/>
        <c:majorUnit val="0.2"/>
        <c:minorUnit val="0.05"/>
      </c:valAx>
      <c:valAx>
        <c:axId val="3914183"/>
        <c:scaling>
          <c:orientation val="minMax"/>
          <c:max val="600"/>
          <c:min val="100"/>
        </c:scaling>
        <c:axPos val="l"/>
        <c:title>
          <c:tx>
            <c:rich>
              <a:bodyPr vert="horz" rot="-5400000" anchor="ctr"/>
              <a:lstStyle/>
              <a:p>
                <a:pPr algn="ctr">
                  <a:defRPr/>
                </a:pPr>
                <a:r>
                  <a:rPr lang="en-US" cap="none" sz="800" b="1" i="0" u="none" baseline="0">
                    <a:latin typeface="Arial"/>
                    <a:ea typeface="Arial"/>
                    <a:cs typeface="Arial"/>
                  </a:rPr>
                  <a:t>Temperature Deg F</a:t>
                </a:r>
              </a:p>
            </c:rich>
          </c:tx>
          <c:layout/>
          <c:overlay val="0"/>
          <c:spPr>
            <a:noFill/>
            <a:ln>
              <a:noFill/>
            </a:ln>
          </c:spPr>
        </c:title>
        <c:majorGridlines/>
        <c:delete val="0"/>
        <c:numFmt formatCode="General" sourceLinked="1"/>
        <c:majorTickMark val="out"/>
        <c:minorTickMark val="none"/>
        <c:tickLblPos val="nextTo"/>
        <c:crossAx val="15347990"/>
        <c:crosses val="autoZero"/>
        <c:crossBetween val="midCat"/>
        <c:dispUnits/>
      </c:valAx>
      <c:spPr>
        <a:noFill/>
        <a:ln w="12700">
          <a:solidFill>
            <a:srgbClr val="808080"/>
          </a:solidFill>
        </a:ln>
      </c:spPr>
    </c:plotArea>
    <c:plotVisOnly val="1"/>
    <c:dispBlanksAs val="gap"/>
    <c:showDLblsOverMax val="0"/>
  </c:chart>
  <c:txPr>
    <a:bodyPr vert="horz" rot="0"/>
    <a:lstStyle/>
    <a:p>
      <a:pPr>
        <a:defRPr lang="en-US" cap="none" sz="5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25" b="1" i="0" u="none" baseline="0">
                <a:latin typeface="Arial"/>
                <a:ea typeface="Arial"/>
                <a:cs typeface="Arial"/>
              </a:rPr>
              <a:t>TC Fuel # TBD
full curve, based on curvefit of 1st 30% of data.</a:t>
            </a:r>
          </a:p>
        </c:rich>
      </c:tx>
      <c:layout/>
      <c:spPr>
        <a:noFill/>
        <a:ln>
          <a:noFill/>
        </a:ln>
      </c:spPr>
    </c:title>
    <c:plotArea>
      <c:layout>
        <c:manualLayout>
          <c:xMode val="edge"/>
          <c:yMode val="edge"/>
          <c:x val="0.0275"/>
          <c:y val="0.1735"/>
          <c:w val="0.88375"/>
          <c:h val="0.7915"/>
        </c:manualLayout>
      </c:layout>
      <c:scatterChart>
        <c:scatterStyle val="smooth"/>
        <c:varyColors val="0"/>
        <c:ser>
          <c:idx val="0"/>
          <c:order val="0"/>
          <c:tx>
            <c:v>D2887 data</c:v>
          </c:tx>
          <c:extLst>
            <c:ext xmlns:c14="http://schemas.microsoft.com/office/drawing/2007/8/2/chart" uri="{6F2FDCE9-48DA-4B69-8628-5D25D57E5C99}">
              <c14:invertSolidFillFmt>
                <c14:spPr>
                  <a:solidFill>
                    <a:srgbClr val="000000"/>
                  </a:solidFill>
                </c14:spPr>
              </c14:invertSolidFillFmt>
            </c:ext>
          </c:extLst>
          <c:marker>
            <c:symbol val="none"/>
          </c:marker>
          <c:xVal>
            <c:numRef>
              <c:f>'D2887 curve fit'!$B$17:$B$115</c:f>
              <c:numCache>
                <c:ptCount val="9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numCache>
            </c:numRef>
          </c:xVal>
          <c:yVal>
            <c:numRef>
              <c:f>'D2887 curve fit'!$C$17:$C$115</c:f>
              <c:numCache>
                <c:ptCount val="9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numCache>
            </c:numRef>
          </c:yVal>
          <c:smooth val="1"/>
        </c:ser>
        <c:ser>
          <c:idx val="1"/>
          <c:order val="1"/>
          <c:tx>
            <c:v>30%Curvefit</c:v>
          </c:tx>
          <c:extLst>
            <c:ext xmlns:c14="http://schemas.microsoft.com/office/drawing/2007/8/2/chart" uri="{6F2FDCE9-48DA-4B69-8628-5D25D57E5C99}">
              <c14:invertSolidFillFmt>
                <c14:spPr>
                  <a:solidFill>
                    <a:srgbClr val="000000"/>
                  </a:solidFill>
                </c14:spPr>
              </c14:invertSolidFillFmt>
            </c:ext>
          </c:extLst>
          <c:marker>
            <c:symbol val="none"/>
          </c:marker>
          <c:xVal>
            <c:numRef>
              <c:f>'D2887 curve fit'!$B$7:$B$126</c:f>
              <c:numCache>
                <c:ptCount val="1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numCache>
            </c:numRef>
          </c:xVal>
          <c:yVal>
            <c:numRef>
              <c:f>'D2887 curve fit'!$D$7:$D$126</c:f>
              <c:numCache>
                <c:ptCount val="1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numCache>
            </c:numRef>
          </c:yVal>
          <c:smooth val="1"/>
        </c:ser>
        <c:axId val="35227648"/>
        <c:axId val="48613377"/>
      </c:scatterChart>
      <c:valAx>
        <c:axId val="35227648"/>
        <c:scaling>
          <c:orientation val="minMax"/>
          <c:max val="100"/>
          <c:min val="0"/>
        </c:scaling>
        <c:axPos val="b"/>
        <c:delete val="0"/>
        <c:numFmt formatCode="General" sourceLinked="1"/>
        <c:majorTickMark val="out"/>
        <c:minorTickMark val="none"/>
        <c:tickLblPos val="nextTo"/>
        <c:crossAx val="48613377"/>
        <c:crosses val="autoZero"/>
        <c:crossBetween val="midCat"/>
        <c:dispUnits/>
      </c:valAx>
      <c:valAx>
        <c:axId val="48613377"/>
        <c:scaling>
          <c:orientation val="minMax"/>
          <c:min val="100"/>
        </c:scaling>
        <c:axPos val="l"/>
        <c:majorGridlines/>
        <c:delete val="0"/>
        <c:numFmt formatCode="General" sourceLinked="1"/>
        <c:majorTickMark val="out"/>
        <c:minorTickMark val="none"/>
        <c:tickLblPos val="nextTo"/>
        <c:crossAx val="35227648"/>
        <c:crosses val="autoZero"/>
        <c:crossBetween val="midCat"/>
        <c:dispUnits/>
      </c:valAx>
      <c:spPr>
        <a:solidFill>
          <a:srgbClr val="C0C0C0"/>
        </a:solidFill>
        <a:ln w="12700">
          <a:solidFill>
            <a:srgbClr val="808080"/>
          </a:solidFill>
        </a:ln>
      </c:spPr>
    </c:plotArea>
    <c:legend>
      <c:legendPos val="r"/>
      <c:layout>
        <c:manualLayout>
          <c:xMode val="edge"/>
          <c:yMode val="edge"/>
          <c:x val="0.23025"/>
          <c:y val="0.23875"/>
        </c:manualLayout>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25" b="1" i="0" u="none" baseline="0">
                <a:latin typeface="Arial"/>
                <a:ea typeface="Arial"/>
                <a:cs typeface="Arial"/>
              </a:rPr>
              <a:t>TC Fuel # TBD
curve fit to 1st 30% of data</a:t>
            </a:r>
          </a:p>
        </c:rich>
      </c:tx>
      <c:layout/>
      <c:spPr>
        <a:noFill/>
        <a:ln>
          <a:noFill/>
        </a:ln>
      </c:spPr>
    </c:title>
    <c:plotArea>
      <c:layout>
        <c:manualLayout>
          <c:xMode val="edge"/>
          <c:yMode val="edge"/>
          <c:x val="0.0275"/>
          <c:y val="0.17125"/>
          <c:w val="0.88375"/>
          <c:h val="0.79425"/>
        </c:manualLayout>
      </c:layout>
      <c:scatterChart>
        <c:scatterStyle val="smooth"/>
        <c:varyColors val="0"/>
        <c:ser>
          <c:idx val="0"/>
          <c:order val="0"/>
          <c:tx>
            <c:v>D2887 data</c:v>
          </c:tx>
          <c:extLst>
            <c:ext xmlns:c14="http://schemas.microsoft.com/office/drawing/2007/8/2/chart" uri="{6F2FDCE9-48DA-4B69-8628-5D25D57E5C99}">
              <c14:invertSolidFillFmt>
                <c14:spPr>
                  <a:solidFill>
                    <a:srgbClr val="000000"/>
                  </a:solidFill>
                </c14:spPr>
              </c14:invertSolidFillFmt>
            </c:ext>
          </c:extLst>
          <c:marker>
            <c:symbol val="none"/>
          </c:marker>
          <c:xVal>
            <c:numRef>
              <c:f>'D2887 curve fit'!$B$17:$B$115</c:f>
              <c:numCache>
                <c:ptCount val="9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numCache>
            </c:numRef>
          </c:xVal>
          <c:yVal>
            <c:numRef>
              <c:f>'D2887 curve fit'!$C$17:$C$115</c:f>
              <c:numCache>
                <c:ptCount val="9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numCache>
            </c:numRef>
          </c:yVal>
          <c:smooth val="1"/>
        </c:ser>
        <c:ser>
          <c:idx val="1"/>
          <c:order val="1"/>
          <c:tx>
            <c:v>30%Curvefit</c:v>
          </c:tx>
          <c:extLst>
            <c:ext xmlns:c14="http://schemas.microsoft.com/office/drawing/2007/8/2/chart" uri="{6F2FDCE9-48DA-4B69-8628-5D25D57E5C99}">
              <c14:invertSolidFillFmt>
                <c14:spPr>
                  <a:solidFill>
                    <a:srgbClr val="000000"/>
                  </a:solidFill>
                </c14:spPr>
              </c14:invertSolidFillFmt>
            </c:ext>
          </c:extLst>
          <c:marker>
            <c:symbol val="none"/>
          </c:marker>
          <c:xVal>
            <c:numRef>
              <c:f>'D2887 curve fit'!$B$7:$B$126</c:f>
              <c:numCache>
                <c:ptCount val="1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numCache>
            </c:numRef>
          </c:xVal>
          <c:yVal>
            <c:numRef>
              <c:f>'D2887 curve fit'!$D$7:$D$126</c:f>
              <c:numCache>
                <c:ptCount val="1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numCache>
            </c:numRef>
          </c:yVal>
          <c:smooth val="1"/>
        </c:ser>
        <c:axId val="34867210"/>
        <c:axId val="45369435"/>
      </c:scatterChart>
      <c:valAx>
        <c:axId val="34867210"/>
        <c:scaling>
          <c:orientation val="minMax"/>
          <c:max val="30"/>
          <c:min val="0"/>
        </c:scaling>
        <c:axPos val="b"/>
        <c:delete val="0"/>
        <c:numFmt formatCode="General" sourceLinked="1"/>
        <c:majorTickMark val="out"/>
        <c:minorTickMark val="none"/>
        <c:tickLblPos val="nextTo"/>
        <c:crossAx val="45369435"/>
        <c:crosses val="autoZero"/>
        <c:crossBetween val="midCat"/>
        <c:dispUnits/>
        <c:majorUnit val="5"/>
        <c:minorUnit val="1"/>
      </c:valAx>
      <c:valAx>
        <c:axId val="45369435"/>
        <c:scaling>
          <c:orientation val="minMax"/>
          <c:max val="400"/>
          <c:min val="100"/>
        </c:scaling>
        <c:axPos val="l"/>
        <c:majorGridlines/>
        <c:delete val="0"/>
        <c:numFmt formatCode="General" sourceLinked="1"/>
        <c:majorTickMark val="out"/>
        <c:minorTickMark val="none"/>
        <c:tickLblPos val="nextTo"/>
        <c:crossAx val="34867210"/>
        <c:crosses val="autoZero"/>
        <c:crossBetween val="midCat"/>
        <c:dispUnits/>
      </c:valAx>
      <c:spPr>
        <a:solidFill>
          <a:srgbClr val="C0C0C0"/>
        </a:solidFill>
        <a:ln w="12700">
          <a:solidFill>
            <a:srgbClr val="808080"/>
          </a:solidFill>
        </a:ln>
      </c:spPr>
    </c:plotArea>
    <c:legend>
      <c:legendPos val="r"/>
      <c:layout>
        <c:manualLayout>
          <c:xMode val="edge"/>
          <c:yMode val="edge"/>
          <c:x val="0.219"/>
          <c:y val="0.2325"/>
        </c:manualLayout>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400" b="1" i="0" u="none" baseline="0">
                <a:latin typeface="Arial"/>
                <a:ea typeface="Arial"/>
                <a:cs typeface="Arial"/>
              </a:rPr>
              <a:t>Carbon Content in Fuel 
</a:t>
            </a:r>
          </a:p>
        </c:rich>
      </c:tx>
      <c:layout/>
      <c:spPr>
        <a:noFill/>
        <a:ln>
          <a:noFill/>
        </a:ln>
      </c:spPr>
    </c:title>
    <c:plotArea>
      <c:layout>
        <c:manualLayout>
          <c:xMode val="edge"/>
          <c:yMode val="edge"/>
          <c:x val="0.03775"/>
          <c:y val="0.169"/>
          <c:w val="0.7895"/>
          <c:h val="0.781"/>
        </c:manualLayout>
      </c:layout>
      <c:barChart>
        <c:barDir val="col"/>
        <c:grouping val="clustered"/>
        <c:varyColors val="0"/>
        <c:ser>
          <c:idx val="6"/>
          <c:order val="0"/>
          <c:tx>
            <c:v>Vapor</c:v>
          </c:tx>
          <c:spPr>
            <a:pattFill prst="dkHorz">
              <a:fgClr>
                <a:srgbClr val="0066CC"/>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Ref>
              <c:f>Sheet1!$E$12:$E$30</c:f>
              <c:numCache>
                <c:ptCount val="19"/>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numCache>
            </c:numRef>
          </c:cat>
          <c:val>
            <c:numRef>
              <c:f>Sheet1!$Y$12:$Y$30</c:f>
              <c:numCache>
                <c:ptCount val="19"/>
                <c:pt idx="0">
                  <c:v>0</c:v>
                </c:pt>
                <c:pt idx="1">
                  <c:v>2.2156892912698624E-08</c:v>
                </c:pt>
                <c:pt idx="2">
                  <c:v>0.0001345823986229322</c:v>
                </c:pt>
                <c:pt idx="3">
                  <c:v>0.030971601468210697</c:v>
                </c:pt>
                <c:pt idx="4">
                  <c:v>1.0579514889418342</c:v>
                </c:pt>
                <c:pt idx="5">
                  <c:v>9.024808414962573</c:v>
                </c:pt>
                <c:pt idx="6">
                  <c:v>23.990578683307888</c:v>
                </c:pt>
                <c:pt idx="7">
                  <c:v>31.29261041217497</c:v>
                </c:pt>
                <c:pt idx="8">
                  <c:v>21.337904631549822</c:v>
                </c:pt>
                <c:pt idx="9">
                  <c:v>9.528982507945686</c:v>
                </c:pt>
                <c:pt idx="10">
                  <c:v>2.9802076839415226</c:v>
                </c:pt>
                <c:pt idx="11">
                  <c:v>0.6253439363285562</c:v>
                </c:pt>
                <c:pt idx="12">
                  <c:v>0.11190216033869863</c:v>
                </c:pt>
                <c:pt idx="13">
                  <c:v>0.016626742736361076</c:v>
                </c:pt>
                <c:pt idx="14">
                  <c:v>0.0019623351994620462</c:v>
                </c:pt>
                <c:pt idx="15">
                  <c:v>0.00018663394937820714</c:v>
                </c:pt>
                <c:pt idx="16">
                  <c:v>-0.00012832137344756484</c:v>
                </c:pt>
                <c:pt idx="17">
                  <c:v>-3.524423685473307E-05</c:v>
                </c:pt>
                <c:pt idx="18">
                  <c:v>-8.271790181554914E-06</c:v>
                </c:pt>
              </c:numCache>
            </c:numRef>
          </c:val>
        </c:ser>
        <c:ser>
          <c:idx val="7"/>
          <c:order val="1"/>
          <c:tx>
            <c:v>Liquid</c:v>
          </c:tx>
          <c:spPr>
            <a:solidFill>
              <a:srgbClr val="FF0000"/>
            </a:solidFill>
            <a:ln w="12700">
              <a:solidFill>
                <a:srgbClr val="00008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Sheet1!$E$12:$E$30</c:f>
              <c:numCache>
                <c:ptCount val="19"/>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numCache>
            </c:numRef>
          </c:cat>
          <c:val>
            <c:numRef>
              <c:f>'Input form'!$N$5:$N$23</c:f>
              <c:numCache>
                <c:ptCount val="19"/>
                <c:pt idx="0">
                  <c:v>0</c:v>
                </c:pt>
                <c:pt idx="1">
                  <c:v>5.773159728050814E-13</c:v>
                </c:pt>
                <c:pt idx="2">
                  <c:v>1.453251963212665E-08</c:v>
                </c:pt>
                <c:pt idx="3">
                  <c:v>1.5071692394119651E-05</c:v>
                </c:pt>
                <c:pt idx="4">
                  <c:v>0.0020772764016130374</c:v>
                </c:pt>
                <c:pt idx="5">
                  <c:v>0.06916043404929795</c:v>
                </c:pt>
                <c:pt idx="6">
                  <c:v>0.7059225655102641</c:v>
                </c:pt>
                <c:pt idx="7">
                  <c:v>3.5244917356420213</c:v>
                </c:pt>
                <c:pt idx="8">
                  <c:v>9.311662009896903</c:v>
                </c:pt>
                <c:pt idx="9">
                  <c:v>16.376021935532304</c:v>
                </c:pt>
                <c:pt idx="10">
                  <c:v>20.396103491857197</c:v>
                </c:pt>
                <c:pt idx="11">
                  <c:v>18.107865033005787</c:v>
                </c:pt>
                <c:pt idx="12">
                  <c:v>13.739307139877234</c:v>
                </c:pt>
                <c:pt idx="13">
                  <c:v>9.238868594043282</c:v>
                </c:pt>
                <c:pt idx="14">
                  <c:v>5.111065524742364</c:v>
                </c:pt>
                <c:pt idx="15">
                  <c:v>2.2977058944431694</c:v>
                </c:pt>
                <c:pt idx="16">
                  <c:v>0.8263436684244785</c:v>
                </c:pt>
                <c:pt idx="17">
                  <c:v>0.22696025760090557</c:v>
                </c:pt>
                <c:pt idx="18">
                  <c:v>0.05326736504933649</c:v>
                </c:pt>
              </c:numCache>
            </c:numRef>
          </c:val>
        </c:ser>
        <c:axId val="5671732"/>
        <c:axId val="51045589"/>
      </c:barChart>
      <c:catAx>
        <c:axId val="5671732"/>
        <c:scaling>
          <c:orientation val="minMax"/>
        </c:scaling>
        <c:axPos val="b"/>
        <c:title>
          <c:tx>
            <c:rich>
              <a:bodyPr vert="horz" rot="0" anchor="ctr"/>
              <a:lstStyle/>
              <a:p>
                <a:pPr algn="ctr">
                  <a:defRPr/>
                </a:pPr>
                <a:r>
                  <a:rPr lang="en-US" cap="none" sz="2000" b="1" i="0" u="none" baseline="0">
                    <a:latin typeface="Arial"/>
                    <a:ea typeface="Arial"/>
                    <a:cs typeface="Arial"/>
                  </a:rPr>
                  <a:t>Carbon Number</a:t>
                </a:r>
              </a:p>
            </c:rich>
          </c:tx>
          <c:layout/>
          <c:overlay val="0"/>
          <c:spPr>
            <a:noFill/>
            <a:ln>
              <a:noFill/>
            </a:ln>
          </c:spPr>
        </c:title>
        <c:delete val="0"/>
        <c:numFmt formatCode="General" sourceLinked="1"/>
        <c:majorTickMark val="out"/>
        <c:minorTickMark val="none"/>
        <c:tickLblPos val="nextTo"/>
        <c:txPr>
          <a:bodyPr/>
          <a:lstStyle/>
          <a:p>
            <a:pPr>
              <a:defRPr lang="en-US" cap="none" sz="1600" b="1" i="0" u="none" baseline="0">
                <a:latin typeface="Arial"/>
                <a:ea typeface="Arial"/>
                <a:cs typeface="Arial"/>
              </a:defRPr>
            </a:pPr>
          </a:p>
        </c:txPr>
        <c:crossAx val="51045589"/>
        <c:crosses val="autoZero"/>
        <c:auto val="1"/>
        <c:lblOffset val="100"/>
        <c:noMultiLvlLbl val="0"/>
      </c:catAx>
      <c:valAx>
        <c:axId val="51045589"/>
        <c:scaling>
          <c:orientation val="minMax"/>
        </c:scaling>
        <c:axPos val="l"/>
        <c:title>
          <c:tx>
            <c:rich>
              <a:bodyPr vert="horz" rot="-5400000" anchor="ctr"/>
              <a:lstStyle/>
              <a:p>
                <a:pPr algn="ctr">
                  <a:defRPr/>
                </a:pPr>
                <a:r>
                  <a:rPr lang="en-US" cap="none" sz="2000" b="1" i="0" u="none" baseline="0">
                    <a:latin typeface="Arial"/>
                    <a:ea typeface="Arial"/>
                    <a:cs typeface="Arial"/>
                  </a:rPr>
                  <a:t>% (by weight)
</a:t>
                </a:r>
              </a:p>
            </c:rich>
          </c:tx>
          <c:layout>
            <c:manualLayout>
              <c:xMode val="factor"/>
              <c:yMode val="factor"/>
              <c:x val="0.01725"/>
              <c:y val="0.00375"/>
            </c:manualLayout>
          </c:layout>
          <c:overlay val="0"/>
          <c:spPr>
            <a:noFill/>
            <a:ln>
              <a:noFill/>
            </a:ln>
          </c:spPr>
        </c:title>
        <c:majorGridlines/>
        <c:delete val="0"/>
        <c:numFmt formatCode="General" sourceLinked="1"/>
        <c:majorTickMark val="out"/>
        <c:minorTickMark val="none"/>
        <c:tickLblPos val="nextTo"/>
        <c:txPr>
          <a:bodyPr/>
          <a:lstStyle/>
          <a:p>
            <a:pPr>
              <a:defRPr lang="en-US" cap="none" sz="1600" b="1" i="0" u="none" baseline="0">
                <a:latin typeface="Arial"/>
                <a:ea typeface="Arial"/>
                <a:cs typeface="Arial"/>
              </a:defRPr>
            </a:pPr>
          </a:p>
        </c:txPr>
        <c:crossAx val="5671732"/>
        <c:crossesAt val="1"/>
        <c:crossBetween val="between"/>
        <c:dispUnits/>
      </c:valAx>
      <c:spPr>
        <a:noFill/>
        <a:ln w="12700">
          <a:solidFill>
            <a:srgbClr val="808080"/>
          </a:solidFill>
        </a:ln>
      </c:spPr>
    </c:plotArea>
    <c:legend>
      <c:legendPos val="r"/>
      <c:layout>
        <c:manualLayout>
          <c:xMode val="edge"/>
          <c:yMode val="edge"/>
          <c:x val="0.83875"/>
          <c:y val="0.48875"/>
          <c:w val="0.1395"/>
          <c:h val="0.22075"/>
        </c:manualLayout>
      </c:layout>
      <c:overlay val="0"/>
      <c:txPr>
        <a:bodyPr vert="horz" rot="0"/>
        <a:lstStyle/>
        <a:p>
          <a:pPr>
            <a:defRPr lang="en-US" cap="none" sz="1200" b="1"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ASTM D2887 Distillation Curves</a:t>
            </a:r>
          </a:p>
        </c:rich>
      </c:tx>
      <c:layout/>
      <c:spPr>
        <a:noFill/>
        <a:ln>
          <a:noFill/>
        </a:ln>
      </c:spPr>
    </c:title>
    <c:plotArea>
      <c:layout/>
      <c:scatterChart>
        <c:scatterStyle val="smoothMarker"/>
        <c:varyColors val="0"/>
        <c:ser>
          <c:idx val="4"/>
          <c:order val="0"/>
          <c:tx>
            <c:v>JP 5</c:v>
          </c:tx>
          <c:spPr>
            <a:ln w="25400">
              <a:solidFill>
                <a:srgbClr val="800080"/>
              </a:solidFill>
            </a:ln>
          </c:spPr>
          <c:extLst>
            <c:ext xmlns:c14="http://schemas.microsoft.com/office/drawing/2007/8/2/chart" uri="{6F2FDCE9-48DA-4B69-8628-5D25D57E5C99}">
              <c14:invertSolidFillFmt>
                <c14:spPr>
                  <a:solidFill>
                    <a:srgbClr val="000000"/>
                  </a:solidFill>
                </c14:spPr>
              </c14:invertSolidFillFmt>
            </c:ext>
          </c:extLst>
          <c:xVal>
            <c:numRef>
              <c:f>'Input form'!$AX$41:$AX$59</c:f>
              <c:numCache>
                <c:ptCount val="19"/>
                <c:pt idx="0">
                  <c:v>0</c:v>
                </c:pt>
                <c:pt idx="1">
                  <c:v>1.4432899320127035E-13</c:v>
                </c:pt>
                <c:pt idx="2">
                  <c:v>2.8919977523855778E-09</c:v>
                </c:pt>
                <c:pt idx="3">
                  <c:v>2.9101568932432542E-06</c:v>
                </c:pt>
                <c:pt idx="4">
                  <c:v>0.0004337457297665104</c:v>
                </c:pt>
                <c:pt idx="5">
                  <c:v>0.016944665393747727</c:v>
                </c:pt>
                <c:pt idx="6">
                  <c:v>0.21841284425270224</c:v>
                </c:pt>
                <c:pt idx="7">
                  <c:v>1.4590936583807945</c:v>
                </c:pt>
                <c:pt idx="8">
                  <c:v>5.5728824434119755</c:v>
                </c:pt>
                <c:pt idx="9">
                  <c:v>14.781583572800571</c:v>
                </c:pt>
                <c:pt idx="10">
                  <c:v>29.56502080708605</c:v>
                </c:pt>
                <c:pt idx="11">
                  <c:v>46.510890123581206</c:v>
                </c:pt>
                <c:pt idx="12">
                  <c:v>63.08296713342598</c:v>
                </c:pt>
                <c:pt idx="13">
                  <c:v>77.60418393698654</c:v>
                </c:pt>
                <c:pt idx="14">
                  <c:v>88.29089656891097</c:v>
                </c:pt>
                <c:pt idx="15">
                  <c:v>94.82999815864892</c:v>
                </c:pt>
                <c:pt idx="16">
                  <c:v>98.11266313917987</c:v>
                </c:pt>
                <c:pt idx="17">
                  <c:v>99.39735414525374</c:v>
                </c:pt>
                <c:pt idx="18">
                  <c:v>99.82995384018774</c:v>
                </c:pt>
              </c:numCache>
            </c:numRef>
          </c:xVal>
          <c:yVal>
            <c:numRef>
              <c:f>'Input form'!$W$41:$W$59</c:f>
              <c:numCache>
                <c:ptCount val="19"/>
                <c:pt idx="0">
                  <c:v>-201.64581629285817</c:v>
                </c:pt>
                <c:pt idx="1">
                  <c:v>-88.05465657009157</c:v>
                </c:pt>
                <c:pt idx="2">
                  <c:v>-0.24817321144700344</c:v>
                </c:pt>
                <c:pt idx="3">
                  <c:v>72.89781072938675</c:v>
                </c:pt>
                <c:pt idx="4">
                  <c:v>136.38010706589503</c:v>
                </c:pt>
                <c:pt idx="5">
                  <c:v>192.56228550062434</c:v>
                </c:pt>
                <c:pt idx="6">
                  <c:v>240.23205033218284</c:v>
                </c:pt>
                <c:pt idx="7">
                  <c:v>283.7337348270931</c:v>
                </c:pt>
                <c:pt idx="8">
                  <c:v>322.0410960505166</c:v>
                </c:pt>
                <c:pt idx="9">
                  <c:v>357.51993767596065</c:v>
                </c:pt>
                <c:pt idx="10">
                  <c:v>390.5980914324682</c:v>
                </c:pt>
                <c:pt idx="11">
                  <c:v>419.80790788174545</c:v>
                </c:pt>
                <c:pt idx="12">
                  <c:v>447.21336194699217</c:v>
                </c:pt>
                <c:pt idx="13">
                  <c:v>474.82805608491867</c:v>
                </c:pt>
                <c:pt idx="14">
                  <c:v>502.82758667925077</c:v>
                </c:pt>
                <c:pt idx="15">
                  <c:v>531.3582837692321</c:v>
                </c:pt>
                <c:pt idx="16">
                  <c:v>560.5435403485724</c:v>
                </c:pt>
                <c:pt idx="17">
                  <c:v>588.6884941455711</c:v>
                </c:pt>
                <c:pt idx="18">
                  <c:v>615.8835555771623</c:v>
                </c:pt>
              </c:numCache>
            </c:numRef>
          </c:yVal>
          <c:smooth val="1"/>
        </c:ser>
        <c:ser>
          <c:idx val="3"/>
          <c:order val="1"/>
          <c:tx>
            <c:v>Jet A /JP 8</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xVal>
            <c:numRef>
              <c:f>'Input form'!$AR$41:$AR$59</c:f>
              <c:numCache>
                <c:ptCount val="19"/>
                <c:pt idx="0">
                  <c:v>0</c:v>
                </c:pt>
                <c:pt idx="1">
                  <c:v>3.552713678800501E-12</c:v>
                </c:pt>
                <c:pt idx="2">
                  <c:v>4.24451140901283E-08</c:v>
                </c:pt>
                <c:pt idx="3">
                  <c:v>2.7145025116581678E-05</c:v>
                </c:pt>
                <c:pt idx="4">
                  <c:v>0.002741337797129706</c:v>
                </c:pt>
                <c:pt idx="5">
                  <c:v>0.07627561766306856</c:v>
                </c:pt>
                <c:pt idx="6">
                  <c:v>0.7416521103309481</c:v>
                </c:pt>
                <c:pt idx="7">
                  <c:v>3.859955692712602</c:v>
                </c:pt>
                <c:pt idx="8">
                  <c:v>11.943239261793847</c:v>
                </c:pt>
                <c:pt idx="9">
                  <c:v>26.36930625073328</c:v>
                </c:pt>
                <c:pt idx="10">
                  <c:v>45.10114251161881</c:v>
                </c:pt>
                <c:pt idx="11">
                  <c:v>62.78919759722959</c:v>
                </c:pt>
                <c:pt idx="12">
                  <c:v>77.27391934624933</c:v>
                </c:pt>
                <c:pt idx="13">
                  <c:v>87.95497642467002</c:v>
                </c:pt>
                <c:pt idx="14">
                  <c:v>94.55879958268551</c:v>
                </c:pt>
                <c:pt idx="15">
                  <c:v>97.94458743683344</c:v>
                </c:pt>
                <c:pt idx="16">
                  <c:v>99.36386481320977</c:v>
                </c:pt>
                <c:pt idx="17">
                  <c:v>99.8274540208134</c:v>
                </c:pt>
                <c:pt idx="18">
                  <c:v>99.95852919420103</c:v>
                </c:pt>
              </c:numCache>
            </c:numRef>
          </c:xVal>
          <c:yVal>
            <c:numRef>
              <c:f>'Input form'!$W$41:$W$59</c:f>
              <c:numCache>
                <c:ptCount val="19"/>
                <c:pt idx="0">
                  <c:v>-201.64581629285817</c:v>
                </c:pt>
                <c:pt idx="1">
                  <c:v>-88.05465657009157</c:v>
                </c:pt>
                <c:pt idx="2">
                  <c:v>-0.24817321144700344</c:v>
                </c:pt>
                <c:pt idx="3">
                  <c:v>72.89781072938675</c:v>
                </c:pt>
                <c:pt idx="4">
                  <c:v>136.38010706589503</c:v>
                </c:pt>
                <c:pt idx="5">
                  <c:v>192.56228550062434</c:v>
                </c:pt>
                <c:pt idx="6">
                  <c:v>240.23205033218284</c:v>
                </c:pt>
                <c:pt idx="7">
                  <c:v>283.7337348270931</c:v>
                </c:pt>
                <c:pt idx="8">
                  <c:v>322.0410960505166</c:v>
                </c:pt>
                <c:pt idx="9">
                  <c:v>357.51993767596065</c:v>
                </c:pt>
                <c:pt idx="10">
                  <c:v>390.5980914324682</c:v>
                </c:pt>
                <c:pt idx="11">
                  <c:v>419.80790788174545</c:v>
                </c:pt>
                <c:pt idx="12">
                  <c:v>447.21336194699217</c:v>
                </c:pt>
                <c:pt idx="13">
                  <c:v>474.82805608491867</c:v>
                </c:pt>
                <c:pt idx="14">
                  <c:v>502.82758667925077</c:v>
                </c:pt>
                <c:pt idx="15">
                  <c:v>531.3582837692321</c:v>
                </c:pt>
                <c:pt idx="16">
                  <c:v>560.5435403485724</c:v>
                </c:pt>
                <c:pt idx="17">
                  <c:v>588.6884941455711</c:v>
                </c:pt>
                <c:pt idx="18">
                  <c:v>615.8835555771623</c:v>
                </c:pt>
              </c:numCache>
            </c:numRef>
          </c:yVal>
          <c:smooth val="1"/>
        </c:ser>
        <c:ser>
          <c:idx val="1"/>
          <c:order val="2"/>
          <c:tx>
            <c:v>TS-1</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xVal>
            <c:numRef>
              <c:f>'Input form'!$AL$41:$AL$59</c:f>
              <c:numCache>
                <c:ptCount val="19"/>
                <c:pt idx="0">
                  <c:v>1.1102230246251565E-14</c:v>
                </c:pt>
                <c:pt idx="1">
                  <c:v>2.1153079288183108E-09</c:v>
                </c:pt>
                <c:pt idx="2">
                  <c:v>5.6371848300429406E-06</c:v>
                </c:pt>
                <c:pt idx="3">
                  <c:v>0.0011713453985984223</c:v>
                </c:pt>
                <c:pt idx="4">
                  <c:v>0.04903701382032999</c:v>
                </c:pt>
                <c:pt idx="5">
                  <c:v>0.6759073486238942</c:v>
                </c:pt>
                <c:pt idx="6">
                  <c:v>3.8464133746705986</c:v>
                </c:pt>
                <c:pt idx="7">
                  <c:v>12.943573585171709</c:v>
                </c:pt>
                <c:pt idx="8">
                  <c:v>28.579230979864022</c:v>
                </c:pt>
                <c:pt idx="9">
                  <c:v>48.246349430653204</c:v>
                </c:pt>
                <c:pt idx="10">
                  <c:v>67.0926107023899</c:v>
                </c:pt>
                <c:pt idx="11">
                  <c:v>80.84035079871839</c:v>
                </c:pt>
                <c:pt idx="12">
                  <c:v>89.88540627009581</c:v>
                </c:pt>
                <c:pt idx="13">
                  <c:v>95.36329291263426</c:v>
                </c:pt>
                <c:pt idx="14">
                  <c:v>98.18212766409653</c:v>
                </c:pt>
                <c:pt idx="15">
                  <c:v>99.4005598889579</c:v>
                </c:pt>
                <c:pt idx="16">
                  <c:v>99.83676921600065</c:v>
                </c:pt>
                <c:pt idx="17">
                  <c:v>99.96039316695928</c:v>
                </c:pt>
                <c:pt idx="18">
                  <c:v>99.99134728866899</c:v>
                </c:pt>
              </c:numCache>
            </c:numRef>
          </c:xVal>
          <c:yVal>
            <c:numRef>
              <c:f>'Input form'!$W$41:$W$59</c:f>
              <c:numCache>
                <c:ptCount val="19"/>
                <c:pt idx="0">
                  <c:v>-201.64581629285817</c:v>
                </c:pt>
                <c:pt idx="1">
                  <c:v>-88.05465657009157</c:v>
                </c:pt>
                <c:pt idx="2">
                  <c:v>-0.24817321144700344</c:v>
                </c:pt>
                <c:pt idx="3">
                  <c:v>72.89781072938675</c:v>
                </c:pt>
                <c:pt idx="4">
                  <c:v>136.38010706589503</c:v>
                </c:pt>
                <c:pt idx="5">
                  <c:v>192.56228550062434</c:v>
                </c:pt>
                <c:pt idx="6">
                  <c:v>240.23205033218284</c:v>
                </c:pt>
                <c:pt idx="7">
                  <c:v>283.7337348270931</c:v>
                </c:pt>
                <c:pt idx="8">
                  <c:v>322.0410960505166</c:v>
                </c:pt>
                <c:pt idx="9">
                  <c:v>357.51993767596065</c:v>
                </c:pt>
                <c:pt idx="10">
                  <c:v>390.5980914324682</c:v>
                </c:pt>
                <c:pt idx="11">
                  <c:v>419.80790788174545</c:v>
                </c:pt>
                <c:pt idx="12">
                  <c:v>447.21336194699217</c:v>
                </c:pt>
                <c:pt idx="13">
                  <c:v>474.82805608491867</c:v>
                </c:pt>
                <c:pt idx="14">
                  <c:v>502.82758667925077</c:v>
                </c:pt>
                <c:pt idx="15">
                  <c:v>531.3582837692321</c:v>
                </c:pt>
                <c:pt idx="16">
                  <c:v>560.5435403485724</c:v>
                </c:pt>
                <c:pt idx="17">
                  <c:v>588.6884941455711</c:v>
                </c:pt>
                <c:pt idx="18">
                  <c:v>615.8835555771623</c:v>
                </c:pt>
              </c:numCache>
            </c:numRef>
          </c:yVal>
          <c:smooth val="1"/>
        </c:ser>
        <c:ser>
          <c:idx val="2"/>
          <c:order val="3"/>
          <c:tx>
            <c:v>Jet B/JP4</c:v>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FF00"/>
              </a:solidFill>
              <a:ln>
                <a:solidFill>
                  <a:srgbClr val="00FF00"/>
                </a:solidFill>
              </a:ln>
            </c:spPr>
          </c:marker>
          <c:xVal>
            <c:numRef>
              <c:f>'Input form'!$AF$41:$AF$59</c:f>
              <c:numCache>
                <c:ptCount val="19"/>
                <c:pt idx="0">
                  <c:v>1.7158861331800779E-06</c:v>
                </c:pt>
                <c:pt idx="1">
                  <c:v>0.0010405286328007968</c:v>
                </c:pt>
                <c:pt idx="2">
                  <c:v>0.051811119067224354</c:v>
                </c:pt>
                <c:pt idx="3">
                  <c:v>0.6797280434054365</c:v>
                </c:pt>
                <c:pt idx="4">
                  <c:v>3.899717188001628</c:v>
                </c:pt>
                <c:pt idx="5">
                  <c:v>12.751920201459232</c:v>
                </c:pt>
                <c:pt idx="6">
                  <c:v>27.14170321351417</c:v>
                </c:pt>
                <c:pt idx="7">
                  <c:v>45.01901983721245</c:v>
                </c:pt>
                <c:pt idx="8">
                  <c:v>61.808549586671745</c:v>
                </c:pt>
                <c:pt idx="9">
                  <c:v>75.6367745218513</c:v>
                </c:pt>
                <c:pt idx="10">
                  <c:v>85.59277519471713</c:v>
                </c:pt>
                <c:pt idx="11">
                  <c:v>91.7241632518703</c:v>
                </c:pt>
                <c:pt idx="12">
                  <c:v>95.46064102636741</c:v>
                </c:pt>
                <c:pt idx="13">
                  <c:v>97.7146591658829</c:v>
                </c:pt>
                <c:pt idx="14">
                  <c:v>98.95336568496518</c:v>
                </c:pt>
                <c:pt idx="15">
                  <c:v>99.56827984016003</c:v>
                </c:pt>
                <c:pt idx="16">
                  <c:v>99.84135479799858</c:v>
                </c:pt>
                <c:pt idx="17">
                  <c:v>99.94491412585609</c:v>
                </c:pt>
                <c:pt idx="18">
                  <c:v>99.98182907817912</c:v>
                </c:pt>
              </c:numCache>
            </c:numRef>
          </c:xVal>
          <c:yVal>
            <c:numRef>
              <c:f>'Input form'!$W$41:$W$59</c:f>
              <c:numCache>
                <c:ptCount val="19"/>
                <c:pt idx="0">
                  <c:v>-201.64581629285817</c:v>
                </c:pt>
                <c:pt idx="1">
                  <c:v>-88.05465657009157</c:v>
                </c:pt>
                <c:pt idx="2">
                  <c:v>-0.24817321144700344</c:v>
                </c:pt>
                <c:pt idx="3">
                  <c:v>72.89781072938675</c:v>
                </c:pt>
                <c:pt idx="4">
                  <c:v>136.38010706589503</c:v>
                </c:pt>
                <c:pt idx="5">
                  <c:v>192.56228550062434</c:v>
                </c:pt>
                <c:pt idx="6">
                  <c:v>240.23205033218284</c:v>
                </c:pt>
                <c:pt idx="7">
                  <c:v>283.7337348270931</c:v>
                </c:pt>
                <c:pt idx="8">
                  <c:v>322.0410960505166</c:v>
                </c:pt>
                <c:pt idx="9">
                  <c:v>357.51993767596065</c:v>
                </c:pt>
                <c:pt idx="10">
                  <c:v>390.5980914324682</c:v>
                </c:pt>
                <c:pt idx="11">
                  <c:v>419.80790788174545</c:v>
                </c:pt>
                <c:pt idx="12">
                  <c:v>447.21336194699217</c:v>
                </c:pt>
                <c:pt idx="13">
                  <c:v>474.82805608491867</c:v>
                </c:pt>
                <c:pt idx="14">
                  <c:v>502.82758667925077</c:v>
                </c:pt>
                <c:pt idx="15">
                  <c:v>531.3582837692321</c:v>
                </c:pt>
                <c:pt idx="16">
                  <c:v>560.5435403485724</c:v>
                </c:pt>
                <c:pt idx="17">
                  <c:v>588.6884941455711</c:v>
                </c:pt>
                <c:pt idx="18">
                  <c:v>615.8835555771623</c:v>
                </c:pt>
              </c:numCache>
            </c:numRef>
          </c:yVal>
          <c:smooth val="1"/>
        </c:ser>
        <c:ser>
          <c:idx val="0"/>
          <c:order val="4"/>
          <c:tx>
            <c:v>Avgas</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xVal>
            <c:numRef>
              <c:f>'Input form'!$Z$41:$Z$59</c:f>
              <c:numCache>
                <c:ptCount val="19"/>
                <c:pt idx="0">
                  <c:v>4.665023922711953E-09</c:v>
                </c:pt>
                <c:pt idx="1">
                  <c:v>0.00016936609120721258</c:v>
                </c:pt>
                <c:pt idx="2">
                  <c:v>0.06194267669665798</c:v>
                </c:pt>
                <c:pt idx="3">
                  <c:v>2.018042493875438</c:v>
                </c:pt>
                <c:pt idx="4">
                  <c:v>15.241580635967056</c:v>
                </c:pt>
                <c:pt idx="5">
                  <c:v>45.22561303720375</c:v>
                </c:pt>
                <c:pt idx="6">
                  <c:v>74.17998644958104</c:v>
                </c:pt>
                <c:pt idx="7">
                  <c:v>91.15791825064488</c:v>
                </c:pt>
                <c:pt idx="8">
                  <c:v>97.54893286260497</c:v>
                </c:pt>
                <c:pt idx="9">
                  <c:v>99.44675537982387</c:v>
                </c:pt>
                <c:pt idx="10">
                  <c:v>99.89444602355731</c:v>
                </c:pt>
                <c:pt idx="11">
                  <c:v>99.98038674502364</c:v>
                </c:pt>
                <c:pt idx="12">
                  <c:v>99.99665716772883</c:v>
                </c:pt>
                <c:pt idx="13">
                  <c:v>99.99953432646599</c:v>
                </c:pt>
                <c:pt idx="14">
                  <c:v>99.9999480325767</c:v>
                </c:pt>
                <c:pt idx="15">
                  <c:v>99.9999954565392</c:v>
                </c:pt>
                <c:pt idx="16">
                  <c:v>99.99999969627454</c:v>
                </c:pt>
                <c:pt idx="17">
                  <c:v>99.99999998177339</c:v>
                </c:pt>
                <c:pt idx="18">
                  <c:v>99.9999999990066</c:v>
                </c:pt>
              </c:numCache>
            </c:numRef>
          </c:xVal>
          <c:yVal>
            <c:numRef>
              <c:f>'Input form'!$W$41:$W$59</c:f>
              <c:numCache>
                <c:ptCount val="19"/>
                <c:pt idx="0">
                  <c:v>-201.64581629285817</c:v>
                </c:pt>
                <c:pt idx="1">
                  <c:v>-88.05465657009157</c:v>
                </c:pt>
                <c:pt idx="2">
                  <c:v>-0.24817321144700344</c:v>
                </c:pt>
                <c:pt idx="3">
                  <c:v>72.89781072938675</c:v>
                </c:pt>
                <c:pt idx="4">
                  <c:v>136.38010706589503</c:v>
                </c:pt>
                <c:pt idx="5">
                  <c:v>192.56228550062434</c:v>
                </c:pt>
                <c:pt idx="6">
                  <c:v>240.23205033218284</c:v>
                </c:pt>
                <c:pt idx="7">
                  <c:v>283.7337348270931</c:v>
                </c:pt>
                <c:pt idx="8">
                  <c:v>322.0410960505166</c:v>
                </c:pt>
                <c:pt idx="9">
                  <c:v>357.51993767596065</c:v>
                </c:pt>
                <c:pt idx="10">
                  <c:v>390.5980914324682</c:v>
                </c:pt>
                <c:pt idx="11">
                  <c:v>419.80790788174545</c:v>
                </c:pt>
                <c:pt idx="12">
                  <c:v>447.21336194699217</c:v>
                </c:pt>
                <c:pt idx="13">
                  <c:v>474.82805608491867</c:v>
                </c:pt>
                <c:pt idx="14">
                  <c:v>502.82758667925077</c:v>
                </c:pt>
                <c:pt idx="15">
                  <c:v>531.3582837692321</c:v>
                </c:pt>
                <c:pt idx="16">
                  <c:v>560.5435403485724</c:v>
                </c:pt>
                <c:pt idx="17">
                  <c:v>588.6884941455711</c:v>
                </c:pt>
                <c:pt idx="18">
                  <c:v>615.8835555771623</c:v>
                </c:pt>
              </c:numCache>
            </c:numRef>
          </c:yVal>
          <c:smooth val="1"/>
        </c:ser>
        <c:axId val="56757118"/>
        <c:axId val="41052015"/>
      </c:scatterChart>
      <c:valAx>
        <c:axId val="56757118"/>
        <c:scaling>
          <c:orientation val="minMax"/>
          <c:max val="100"/>
          <c:min val="0"/>
        </c:scaling>
        <c:axPos val="b"/>
        <c:title>
          <c:tx>
            <c:rich>
              <a:bodyPr vert="horz" rot="0" anchor="ctr"/>
              <a:lstStyle/>
              <a:p>
                <a:pPr algn="ctr">
                  <a:defRPr/>
                </a:pPr>
                <a:r>
                  <a:rPr lang="en-US" cap="none" sz="925" b="1" i="0" u="none" baseline="0">
                    <a:latin typeface="Arial"/>
                    <a:ea typeface="Arial"/>
                    <a:cs typeface="Arial"/>
                  </a:rPr>
                  <a:t>Percent Distilled</a:t>
                </a:r>
              </a:p>
            </c:rich>
          </c:tx>
          <c:layout/>
          <c:overlay val="0"/>
          <c:spPr>
            <a:noFill/>
            <a:ln>
              <a:noFill/>
            </a:ln>
          </c:spPr>
        </c:title>
        <c:majorGridlines>
          <c:spPr>
            <a:ln w="12700">
              <a:solidFill/>
            </a:ln>
          </c:spPr>
        </c:majorGridlines>
        <c:delete val="0"/>
        <c:numFmt formatCode="General" sourceLinked="1"/>
        <c:majorTickMark val="out"/>
        <c:minorTickMark val="none"/>
        <c:tickLblPos val="nextTo"/>
        <c:spPr>
          <a:ln w="25400">
            <a:solidFill/>
          </a:ln>
        </c:spPr>
        <c:crossAx val="41052015"/>
        <c:crosses val="autoZero"/>
        <c:crossBetween val="midCat"/>
        <c:dispUnits/>
        <c:majorUnit val="10"/>
        <c:minorUnit val="5"/>
      </c:valAx>
      <c:valAx>
        <c:axId val="41052015"/>
        <c:scaling>
          <c:orientation val="minMax"/>
          <c:min val="0"/>
        </c:scaling>
        <c:axPos val="l"/>
        <c:title>
          <c:tx>
            <c:rich>
              <a:bodyPr vert="horz" rot="-5400000" anchor="ctr"/>
              <a:lstStyle/>
              <a:p>
                <a:pPr algn="ctr">
                  <a:defRPr/>
                </a:pPr>
                <a:r>
                  <a:rPr lang="en-US" cap="none" sz="925" b="1" i="0" u="none" baseline="0">
                    <a:latin typeface="Arial"/>
                    <a:ea typeface="Arial"/>
                    <a:cs typeface="Arial"/>
                  </a:rPr>
                  <a:t>Temperature Deg F</a:t>
                </a:r>
              </a:p>
            </c:rich>
          </c:tx>
          <c:layout/>
          <c:overlay val="0"/>
          <c:spPr>
            <a:noFill/>
            <a:ln>
              <a:noFill/>
            </a:ln>
          </c:spPr>
        </c:title>
        <c:majorGridlines>
          <c:spPr>
            <a:ln w="25400">
              <a:solidFill/>
            </a:ln>
          </c:spPr>
        </c:majorGridlines>
        <c:minorGridlines>
          <c:spPr>
            <a:ln w="3175">
              <a:solidFill/>
              <a:prstDash val="sysDot"/>
            </a:ln>
          </c:spPr>
        </c:minorGridlines>
        <c:delete val="0"/>
        <c:numFmt formatCode="General" sourceLinked="1"/>
        <c:majorTickMark val="out"/>
        <c:minorTickMark val="none"/>
        <c:tickLblPos val="nextTo"/>
        <c:spPr>
          <a:ln w="25400">
            <a:solidFill/>
          </a:ln>
        </c:spPr>
        <c:crossAx val="56757118"/>
        <c:crosses val="autoZero"/>
        <c:crossBetween val="midCat"/>
        <c:dispUnits/>
      </c:valAx>
      <c:spPr>
        <a:no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85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600" b="1" i="0" u="none" baseline="0">
                <a:latin typeface="Arial"/>
                <a:ea typeface="Arial"/>
                <a:cs typeface="Arial"/>
              </a:rPr>
              <a:t>Distribution of Carbon for each Fuel</a:t>
            </a:r>
          </a:p>
        </c:rich>
      </c:tx>
      <c:layout/>
      <c:spPr>
        <a:noFill/>
        <a:ln>
          <a:noFill/>
        </a:ln>
      </c:spPr>
    </c:title>
    <c:plotArea>
      <c:layout>
        <c:manualLayout>
          <c:xMode val="edge"/>
          <c:yMode val="edge"/>
          <c:x val="0.039"/>
          <c:y val="0.178"/>
          <c:w val="0.83975"/>
          <c:h val="0.7635"/>
        </c:manualLayout>
      </c:layout>
      <c:scatterChart>
        <c:scatterStyle val="smooth"/>
        <c:varyColors val="0"/>
        <c:ser>
          <c:idx val="0"/>
          <c:order val="0"/>
          <c:tx>
            <c:v>Avgas</c:v>
          </c:tx>
          <c:extLst>
            <c:ext xmlns:c14="http://schemas.microsoft.com/office/drawing/2007/8/2/chart" uri="{6F2FDCE9-48DA-4B69-8628-5D25D57E5C99}">
              <c14:invertSolidFillFmt>
                <c14:spPr>
                  <a:solidFill>
                    <a:srgbClr val="000000"/>
                  </a:solidFill>
                </c14:spPr>
              </c14:invertSolidFillFmt>
            </c:ext>
          </c:extLst>
          <c:marker>
            <c:symbol val="none"/>
          </c:marker>
          <c:xVal>
            <c:numRef>
              <c:f>'Input form'!$W$5:$W$23</c:f>
              <c:numCache>
                <c:ptCount val="19"/>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numCache>
            </c:numRef>
          </c:xVal>
          <c:yVal>
            <c:numRef>
              <c:f>'Input form'!$Z$5:$Z$23</c:f>
              <c:numCache>
                <c:ptCount val="19"/>
                <c:pt idx="0">
                  <c:v>4.665023922711953E-09</c:v>
                </c:pt>
                <c:pt idx="1">
                  <c:v>0.00016936142618328986</c:v>
                </c:pt>
                <c:pt idx="2">
                  <c:v>0.06177331060545077</c:v>
                </c:pt>
                <c:pt idx="3">
                  <c:v>1.9560998171787802</c:v>
                </c:pt>
                <c:pt idx="4">
                  <c:v>13.223538142091618</c:v>
                </c:pt>
                <c:pt idx="5">
                  <c:v>29.984032401236693</c:v>
                </c:pt>
                <c:pt idx="6">
                  <c:v>28.954373412377286</c:v>
                </c:pt>
                <c:pt idx="7">
                  <c:v>16.97793180106385</c:v>
                </c:pt>
                <c:pt idx="8">
                  <c:v>6.3910146119600775</c:v>
                </c:pt>
                <c:pt idx="9">
                  <c:v>1.8978225172189056</c:v>
                </c:pt>
                <c:pt idx="10">
                  <c:v>0.4476906437334338</c:v>
                </c:pt>
                <c:pt idx="11">
                  <c:v>0.08594072146632659</c:v>
                </c:pt>
                <c:pt idx="12">
                  <c:v>0.016270422705200183</c:v>
                </c:pt>
                <c:pt idx="13">
                  <c:v>0.002877158737157881</c:v>
                </c:pt>
                <c:pt idx="14">
                  <c:v>0.00041370611070234986</c:v>
                </c:pt>
                <c:pt idx="15">
                  <c:v>4.7423962501458305E-05</c:v>
                </c:pt>
                <c:pt idx="16">
                  <c:v>4.239735351685425E-06</c:v>
                </c:pt>
                <c:pt idx="17">
                  <c:v>2.8549883568373957E-07</c:v>
                </c:pt>
                <c:pt idx="18">
                  <c:v>1.7233225957369314E-08</c:v>
                </c:pt>
              </c:numCache>
            </c:numRef>
          </c:yVal>
          <c:smooth val="1"/>
        </c:ser>
        <c:ser>
          <c:idx val="1"/>
          <c:order val="1"/>
          <c:tx>
            <c:v>JP 4</c:v>
          </c:tx>
          <c:extLst>
            <c:ext xmlns:c14="http://schemas.microsoft.com/office/drawing/2007/8/2/chart" uri="{6F2FDCE9-48DA-4B69-8628-5D25D57E5C99}">
              <c14:invertSolidFillFmt>
                <c14:spPr>
                  <a:solidFill>
                    <a:srgbClr val="000000"/>
                  </a:solidFill>
                </c14:spPr>
              </c14:invertSolidFillFmt>
            </c:ext>
          </c:extLst>
          <c:marker>
            <c:symbol val="none"/>
          </c:marker>
          <c:xVal>
            <c:numRef>
              <c:f>'Input form'!$W$5:$W$23</c:f>
              <c:numCache>
                <c:ptCount val="19"/>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numCache>
            </c:numRef>
          </c:xVal>
          <c:yVal>
            <c:numRef>
              <c:f>'Input form'!$AF$5:$AF$23</c:f>
              <c:numCache>
                <c:ptCount val="19"/>
                <c:pt idx="0">
                  <c:v>1.7158861331800779E-06</c:v>
                </c:pt>
                <c:pt idx="1">
                  <c:v>0.0010388127466676167</c:v>
                </c:pt>
                <c:pt idx="2">
                  <c:v>0.05077059043442356</c:v>
                </c:pt>
                <c:pt idx="3">
                  <c:v>0.6279169243382121</c:v>
                </c:pt>
                <c:pt idx="4">
                  <c:v>3.2199891445961915</c:v>
                </c:pt>
                <c:pt idx="5">
                  <c:v>8.852203013457604</c:v>
                </c:pt>
                <c:pt idx="6">
                  <c:v>14.389783012054934</c:v>
                </c:pt>
                <c:pt idx="7">
                  <c:v>17.87731662369828</c:v>
                </c:pt>
                <c:pt idx="8">
                  <c:v>16.789529749459298</c:v>
                </c:pt>
                <c:pt idx="9">
                  <c:v>13.828224935179545</c:v>
                </c:pt>
                <c:pt idx="10">
                  <c:v>9.956000672865839</c:v>
                </c:pt>
                <c:pt idx="11">
                  <c:v>6.131388057153164</c:v>
                </c:pt>
                <c:pt idx="12">
                  <c:v>3.7364777744971156</c:v>
                </c:pt>
                <c:pt idx="13">
                  <c:v>2.25401813951549</c:v>
                </c:pt>
                <c:pt idx="14">
                  <c:v>1.2387065190822777</c:v>
                </c:pt>
                <c:pt idx="15">
                  <c:v>0.6149141551948567</c:v>
                </c:pt>
                <c:pt idx="16">
                  <c:v>0.2730749578385483</c:v>
                </c:pt>
                <c:pt idx="17">
                  <c:v>0.10355932785750532</c:v>
                </c:pt>
                <c:pt idx="18">
                  <c:v>0.03691495232303055</c:v>
                </c:pt>
              </c:numCache>
            </c:numRef>
          </c:yVal>
          <c:smooth val="1"/>
        </c:ser>
        <c:ser>
          <c:idx val="2"/>
          <c:order val="2"/>
          <c:tx>
            <c:v>TS 1</c:v>
          </c:tx>
          <c:extLst>
            <c:ext xmlns:c14="http://schemas.microsoft.com/office/drawing/2007/8/2/chart" uri="{6F2FDCE9-48DA-4B69-8628-5D25D57E5C99}">
              <c14:invertSolidFillFmt>
                <c14:spPr>
                  <a:solidFill>
                    <a:srgbClr val="000000"/>
                  </a:solidFill>
                </c14:spPr>
              </c14:invertSolidFillFmt>
            </c:ext>
          </c:extLst>
          <c:marker>
            <c:symbol val="none"/>
          </c:marker>
          <c:xVal>
            <c:numRef>
              <c:f>'Input form'!$W$5:$W$23</c:f>
              <c:numCache>
                <c:ptCount val="19"/>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numCache>
            </c:numRef>
          </c:xVal>
          <c:yVal>
            <c:numRef>
              <c:f>'Input form'!$AL$5:$AL$23</c:f>
              <c:numCache>
                <c:ptCount val="19"/>
                <c:pt idx="0">
                  <c:v>1.1102230246251565E-14</c:v>
                </c:pt>
                <c:pt idx="1">
                  <c:v>2.1152968265880645E-09</c:v>
                </c:pt>
                <c:pt idx="2">
                  <c:v>5.635069522114122E-06</c:v>
                </c:pt>
                <c:pt idx="3">
                  <c:v>0.0011657082137683794</c:v>
                </c:pt>
                <c:pt idx="4">
                  <c:v>0.047865668421731566</c:v>
                </c:pt>
                <c:pt idx="5">
                  <c:v>0.6268703348035642</c:v>
                </c:pt>
                <c:pt idx="6">
                  <c:v>3.1705060260467044</c:v>
                </c:pt>
                <c:pt idx="7">
                  <c:v>9.097160210501109</c:v>
                </c:pt>
                <c:pt idx="8">
                  <c:v>15.635657394692315</c:v>
                </c:pt>
                <c:pt idx="9">
                  <c:v>19.66711845078918</c:v>
                </c:pt>
                <c:pt idx="10">
                  <c:v>18.846261271736697</c:v>
                </c:pt>
                <c:pt idx="11">
                  <c:v>13.747740096328487</c:v>
                </c:pt>
                <c:pt idx="12">
                  <c:v>9.045055471377427</c:v>
                </c:pt>
                <c:pt idx="13">
                  <c:v>5.477886642538454</c:v>
                </c:pt>
                <c:pt idx="14">
                  <c:v>2.8188347514622625</c:v>
                </c:pt>
                <c:pt idx="15">
                  <c:v>1.2184322248613655</c:v>
                </c:pt>
                <c:pt idx="16">
                  <c:v>0.43620932704275805</c:v>
                </c:pt>
                <c:pt idx="17">
                  <c:v>0.12362395095862899</c:v>
                </c:pt>
                <c:pt idx="18">
                  <c:v>0.03095412170970313</c:v>
                </c:pt>
              </c:numCache>
            </c:numRef>
          </c:yVal>
          <c:smooth val="1"/>
        </c:ser>
        <c:ser>
          <c:idx val="3"/>
          <c:order val="3"/>
          <c:tx>
            <c:v>Jet A/JP 8</c:v>
          </c:tx>
          <c:extLst>
            <c:ext xmlns:c14="http://schemas.microsoft.com/office/drawing/2007/8/2/chart" uri="{6F2FDCE9-48DA-4B69-8628-5D25D57E5C99}">
              <c14:invertSolidFillFmt>
                <c14:spPr>
                  <a:solidFill>
                    <a:srgbClr val="000000"/>
                  </a:solidFill>
                </c14:spPr>
              </c14:invertSolidFillFmt>
            </c:ext>
          </c:extLst>
          <c:marker>
            <c:symbol val="none"/>
          </c:marker>
          <c:xVal>
            <c:numRef>
              <c:f>'Input form'!$W$5:$W$23</c:f>
              <c:numCache>
                <c:ptCount val="19"/>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numCache>
            </c:numRef>
          </c:xVal>
          <c:yVal>
            <c:numRef>
              <c:f>'Input form'!$AR$5:$AR$23</c:f>
              <c:numCache>
                <c:ptCount val="19"/>
                <c:pt idx="0">
                  <c:v>0</c:v>
                </c:pt>
                <c:pt idx="1">
                  <c:v>3.552713678800501E-12</c:v>
                </c:pt>
                <c:pt idx="2">
                  <c:v>4.24415613764495E-08</c:v>
                </c:pt>
                <c:pt idx="3">
                  <c:v>2.710258000249155E-05</c:v>
                </c:pt>
                <c:pt idx="4">
                  <c:v>0.0027141927720131243</c:v>
                </c:pt>
                <c:pt idx="5">
                  <c:v>0.07353427986593886</c:v>
                </c:pt>
                <c:pt idx="6">
                  <c:v>0.6653764926678796</c:v>
                </c:pt>
                <c:pt idx="7">
                  <c:v>3.118303582381654</c:v>
                </c:pt>
                <c:pt idx="8">
                  <c:v>8.083283569081246</c:v>
                </c:pt>
                <c:pt idx="9">
                  <c:v>14.426066988939434</c:v>
                </c:pt>
                <c:pt idx="10">
                  <c:v>18.731836260885526</c:v>
                </c:pt>
                <c:pt idx="11">
                  <c:v>17.688055085610777</c:v>
                </c:pt>
                <c:pt idx="12">
                  <c:v>14.484721749019746</c:v>
                </c:pt>
                <c:pt idx="13">
                  <c:v>10.681057078420697</c:v>
                </c:pt>
                <c:pt idx="14">
                  <c:v>6.603823158015487</c:v>
                </c:pt>
                <c:pt idx="15">
                  <c:v>3.385787854147926</c:v>
                </c:pt>
                <c:pt idx="16">
                  <c:v>1.4192773763763378</c:v>
                </c:pt>
                <c:pt idx="17">
                  <c:v>0.46358920760363187</c:v>
                </c:pt>
                <c:pt idx="18">
                  <c:v>0.1310751733876292</c:v>
                </c:pt>
              </c:numCache>
            </c:numRef>
          </c:yVal>
          <c:smooth val="1"/>
        </c:ser>
        <c:ser>
          <c:idx val="4"/>
          <c:order val="4"/>
          <c:tx>
            <c:v>JP 5</c:v>
          </c:tx>
          <c:extLst>
            <c:ext xmlns:c14="http://schemas.microsoft.com/office/drawing/2007/8/2/chart" uri="{6F2FDCE9-48DA-4B69-8628-5D25D57E5C99}">
              <c14:invertSolidFillFmt>
                <c14:spPr>
                  <a:solidFill>
                    <a:srgbClr val="000000"/>
                  </a:solidFill>
                </c14:spPr>
              </c14:invertSolidFillFmt>
            </c:ext>
          </c:extLst>
          <c:marker>
            <c:symbol val="none"/>
          </c:marker>
          <c:xVal>
            <c:numRef>
              <c:f>'Input form'!$W$5:$W$23</c:f>
              <c:numCache>
                <c:ptCount val="19"/>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numCache>
            </c:numRef>
          </c:xVal>
          <c:yVal>
            <c:numRef>
              <c:f>'Input form'!$AX$5:$AX$23</c:f>
              <c:numCache>
                <c:ptCount val="19"/>
                <c:pt idx="0">
                  <c:v>0</c:v>
                </c:pt>
                <c:pt idx="1">
                  <c:v>1.4432899320127035E-13</c:v>
                </c:pt>
                <c:pt idx="2">
                  <c:v>2.8918534233923765E-09</c:v>
                </c:pt>
                <c:pt idx="3">
                  <c:v>2.9072648954908686E-06</c:v>
                </c:pt>
                <c:pt idx="4">
                  <c:v>0.0004308355728732671</c:v>
                </c:pt>
                <c:pt idx="5">
                  <c:v>0.016510919663981216</c:v>
                </c:pt>
                <c:pt idx="6">
                  <c:v>0.20146817885895452</c:v>
                </c:pt>
                <c:pt idx="7">
                  <c:v>1.2406808141280923</c:v>
                </c:pt>
                <c:pt idx="8">
                  <c:v>4.113788785031181</c:v>
                </c:pt>
                <c:pt idx="9">
                  <c:v>9.208701129388597</c:v>
                </c:pt>
                <c:pt idx="10">
                  <c:v>14.78343723428548</c:v>
                </c:pt>
                <c:pt idx="11">
                  <c:v>16.945869316495155</c:v>
                </c:pt>
                <c:pt idx="12">
                  <c:v>16.572077009844776</c:v>
                </c:pt>
                <c:pt idx="13">
                  <c:v>14.521216803560556</c:v>
                </c:pt>
                <c:pt idx="14">
                  <c:v>10.686712631924422</c:v>
                </c:pt>
                <c:pt idx="15">
                  <c:v>6.539101589737961</c:v>
                </c:pt>
                <c:pt idx="16">
                  <c:v>3.2826649805309582</c:v>
                </c:pt>
                <c:pt idx="17">
                  <c:v>1.284691006073868</c:v>
                </c:pt>
                <c:pt idx="18">
                  <c:v>0.4325996949339883</c:v>
                </c:pt>
              </c:numCache>
            </c:numRef>
          </c:yVal>
          <c:smooth val="1"/>
        </c:ser>
        <c:axId val="33923816"/>
        <c:axId val="36878889"/>
      </c:scatterChart>
      <c:valAx>
        <c:axId val="33923816"/>
        <c:scaling>
          <c:orientation val="minMax"/>
        </c:scaling>
        <c:axPos val="b"/>
        <c:title>
          <c:tx>
            <c:rich>
              <a:bodyPr vert="horz" rot="0" anchor="ctr"/>
              <a:lstStyle/>
              <a:p>
                <a:pPr algn="ctr">
                  <a:defRPr/>
                </a:pPr>
                <a:r>
                  <a:rPr lang="en-US" cap="none" sz="2000" b="1" i="0" u="none" baseline="0">
                    <a:latin typeface="Arial"/>
                    <a:ea typeface="Arial"/>
                    <a:cs typeface="Arial"/>
                  </a:rPr>
                  <a:t>Carbon Number</a:t>
                </a:r>
              </a:p>
            </c:rich>
          </c:tx>
          <c:layout/>
          <c:overlay val="0"/>
          <c:spPr>
            <a:noFill/>
            <a:ln>
              <a:noFill/>
            </a:ln>
          </c:spPr>
        </c:title>
        <c:delete val="0"/>
        <c:numFmt formatCode="General" sourceLinked="1"/>
        <c:majorTickMark val="out"/>
        <c:minorTickMark val="none"/>
        <c:tickLblPos val="nextTo"/>
        <c:txPr>
          <a:bodyPr/>
          <a:lstStyle/>
          <a:p>
            <a:pPr>
              <a:defRPr lang="en-US" cap="none" sz="1600" b="1" i="0" u="none" baseline="0">
                <a:latin typeface="Arial"/>
                <a:ea typeface="Arial"/>
                <a:cs typeface="Arial"/>
              </a:defRPr>
            </a:pPr>
          </a:p>
        </c:txPr>
        <c:crossAx val="36878889"/>
        <c:crosses val="autoZero"/>
        <c:crossBetween val="midCat"/>
        <c:dispUnits/>
      </c:valAx>
      <c:valAx>
        <c:axId val="36878889"/>
        <c:scaling>
          <c:orientation val="minMax"/>
        </c:scaling>
        <c:axPos val="l"/>
        <c:title>
          <c:tx>
            <c:rich>
              <a:bodyPr vert="horz" rot="-5400000" anchor="ctr"/>
              <a:lstStyle/>
              <a:p>
                <a:pPr algn="ctr">
                  <a:defRPr/>
                </a:pPr>
                <a:r>
                  <a:rPr lang="en-US" cap="none" sz="2000" b="1" i="0" u="none" baseline="0">
                    <a:latin typeface="Arial"/>
                    <a:ea typeface="Arial"/>
                    <a:cs typeface="Arial"/>
                  </a:rPr>
                  <a:t>Weight  Percent</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800" b="1" i="0" u="none" baseline="0">
                <a:latin typeface="Arial"/>
                <a:ea typeface="Arial"/>
                <a:cs typeface="Arial"/>
              </a:defRPr>
            </a:pPr>
          </a:p>
        </c:txPr>
        <c:crossAx val="33923816"/>
        <c:crosses val="autoZero"/>
        <c:crossBetween val="midCat"/>
        <c:dispUnits/>
      </c:valAx>
      <c:spPr>
        <a:solidFill>
          <a:srgbClr val="C0C0C0"/>
        </a:solidFill>
        <a:ln w="12700">
          <a:solidFill>
            <a:srgbClr val="808080"/>
          </a:solidFill>
        </a:ln>
      </c:spPr>
    </c:plotArea>
    <c:legend>
      <c:legendPos val="r"/>
      <c:layout>
        <c:manualLayout>
          <c:xMode val="edge"/>
          <c:yMode val="edge"/>
          <c:x val="0.77125"/>
          <c:y val="0.2695"/>
          <c:w val="0.2145"/>
          <c:h val="0.549"/>
        </c:manualLayout>
      </c:layout>
      <c:overlay val="0"/>
      <c:txPr>
        <a:bodyPr vert="horz" rot="0"/>
        <a:lstStyle/>
        <a:p>
          <a:pPr>
            <a:defRPr lang="en-US" cap="none" sz="1600" b="0" i="1"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5.xml" /></Relationships>
</file>

<file path=xl/chartsheets/sheet1.xml><?xml version="1.0" encoding="utf-8"?>
<chartsheet xmlns="http://schemas.openxmlformats.org/spreadsheetml/2006/main" xmlns:r="http://schemas.openxmlformats.org/officeDocument/2006/relationships">
  <sheetPr codeName="Chart1"/>
  <sheetViews>
    <sheetView workbookViewId="0" zoomScale="94"/>
  </sheetViews>
  <pageMargins left="0.75" right="0.75" top="1" bottom="1" header="0.5" footer="0.5"/>
  <pageSetup horizontalDpi="600" verticalDpi="600" orientation="landscape"/>
  <drawing r:id="rId1"/>
</chartsheet>
</file>

<file path=xl/chartsheets/sheet2.xml><?xml version="1.0" encoding="utf-8"?>
<chartsheet xmlns="http://schemas.openxmlformats.org/spreadsheetml/2006/main" xmlns:r="http://schemas.openxmlformats.org/officeDocument/2006/relationships">
  <sheetPr codeName="Chart3"/>
  <sheetViews>
    <sheetView workbookViewId="0" zoomScale="75"/>
  </sheetViews>
  <pageMargins left="0.75" right="0.75" top="1" bottom="1" header="0.5" footer="0.5"/>
  <pageSetup horizontalDpi="600" verticalDpi="600" orientation="landscape"/>
  <drawing r:id="rId1"/>
</chartsheet>
</file>

<file path=xl/chartsheets/sheet3.xml><?xml version="1.0" encoding="utf-8"?>
<chartsheet xmlns="http://schemas.openxmlformats.org/spreadsheetml/2006/main" xmlns:r="http://schemas.openxmlformats.org/officeDocument/2006/relationships">
  <sheetPr codeName="Chart2"/>
  <sheetViews>
    <sheetView workbookViewId="0" zoomScale="94"/>
  </sheetViews>
  <pageMargins left="0.75" right="0.75" top="1" bottom="1" header="0.5" footer="0.5"/>
  <pageSetup horizontalDpi="600" verticalDpi="600" orientation="landscape"/>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3.emf" /><Relationship Id="rId3" Type="http://schemas.openxmlformats.org/officeDocument/2006/relationships/image" Target="../media/image4.emf" /><Relationship Id="rId4" Type="http://schemas.openxmlformats.org/officeDocument/2006/relationships/image" Target="../media/image2.emf" /><Relationship Id="rId5"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476250</xdr:colOff>
      <xdr:row>27</xdr:row>
      <xdr:rowOff>19050</xdr:rowOff>
    </xdr:from>
    <xdr:to>
      <xdr:col>9</xdr:col>
      <xdr:colOff>790575</xdr:colOff>
      <xdr:row>27</xdr:row>
      <xdr:rowOff>257175</xdr:rowOff>
    </xdr:to>
    <xdr:pic>
      <xdr:nvPicPr>
        <xdr:cNvPr id="1" name="CommandButton1"/>
        <xdr:cNvPicPr preferRelativeResize="1">
          <a:picLocks noChangeAspect="1"/>
        </xdr:cNvPicPr>
      </xdr:nvPicPr>
      <xdr:blipFill>
        <a:blip r:embed="rId1"/>
        <a:stretch>
          <a:fillRect/>
        </a:stretch>
      </xdr:blipFill>
      <xdr:spPr>
        <a:xfrm>
          <a:off x="7772400" y="4933950"/>
          <a:ext cx="923925" cy="238125"/>
        </a:xfrm>
        <a:prstGeom prst="rect">
          <a:avLst/>
        </a:prstGeom>
        <a:solidFill>
          <a:srgbClr val="FFFFFF"/>
        </a:solidFill>
        <a:ln w="1" cmpd="sng">
          <a:noFill/>
        </a:ln>
      </xdr:spPr>
    </xdr:pic>
    <xdr:clientData fPrintsWithSheet="0"/>
  </xdr:twoCellAnchor>
  <xdr:twoCellAnchor editAs="oneCell">
    <xdr:from>
      <xdr:col>8</xdr:col>
      <xdr:colOff>485775</xdr:colOff>
      <xdr:row>28</xdr:row>
      <xdr:rowOff>19050</xdr:rowOff>
    </xdr:from>
    <xdr:to>
      <xdr:col>9</xdr:col>
      <xdr:colOff>762000</xdr:colOff>
      <xdr:row>29</xdr:row>
      <xdr:rowOff>19050</xdr:rowOff>
    </xdr:to>
    <xdr:pic>
      <xdr:nvPicPr>
        <xdr:cNvPr id="2" name="CommandButton2"/>
        <xdr:cNvPicPr preferRelativeResize="1">
          <a:picLocks noChangeAspect="1"/>
        </xdr:cNvPicPr>
      </xdr:nvPicPr>
      <xdr:blipFill>
        <a:blip r:embed="rId2"/>
        <a:stretch>
          <a:fillRect/>
        </a:stretch>
      </xdr:blipFill>
      <xdr:spPr>
        <a:xfrm>
          <a:off x="7781925" y="5191125"/>
          <a:ext cx="885825" cy="247650"/>
        </a:xfrm>
        <a:prstGeom prst="rect">
          <a:avLst/>
        </a:prstGeom>
        <a:solidFill>
          <a:srgbClr val="FFFFFF"/>
        </a:solidFill>
        <a:ln w="1" cmpd="sng">
          <a:noFill/>
        </a:ln>
      </xdr:spPr>
    </xdr:pic>
    <xdr:clientData fPrintsWithSheet="0"/>
  </xdr:twoCellAnchor>
  <xdr:twoCellAnchor editAs="oneCell">
    <xdr:from>
      <xdr:col>8</xdr:col>
      <xdr:colOff>485775</xdr:colOff>
      <xdr:row>29</xdr:row>
      <xdr:rowOff>19050</xdr:rowOff>
    </xdr:from>
    <xdr:to>
      <xdr:col>9</xdr:col>
      <xdr:colOff>790575</xdr:colOff>
      <xdr:row>29</xdr:row>
      <xdr:rowOff>266700</xdr:rowOff>
    </xdr:to>
    <xdr:pic>
      <xdr:nvPicPr>
        <xdr:cNvPr id="3" name="CommandButton3"/>
        <xdr:cNvPicPr preferRelativeResize="1">
          <a:picLocks noChangeAspect="1"/>
        </xdr:cNvPicPr>
      </xdr:nvPicPr>
      <xdr:blipFill>
        <a:blip r:embed="rId3"/>
        <a:stretch>
          <a:fillRect/>
        </a:stretch>
      </xdr:blipFill>
      <xdr:spPr>
        <a:xfrm>
          <a:off x="7781925" y="5438775"/>
          <a:ext cx="914400" cy="247650"/>
        </a:xfrm>
        <a:prstGeom prst="rect">
          <a:avLst/>
        </a:prstGeom>
        <a:solidFill>
          <a:srgbClr val="FFFFFF"/>
        </a:solidFill>
        <a:ln w="1" cmpd="sng">
          <a:noFill/>
        </a:ln>
      </xdr:spPr>
    </xdr:pic>
    <xdr:clientData fPrintsWithSheet="0"/>
  </xdr:twoCellAnchor>
  <xdr:twoCellAnchor editAs="oneCell">
    <xdr:from>
      <xdr:col>3</xdr:col>
      <xdr:colOff>733425</xdr:colOff>
      <xdr:row>21</xdr:row>
      <xdr:rowOff>104775</xdr:rowOff>
    </xdr:from>
    <xdr:to>
      <xdr:col>4</xdr:col>
      <xdr:colOff>847725</xdr:colOff>
      <xdr:row>24</xdr:row>
      <xdr:rowOff>57150</xdr:rowOff>
    </xdr:to>
    <xdr:pic>
      <xdr:nvPicPr>
        <xdr:cNvPr id="4" name="CommandButton4"/>
        <xdr:cNvPicPr preferRelativeResize="1">
          <a:picLocks noChangeAspect="1"/>
        </xdr:cNvPicPr>
      </xdr:nvPicPr>
      <xdr:blipFill>
        <a:blip r:embed="rId4"/>
        <a:stretch>
          <a:fillRect/>
        </a:stretch>
      </xdr:blipFill>
      <xdr:spPr>
        <a:xfrm>
          <a:off x="3476625" y="3857625"/>
          <a:ext cx="952500" cy="523875"/>
        </a:xfrm>
        <a:prstGeom prst="rect">
          <a:avLst/>
        </a:prstGeom>
        <a:solidFill>
          <a:srgbClr val="FFFFFF"/>
        </a:solidFill>
        <a:ln w="1" cmpd="sng">
          <a:noFill/>
        </a:ln>
      </xdr:spPr>
    </xdr:pic>
    <xdr:clientData/>
  </xdr:twoCellAnchor>
  <xdr:twoCellAnchor>
    <xdr:from>
      <xdr:col>8</xdr:col>
      <xdr:colOff>104775</xdr:colOff>
      <xdr:row>2</xdr:row>
      <xdr:rowOff>57150</xdr:rowOff>
    </xdr:from>
    <xdr:to>
      <xdr:col>11</xdr:col>
      <xdr:colOff>695325</xdr:colOff>
      <xdr:row>22</xdr:row>
      <xdr:rowOff>133350</xdr:rowOff>
    </xdr:to>
    <xdr:graphicFrame>
      <xdr:nvGraphicFramePr>
        <xdr:cNvPr id="5" name="Chart 25"/>
        <xdr:cNvGraphicFramePr/>
      </xdr:nvGraphicFramePr>
      <xdr:xfrm>
        <a:off x="7400925" y="457200"/>
        <a:ext cx="2628900" cy="3609975"/>
      </xdr:xfrm>
      <a:graphic>
        <a:graphicData uri="http://schemas.openxmlformats.org/drawingml/2006/chart">
          <c:chart xmlns:c="http://schemas.openxmlformats.org/drawingml/2006/chart" r:id="rId5"/>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400050</xdr:colOff>
      <xdr:row>18</xdr:row>
      <xdr:rowOff>28575</xdr:rowOff>
    </xdr:from>
    <xdr:to>
      <xdr:col>13</xdr:col>
      <xdr:colOff>209550</xdr:colOff>
      <xdr:row>34</xdr:row>
      <xdr:rowOff>123825</xdr:rowOff>
    </xdr:to>
    <xdr:graphicFrame>
      <xdr:nvGraphicFramePr>
        <xdr:cNvPr id="1" name="Chart 2"/>
        <xdr:cNvGraphicFramePr/>
      </xdr:nvGraphicFramePr>
      <xdr:xfrm>
        <a:off x="4667250" y="3028950"/>
        <a:ext cx="3467100" cy="2686050"/>
      </xdr:xfrm>
      <a:graphic>
        <a:graphicData uri="http://schemas.openxmlformats.org/drawingml/2006/chart">
          <c:chart xmlns:c="http://schemas.openxmlformats.org/drawingml/2006/chart" r:id="rId1"/>
        </a:graphicData>
      </a:graphic>
    </xdr:graphicFrame>
    <xdr:clientData/>
  </xdr:twoCellAnchor>
  <xdr:twoCellAnchor>
    <xdr:from>
      <xdr:col>7</xdr:col>
      <xdr:colOff>381000</xdr:colOff>
      <xdr:row>0</xdr:row>
      <xdr:rowOff>133350</xdr:rowOff>
    </xdr:from>
    <xdr:to>
      <xdr:col>13</xdr:col>
      <xdr:colOff>200025</xdr:colOff>
      <xdr:row>17</xdr:row>
      <xdr:rowOff>38100</xdr:rowOff>
    </xdr:to>
    <xdr:graphicFrame>
      <xdr:nvGraphicFramePr>
        <xdr:cNvPr id="2" name="Chart 3"/>
        <xdr:cNvGraphicFramePr/>
      </xdr:nvGraphicFramePr>
      <xdr:xfrm>
        <a:off x="4648200" y="133350"/>
        <a:ext cx="3476625" cy="274320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58225" cy="591502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58225" cy="591502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58225" cy="591502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8"/>
  <dimension ref="A1:M56"/>
  <sheetViews>
    <sheetView workbookViewId="0" topLeftCell="A1">
      <selection activeCell="C46" sqref="C46"/>
    </sheetView>
  </sheetViews>
  <sheetFormatPr defaultColWidth="9.140625" defaultRowHeight="12.75"/>
  <cols>
    <col min="1" max="1" width="119.140625" style="0" customWidth="1"/>
  </cols>
  <sheetData>
    <row r="1" ht="42" customHeight="1">
      <c r="A1" s="92" t="s">
        <v>254</v>
      </c>
    </row>
    <row r="2" ht="24.75" customHeight="1">
      <c r="A2" s="93" t="s">
        <v>227</v>
      </c>
    </row>
    <row r="3" ht="180.75" customHeight="1">
      <c r="A3" s="94" t="s">
        <v>282</v>
      </c>
    </row>
    <row r="4" ht="50.25" customHeight="1">
      <c r="A4" s="94" t="s">
        <v>283</v>
      </c>
    </row>
    <row r="5" ht="39.75" customHeight="1">
      <c r="A5" s="94" t="s">
        <v>0</v>
      </c>
    </row>
    <row r="6" ht="44.25" customHeight="1">
      <c r="A6" s="94" t="s">
        <v>256</v>
      </c>
    </row>
    <row r="7" ht="26.25">
      <c r="A7" s="95" t="s">
        <v>284</v>
      </c>
    </row>
    <row r="8" ht="21.75" customHeight="1">
      <c r="A8" s="96"/>
    </row>
    <row r="9" spans="1:13" ht="18" customHeight="1">
      <c r="A9" s="93" t="s">
        <v>228</v>
      </c>
      <c r="B9" s="83"/>
      <c r="C9" s="83"/>
      <c r="D9" s="83"/>
      <c r="E9" s="83"/>
      <c r="F9" s="83"/>
      <c r="G9" s="83"/>
      <c r="H9" s="83"/>
      <c r="I9" s="83"/>
      <c r="J9" s="83"/>
      <c r="K9" s="83"/>
      <c r="L9" s="83"/>
      <c r="M9" s="83"/>
    </row>
    <row r="10" spans="1:13" ht="30" customHeight="1">
      <c r="A10" s="97" t="s">
        <v>244</v>
      </c>
      <c r="B10" s="83"/>
      <c r="C10" s="83"/>
      <c r="D10" s="83"/>
      <c r="E10" s="83"/>
      <c r="F10" s="83"/>
      <c r="G10" s="83"/>
      <c r="H10" s="83"/>
      <c r="I10" s="83"/>
      <c r="J10" s="83"/>
      <c r="K10" s="83"/>
      <c r="L10" s="83"/>
      <c r="M10" s="83"/>
    </row>
    <row r="11" spans="1:13" ht="44.25" customHeight="1">
      <c r="A11" s="94" t="s">
        <v>224</v>
      </c>
      <c r="B11" s="83"/>
      <c r="C11" s="83"/>
      <c r="D11" s="83"/>
      <c r="E11" s="83"/>
      <c r="F11" s="83"/>
      <c r="G11" s="83"/>
      <c r="H11" s="83"/>
      <c r="I11" s="83"/>
      <c r="J11" s="83"/>
      <c r="K11" s="83"/>
      <c r="L11" s="83"/>
      <c r="M11" s="83"/>
    </row>
    <row r="12" spans="1:13" ht="54.75" customHeight="1">
      <c r="A12" s="94" t="s">
        <v>225</v>
      </c>
      <c r="B12" s="83"/>
      <c r="C12" s="83"/>
      <c r="D12" s="83"/>
      <c r="E12" s="83"/>
      <c r="F12" s="83"/>
      <c r="G12" s="83"/>
      <c r="H12" s="83"/>
      <c r="I12" s="83"/>
      <c r="J12" s="83"/>
      <c r="K12" s="83"/>
      <c r="L12" s="83"/>
      <c r="M12" s="83"/>
    </row>
    <row r="13" spans="1:13" ht="39">
      <c r="A13" s="94" t="s">
        <v>290</v>
      </c>
      <c r="B13" s="83"/>
      <c r="C13" s="83"/>
      <c r="D13" s="83"/>
      <c r="E13" s="83"/>
      <c r="F13" s="83"/>
      <c r="G13" s="83"/>
      <c r="H13" s="83"/>
      <c r="I13" s="83"/>
      <c r="J13" s="83"/>
      <c r="K13" s="83"/>
      <c r="L13" s="83"/>
      <c r="M13" s="83"/>
    </row>
    <row r="14" spans="1:13" ht="9" customHeight="1">
      <c r="A14" s="94"/>
      <c r="B14" s="83"/>
      <c r="C14" s="83"/>
      <c r="D14" s="83"/>
      <c r="E14" s="83"/>
      <c r="F14" s="83"/>
      <c r="G14" s="83"/>
      <c r="H14" s="83"/>
      <c r="I14" s="83"/>
      <c r="J14" s="83"/>
      <c r="K14" s="83"/>
      <c r="L14" s="83"/>
      <c r="M14" s="83"/>
    </row>
    <row r="15" spans="1:13" ht="98.25" customHeight="1">
      <c r="A15" s="94" t="s">
        <v>252</v>
      </c>
      <c r="B15" s="83"/>
      <c r="C15" s="83"/>
      <c r="D15" s="83"/>
      <c r="E15" s="83"/>
      <c r="F15" s="83"/>
      <c r="G15" s="83"/>
      <c r="H15" s="83"/>
      <c r="I15" s="83"/>
      <c r="J15" s="83"/>
      <c r="K15" s="83"/>
      <c r="L15" s="83"/>
      <c r="M15" s="83"/>
    </row>
    <row r="16" spans="1:13" ht="92.25" customHeight="1">
      <c r="A16" s="94" t="s">
        <v>251</v>
      </c>
      <c r="B16" s="83"/>
      <c r="C16" s="83"/>
      <c r="D16" s="83"/>
      <c r="E16" s="83"/>
      <c r="F16" s="83"/>
      <c r="G16" s="83"/>
      <c r="H16" s="83"/>
      <c r="I16" s="83"/>
      <c r="J16" s="83"/>
      <c r="K16" s="83"/>
      <c r="L16" s="83"/>
      <c r="M16" s="83"/>
    </row>
    <row r="17" spans="1:13" ht="48" customHeight="1">
      <c r="A17" s="94" t="s">
        <v>239</v>
      </c>
      <c r="B17" s="83"/>
      <c r="C17" s="83"/>
      <c r="D17" s="83"/>
      <c r="E17" s="83"/>
      <c r="F17" s="83"/>
      <c r="G17" s="83"/>
      <c r="H17" s="83"/>
      <c r="I17" s="83"/>
      <c r="J17" s="83"/>
      <c r="K17" s="83"/>
      <c r="L17" s="83"/>
      <c r="M17" s="83"/>
    </row>
    <row r="18" spans="1:13" ht="58.5" customHeight="1">
      <c r="A18" s="94" t="s">
        <v>226</v>
      </c>
      <c r="B18" s="83"/>
      <c r="C18" s="83"/>
      <c r="D18" s="83"/>
      <c r="E18" s="83"/>
      <c r="F18" s="83"/>
      <c r="G18" s="83"/>
      <c r="H18" s="83"/>
      <c r="I18" s="83"/>
      <c r="J18" s="83"/>
      <c r="K18" s="83"/>
      <c r="L18" s="83"/>
      <c r="M18" s="83"/>
    </row>
    <row r="19" spans="1:13" ht="47.25" customHeight="1">
      <c r="A19" s="94" t="s">
        <v>285</v>
      </c>
      <c r="B19" s="83"/>
      <c r="C19" s="83"/>
      <c r="D19" s="83"/>
      <c r="E19" s="83"/>
      <c r="F19" s="83"/>
      <c r="G19" s="83"/>
      <c r="H19" s="83"/>
      <c r="I19" s="83"/>
      <c r="J19" s="83"/>
      <c r="K19" s="83"/>
      <c r="L19" s="83"/>
      <c r="M19" s="83"/>
    </row>
    <row r="20" spans="1:13" ht="114.75" customHeight="1">
      <c r="A20" s="94" t="s">
        <v>255</v>
      </c>
      <c r="B20" s="83"/>
      <c r="C20" s="83"/>
      <c r="D20" s="83"/>
      <c r="E20" s="83"/>
      <c r="F20" s="83"/>
      <c r="G20" s="83"/>
      <c r="H20" s="83"/>
      <c r="I20" s="83"/>
      <c r="J20" s="83"/>
      <c r="K20" s="83"/>
      <c r="L20" s="83"/>
      <c r="M20" s="83"/>
    </row>
    <row r="21" spans="1:13" ht="12.75">
      <c r="A21" s="94"/>
      <c r="B21" s="83"/>
      <c r="C21" s="83"/>
      <c r="D21" s="83"/>
      <c r="E21" s="83"/>
      <c r="F21" s="83"/>
      <c r="G21" s="83"/>
      <c r="H21" s="83"/>
      <c r="I21" s="83"/>
      <c r="J21" s="83"/>
      <c r="K21" s="83"/>
      <c r="L21" s="83"/>
      <c r="M21" s="83"/>
    </row>
    <row r="22" spans="1:13" ht="12.75">
      <c r="A22" s="94"/>
      <c r="B22" s="83"/>
      <c r="C22" s="83"/>
      <c r="D22" s="83"/>
      <c r="E22" s="83"/>
      <c r="F22" s="83"/>
      <c r="G22" s="83"/>
      <c r="H22" s="83"/>
      <c r="I22" s="83"/>
      <c r="J22" s="83"/>
      <c r="K22" s="83"/>
      <c r="L22" s="83"/>
      <c r="M22" s="83"/>
    </row>
    <row r="23" ht="12.75">
      <c r="A23" s="94"/>
    </row>
    <row r="24" ht="12.75">
      <c r="A24" s="98" t="s">
        <v>229</v>
      </c>
    </row>
    <row r="25" ht="12.75">
      <c r="A25" s="101">
        <v>36556</v>
      </c>
    </row>
    <row r="26" ht="26.25">
      <c r="A26" s="94" t="s">
        <v>240</v>
      </c>
    </row>
    <row r="27" ht="12.75">
      <c r="A27" s="98"/>
    </row>
    <row r="28" ht="12.75">
      <c r="A28" s="101">
        <v>36672</v>
      </c>
    </row>
    <row r="29" ht="12.75">
      <c r="A29" s="99" t="s">
        <v>269</v>
      </c>
    </row>
    <row r="30" ht="12.75">
      <c r="A30" s="98" t="s">
        <v>247</v>
      </c>
    </row>
    <row r="31" ht="12.75">
      <c r="A31" s="94" t="s">
        <v>245</v>
      </c>
    </row>
    <row r="32" ht="26.25">
      <c r="A32" s="94" t="s">
        <v>253</v>
      </c>
    </row>
    <row r="33" ht="12.75">
      <c r="A33" s="98"/>
    </row>
    <row r="34" ht="39">
      <c r="A34" s="94" t="s">
        <v>246</v>
      </c>
    </row>
    <row r="35" ht="9.75" customHeight="1">
      <c r="A35" s="98"/>
    </row>
    <row r="36" ht="39">
      <c r="A36" s="94" t="s">
        <v>248</v>
      </c>
    </row>
    <row r="37" ht="12.75">
      <c r="A37" s="98"/>
    </row>
    <row r="38" ht="69.75" customHeight="1">
      <c r="A38" s="100" t="s">
        <v>250</v>
      </c>
    </row>
    <row r="40" ht="12.75">
      <c r="A40" t="s">
        <v>260</v>
      </c>
    </row>
    <row r="41" ht="12.75">
      <c r="A41" t="s">
        <v>267</v>
      </c>
    </row>
    <row r="42" ht="12.75">
      <c r="A42" t="s">
        <v>270</v>
      </c>
    </row>
    <row r="43" ht="12.75">
      <c r="A43" t="s">
        <v>272</v>
      </c>
    </row>
    <row r="45" ht="12.75">
      <c r="A45" t="s">
        <v>280</v>
      </c>
    </row>
    <row r="46" ht="12.75">
      <c r="A46" t="s">
        <v>279</v>
      </c>
    </row>
    <row r="47" ht="12.75">
      <c r="A47" t="s">
        <v>281</v>
      </c>
    </row>
    <row r="48" ht="12.75">
      <c r="A48" t="s">
        <v>289</v>
      </c>
    </row>
    <row r="50" ht="12.75">
      <c r="A50" s="204" t="s">
        <v>311</v>
      </c>
    </row>
    <row r="51" ht="12.75">
      <c r="A51" s="204"/>
    </row>
    <row r="52" ht="12.75">
      <c r="A52" s="204"/>
    </row>
    <row r="53" ht="12.75">
      <c r="A53" t="s">
        <v>310</v>
      </c>
    </row>
    <row r="56" ht="12.75">
      <c r="A56" s="92" t="s">
        <v>249</v>
      </c>
    </row>
  </sheetData>
  <mergeCells count="1">
    <mergeCell ref="A50:A52"/>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2"/>
  <dimension ref="A1:BO86"/>
  <sheetViews>
    <sheetView tabSelected="1" zoomScale="90" zoomScaleNormal="90" workbookViewId="0" topLeftCell="A1">
      <selection activeCell="J35" sqref="J35"/>
    </sheetView>
  </sheetViews>
  <sheetFormatPr defaultColWidth="9.140625" defaultRowHeight="12.75"/>
  <cols>
    <col min="1" max="1" width="10.00390625" style="0" customWidth="1"/>
    <col min="2" max="2" width="17.140625" style="0" customWidth="1"/>
    <col min="3" max="3" width="14.00390625" style="0" customWidth="1"/>
    <col min="4" max="4" width="12.57421875" style="0" customWidth="1"/>
    <col min="5" max="5" width="13.140625" style="0" customWidth="1"/>
    <col min="6" max="6" width="18.28125" style="0" customWidth="1"/>
    <col min="7" max="7" width="13.28125" style="0" customWidth="1"/>
    <col min="8" max="8" width="11.00390625" style="0" customWidth="1"/>
    <col min="10" max="10" width="12.28125" style="0" bestFit="1" customWidth="1"/>
    <col min="12" max="12" width="12.28125" style="0" bestFit="1" customWidth="1"/>
    <col min="13" max="13" width="11.28125" style="0" customWidth="1"/>
    <col min="16" max="16" width="10.140625" style="0" customWidth="1"/>
    <col min="18" max="18" width="12.8515625" style="0" customWidth="1"/>
    <col min="19" max="19" width="10.421875" style="0" customWidth="1"/>
    <col min="24" max="24" width="12.421875" style="0" bestFit="1" customWidth="1"/>
    <col min="27" max="27" width="12.421875" style="0" bestFit="1" customWidth="1"/>
    <col min="30" max="30" width="11.421875" style="0" bestFit="1" customWidth="1"/>
    <col min="31" max="31" width="11.57421875" style="0" customWidth="1"/>
    <col min="35" max="35" width="12.421875" style="0" bestFit="1" customWidth="1"/>
    <col min="36" max="36" width="11.421875" style="0" bestFit="1" customWidth="1"/>
    <col min="42" max="42" width="12.421875" style="0" bestFit="1" customWidth="1"/>
    <col min="48" max="48" width="12.421875" style="0" bestFit="1" customWidth="1"/>
    <col min="54" max="54" width="12.421875" style="0" bestFit="1" customWidth="1"/>
    <col min="59" max="59" width="12.421875" style="0" bestFit="1" customWidth="1"/>
    <col min="62" max="62" width="13.7109375" style="0" customWidth="1"/>
  </cols>
  <sheetData>
    <row r="1" spans="1:65" ht="15.75">
      <c r="A1" s="21" t="s">
        <v>286</v>
      </c>
      <c r="B1" s="20"/>
      <c r="W1" s="25"/>
      <c r="X1" s="25" t="s">
        <v>131</v>
      </c>
      <c r="Y1" s="25" t="s">
        <v>84</v>
      </c>
      <c r="Z1" s="25"/>
      <c r="AA1" s="25"/>
      <c r="AC1" s="30"/>
      <c r="AD1" s="30" t="s">
        <v>126</v>
      </c>
      <c r="AE1" s="30" t="s">
        <v>84</v>
      </c>
      <c r="AF1" s="30"/>
      <c r="AG1" s="30"/>
      <c r="AI1" s="35"/>
      <c r="AJ1" s="35" t="s">
        <v>132</v>
      </c>
      <c r="AK1" s="35" t="s">
        <v>84</v>
      </c>
      <c r="AL1" s="35"/>
      <c r="AM1" s="35"/>
      <c r="AO1" s="40"/>
      <c r="AP1" s="40" t="s">
        <v>128</v>
      </c>
      <c r="AQ1" s="40" t="s">
        <v>84</v>
      </c>
      <c r="AR1" s="40"/>
      <c r="AS1" s="40"/>
      <c r="AU1" s="46"/>
      <c r="AV1" s="46" t="s">
        <v>133</v>
      </c>
      <c r="AW1" s="46" t="s">
        <v>84</v>
      </c>
      <c r="AX1" s="46"/>
      <c r="AY1" s="46"/>
      <c r="BA1" s="51" t="s">
        <v>134</v>
      </c>
      <c r="BB1" s="51"/>
      <c r="BC1" s="51" t="s">
        <v>84</v>
      </c>
      <c r="BD1" s="51"/>
      <c r="BE1" s="51"/>
      <c r="BG1" t="s">
        <v>135</v>
      </c>
      <c r="BI1" s="12" t="s">
        <v>149</v>
      </c>
      <c r="BJ1" s="60"/>
      <c r="BK1" s="51"/>
      <c r="BL1" s="51"/>
      <c r="BM1" s="51"/>
    </row>
    <row r="2" spans="1:65" ht="15.75">
      <c r="A2" s="24" t="s">
        <v>210</v>
      </c>
      <c r="F2" s="20" t="s">
        <v>309</v>
      </c>
      <c r="M2" t="s">
        <v>83</v>
      </c>
      <c r="O2" t="s">
        <v>235</v>
      </c>
      <c r="P2" t="s">
        <v>234</v>
      </c>
      <c r="Q2" s="5"/>
      <c r="R2" s="15"/>
      <c r="W2" s="25"/>
      <c r="X2" s="26" t="s">
        <v>91</v>
      </c>
      <c r="Y2" s="25" t="s">
        <v>92</v>
      </c>
      <c r="Z2" s="25"/>
      <c r="AA2" s="25" t="s">
        <v>123</v>
      </c>
      <c r="AC2" s="30"/>
      <c r="AD2" s="31" t="s">
        <v>91</v>
      </c>
      <c r="AE2" s="30" t="s">
        <v>92</v>
      </c>
      <c r="AF2" s="30"/>
      <c r="AG2" s="30" t="s">
        <v>123</v>
      </c>
      <c r="AI2" s="35"/>
      <c r="AJ2" s="36" t="s">
        <v>91</v>
      </c>
      <c r="AK2" s="35" t="s">
        <v>92</v>
      </c>
      <c r="AL2" s="35"/>
      <c r="AM2" s="35" t="s">
        <v>123</v>
      </c>
      <c r="AO2" s="40"/>
      <c r="AP2" s="41" t="s">
        <v>91</v>
      </c>
      <c r="AQ2" s="40" t="s">
        <v>92</v>
      </c>
      <c r="AR2" s="40"/>
      <c r="AS2" s="40" t="s">
        <v>123</v>
      </c>
      <c r="AU2" s="46"/>
      <c r="AV2" s="47" t="s">
        <v>91</v>
      </c>
      <c r="AW2" s="46" t="s">
        <v>92</v>
      </c>
      <c r="AX2" s="46"/>
      <c r="AY2" s="46" t="s">
        <v>123</v>
      </c>
      <c r="BA2" s="51"/>
      <c r="BB2" s="52" t="s">
        <v>91</v>
      </c>
      <c r="BC2" s="51" t="s">
        <v>92</v>
      </c>
      <c r="BD2" s="51"/>
      <c r="BE2" s="51" t="s">
        <v>123</v>
      </c>
      <c r="BI2" s="56"/>
      <c r="BJ2" s="12" t="s">
        <v>153</v>
      </c>
      <c r="BK2" s="51"/>
      <c r="BL2" s="51" t="s">
        <v>151</v>
      </c>
      <c r="BM2" s="51"/>
    </row>
    <row r="3" spans="1:65" ht="12.75">
      <c r="A3" t="s">
        <v>101</v>
      </c>
      <c r="G3" s="18"/>
      <c r="M3" t="s">
        <v>84</v>
      </c>
      <c r="N3" t="s">
        <v>99</v>
      </c>
      <c r="O3" t="s">
        <v>69</v>
      </c>
      <c r="Q3" s="5"/>
      <c r="R3" s="15"/>
      <c r="W3" s="25" t="s">
        <v>139</v>
      </c>
      <c r="X3" s="25" t="s">
        <v>93</v>
      </c>
      <c r="Y3" s="25"/>
      <c r="Z3" s="25"/>
      <c r="AA3" s="25" t="s">
        <v>130</v>
      </c>
      <c r="AC3" s="30"/>
      <c r="AD3" s="30" t="s">
        <v>93</v>
      </c>
      <c r="AE3" s="30"/>
      <c r="AF3" s="30"/>
      <c r="AG3" s="30"/>
      <c r="AI3" s="35"/>
      <c r="AJ3" s="35" t="s">
        <v>93</v>
      </c>
      <c r="AK3" s="35"/>
      <c r="AL3" s="35"/>
      <c r="AM3" s="35"/>
      <c r="AO3" s="40"/>
      <c r="AP3" s="40" t="s">
        <v>93</v>
      </c>
      <c r="AQ3" s="40"/>
      <c r="AR3" s="40"/>
      <c r="AS3" s="40"/>
      <c r="AU3" s="46"/>
      <c r="AV3" s="46" t="s">
        <v>93</v>
      </c>
      <c r="AW3" s="46"/>
      <c r="AX3" s="46"/>
      <c r="AY3" s="46"/>
      <c r="BA3" s="51"/>
      <c r="BB3" s="51" t="s">
        <v>93</v>
      </c>
      <c r="BC3" s="51"/>
      <c r="BD3" s="51"/>
      <c r="BE3" s="51"/>
      <c r="BI3" s="12" t="s">
        <v>71</v>
      </c>
      <c r="BJ3" s="12" t="s">
        <v>150</v>
      </c>
      <c r="BK3" s="51"/>
      <c r="BL3" s="51" t="s">
        <v>152</v>
      </c>
      <c r="BM3" s="51"/>
    </row>
    <row r="4" spans="1:65" ht="15" hidden="1">
      <c r="A4" s="11" t="s">
        <v>103</v>
      </c>
      <c r="C4" s="11"/>
      <c r="D4" s="11"/>
      <c r="E4" s="11"/>
      <c r="M4" t="s">
        <v>98</v>
      </c>
      <c r="O4" t="s">
        <v>102</v>
      </c>
      <c r="Q4" s="5"/>
      <c r="R4" s="15"/>
      <c r="S4" s="5"/>
      <c r="T4" s="5"/>
      <c r="U4" s="5"/>
      <c r="V4" s="5" t="s">
        <v>94</v>
      </c>
      <c r="W4" s="27"/>
      <c r="X4" s="25"/>
      <c r="Y4" s="25"/>
      <c r="Z4" s="25"/>
      <c r="AA4" s="25"/>
      <c r="AB4" s="5" t="s">
        <v>94</v>
      </c>
      <c r="AC4" s="32"/>
      <c r="AD4" s="30"/>
      <c r="AE4" s="30"/>
      <c r="AF4" s="30"/>
      <c r="AG4" s="30"/>
      <c r="AI4" s="37"/>
      <c r="AJ4" s="35"/>
      <c r="AK4" s="35"/>
      <c r="AL4" s="35"/>
      <c r="AM4" s="35"/>
      <c r="AO4" s="42"/>
      <c r="AP4" s="40"/>
      <c r="AQ4" s="40"/>
      <c r="AR4" s="40"/>
      <c r="AS4" s="40"/>
      <c r="AU4" s="48"/>
      <c r="AV4" s="46"/>
      <c r="AW4" s="46"/>
      <c r="AX4" s="46"/>
      <c r="AY4" s="46"/>
      <c r="BA4" s="53"/>
      <c r="BB4" s="51"/>
      <c r="BC4" s="51"/>
      <c r="BD4" s="51"/>
      <c r="BE4" s="51"/>
      <c r="BI4" s="53"/>
      <c r="BJ4" s="51"/>
      <c r="BK4" s="51"/>
      <c r="BL4" s="51"/>
      <c r="BM4" s="51"/>
    </row>
    <row r="5" spans="1:65" ht="12.75">
      <c r="A5" s="104" t="s">
        <v>1</v>
      </c>
      <c r="B5" s="102"/>
      <c r="C5" s="103"/>
      <c r="D5" s="103"/>
      <c r="E5" s="103"/>
      <c r="F5" s="103"/>
      <c r="M5">
        <v>1</v>
      </c>
      <c r="N5" s="19">
        <f aca="true" t="shared" si="0" ref="N5:N23">IF($F$17="yes",BL5,BG5)</f>
        <v>0</v>
      </c>
      <c r="O5" s="17">
        <f>N5/100</f>
        <v>0</v>
      </c>
      <c r="P5" s="19">
        <f>Sheet1!L12*100</f>
        <v>0</v>
      </c>
      <c r="Q5" s="5"/>
      <c r="R5" s="8" t="s">
        <v>95</v>
      </c>
      <c r="S5" s="5"/>
      <c r="T5" s="5"/>
      <c r="U5" s="5"/>
      <c r="V5" s="5"/>
      <c r="W5" s="28">
        <f>1</f>
        <v>1</v>
      </c>
      <c r="X5" s="66">
        <f>X41</f>
        <v>4.665023922711953E-11</v>
      </c>
      <c r="Y5" s="25">
        <f aca="true" t="shared" si="1" ref="Y5:Y23">X5-X4</f>
        <v>4.665023922711953E-11</v>
      </c>
      <c r="Z5" s="25">
        <f>Y5*100</f>
        <v>4.665023922711953E-09</v>
      </c>
      <c r="AA5" s="25">
        <f>Z5*$S$8/100</f>
        <v>0</v>
      </c>
      <c r="AB5" s="5"/>
      <c r="AC5" s="33">
        <f>1.00005</f>
        <v>1.00005</v>
      </c>
      <c r="AD5" s="67">
        <f>AD41</f>
        <v>1.715886133180078E-08</v>
      </c>
      <c r="AE5" s="30">
        <f aca="true" t="shared" si="2" ref="AE5:AE23">AD5-AD4</f>
        <v>1.715886133180078E-08</v>
      </c>
      <c r="AF5" s="30">
        <f>AE5*100</f>
        <v>1.7158861331800779E-06</v>
      </c>
      <c r="AG5" s="30">
        <f>AF5*$S$10/100</f>
        <v>0</v>
      </c>
      <c r="AH5" s="16"/>
      <c r="AI5" s="38">
        <f>1.00005</f>
        <v>1.00005</v>
      </c>
      <c r="AJ5" s="68">
        <f>AJ41</f>
        <v>1.1102230246251565E-16</v>
      </c>
      <c r="AK5" s="35">
        <f aca="true" t="shared" si="3" ref="AK5:AK23">AJ5-AJ4</f>
        <v>1.1102230246251565E-16</v>
      </c>
      <c r="AL5" s="35">
        <f>AK5*100</f>
        <v>1.1102230246251565E-14</v>
      </c>
      <c r="AM5" s="35">
        <f>AL5*$S$12/100</f>
        <v>0</v>
      </c>
      <c r="AO5" s="43">
        <f>1.00005</f>
        <v>1.00005</v>
      </c>
      <c r="AP5" s="69">
        <f>AP41</f>
        <v>0</v>
      </c>
      <c r="AQ5" s="40">
        <f aca="true" t="shared" si="4" ref="AQ5:AQ23">AP5-AP4</f>
        <v>0</v>
      </c>
      <c r="AR5" s="40">
        <f>AQ5*100</f>
        <v>0</v>
      </c>
      <c r="AS5" s="40">
        <f>AR5*$S$14/100</f>
        <v>0</v>
      </c>
      <c r="AU5" s="49">
        <f>1.00005</f>
        <v>1.00005</v>
      </c>
      <c r="AV5" s="70">
        <f>AV41</f>
        <v>0</v>
      </c>
      <c r="AW5" s="46">
        <f aca="true" t="shared" si="5" ref="AW5:AW23">AV5-AV4</f>
        <v>0</v>
      </c>
      <c r="AX5" s="46">
        <f>AW5*100</f>
        <v>0</v>
      </c>
      <c r="AY5" s="46">
        <f>AX5*$S$16/100</f>
        <v>0</v>
      </c>
      <c r="BA5" s="54">
        <f>1.00005</f>
        <v>1.00005</v>
      </c>
      <c r="BB5" s="71">
        <f>BB41</f>
        <v>0</v>
      </c>
      <c r="BC5" s="51">
        <f aca="true" t="shared" si="6" ref="BC5:BC23">BB5-BB4</f>
        <v>0</v>
      </c>
      <c r="BD5" s="51">
        <f>BC5*100</f>
        <v>0</v>
      </c>
      <c r="BE5" s="51">
        <f>BD5*$S$18/100</f>
        <v>0</v>
      </c>
      <c r="BG5">
        <f aca="true" t="shared" si="7" ref="BG5:BG23">AA5+AG5+AM5+AS5+AY5+BE5</f>
        <v>0</v>
      </c>
      <c r="BI5" s="54">
        <f>1.00005</f>
        <v>1.00005</v>
      </c>
      <c r="BJ5">
        <v>0</v>
      </c>
      <c r="BK5" s="61"/>
      <c r="BL5" s="57">
        <f>BJ5/$BJ$25*100</f>
        <v>0</v>
      </c>
      <c r="BM5" s="51"/>
    </row>
    <row r="6" spans="1:67" ht="15">
      <c r="A6" s="102"/>
      <c r="B6" s="104" t="s">
        <v>261</v>
      </c>
      <c r="C6" s="104"/>
      <c r="D6" s="104"/>
      <c r="E6" s="104"/>
      <c r="F6" s="102"/>
      <c r="M6">
        <v>2</v>
      </c>
      <c r="N6" s="19">
        <f t="shared" si="0"/>
        <v>1.1546319456101628E-12</v>
      </c>
      <c r="O6" s="17">
        <f>N6/100</f>
        <v>1.1546319456101628E-14</v>
      </c>
      <c r="P6" s="19">
        <f>Sheet1!L13*100</f>
        <v>5.968034061615847E-12</v>
      </c>
      <c r="Q6" s="5"/>
      <c r="R6" s="15"/>
      <c r="S6" s="5"/>
      <c r="T6" s="5" t="s">
        <v>204</v>
      </c>
      <c r="V6" s="5"/>
      <c r="W6" s="28">
        <f aca="true" t="shared" si="8" ref="W6:W23">W5+1</f>
        <v>2</v>
      </c>
      <c r="X6" s="66">
        <f aca="true" t="shared" si="9" ref="X6:X23">X42</f>
        <v>1.6936609120721258E-06</v>
      </c>
      <c r="Y6" s="25">
        <f t="shared" si="1"/>
        <v>1.6936142618328986E-06</v>
      </c>
      <c r="Z6" s="25">
        <f aca="true" t="shared" si="10" ref="Z6:Z23">Y6*100</f>
        <v>0.00016936142618328986</v>
      </c>
      <c r="AA6" s="25">
        <f aca="true" t="shared" si="11" ref="AA6:AA23">Z6*$S$8/100</f>
        <v>0</v>
      </c>
      <c r="AB6" s="5"/>
      <c r="AC6" s="33">
        <f aca="true" t="shared" si="12" ref="AC6:AC23">AC5+1</f>
        <v>2.00005</v>
      </c>
      <c r="AD6" s="67">
        <f aca="true" t="shared" si="13" ref="AD6:AD23">AD42</f>
        <v>1.0405286328007968E-05</v>
      </c>
      <c r="AE6" s="30">
        <f t="shared" si="2"/>
        <v>1.0388127466676167E-05</v>
      </c>
      <c r="AF6" s="30">
        <f aca="true" t="shared" si="14" ref="AF6:AF23">AE6*100</f>
        <v>0.0010388127466676167</v>
      </c>
      <c r="AG6" s="30">
        <f aca="true" t="shared" si="15" ref="AG6:AG23">AF6*$S$10/100</f>
        <v>0</v>
      </c>
      <c r="AH6" s="16"/>
      <c r="AI6" s="38">
        <f aca="true" t="shared" si="16" ref="AI6:AI23">AI5+1</f>
        <v>2.00005</v>
      </c>
      <c r="AJ6" s="68">
        <f aca="true" t="shared" si="17" ref="AJ6:AJ23">AJ42</f>
        <v>2.1153079288183108E-11</v>
      </c>
      <c r="AK6" s="35">
        <f t="shared" si="3"/>
        <v>2.1152968265880645E-11</v>
      </c>
      <c r="AL6" s="35">
        <f aca="true" t="shared" si="18" ref="AL6:AL23">AK6*100</f>
        <v>2.1152968265880645E-09</v>
      </c>
      <c r="AM6" s="35">
        <f aca="true" t="shared" si="19" ref="AM6:AM23">AL6*$S$12/100</f>
        <v>0</v>
      </c>
      <c r="AO6" s="43">
        <f aca="true" t="shared" si="20" ref="AO6:AO23">AO5+1</f>
        <v>2.00005</v>
      </c>
      <c r="AP6" s="69">
        <f aca="true" t="shared" si="21" ref="AP6:AP23">AP42</f>
        <v>3.552713678800501E-14</v>
      </c>
      <c r="AQ6" s="40">
        <f t="shared" si="4"/>
        <v>3.552713678800501E-14</v>
      </c>
      <c r="AR6" s="40">
        <f aca="true" t="shared" si="22" ref="AR6:AR23">AQ6*100</f>
        <v>3.552713678800501E-12</v>
      </c>
      <c r="AS6" s="40">
        <f aca="true" t="shared" si="23" ref="AS6:AS23">AR6*$S$14/100</f>
        <v>0</v>
      </c>
      <c r="AU6" s="49">
        <f aca="true" t="shared" si="24" ref="AU6:AU23">AU5+1</f>
        <v>2.00005</v>
      </c>
      <c r="AV6" s="70">
        <f aca="true" t="shared" si="25" ref="AV6:AV23">AV42</f>
        <v>1.4432899320127035E-15</v>
      </c>
      <c r="AW6" s="46">
        <f t="shared" si="5"/>
        <v>1.4432899320127035E-15</v>
      </c>
      <c r="AX6" s="46">
        <f aca="true" t="shared" si="26" ref="AX6:AX23">AW6*100</f>
        <v>1.4432899320127035E-13</v>
      </c>
      <c r="AY6" s="46">
        <f aca="true" t="shared" si="27" ref="AY6:AY23">AX6*$S$16/100</f>
        <v>0</v>
      </c>
      <c r="BA6" s="54">
        <f aca="true" t="shared" si="28" ref="BA6:BA23">BA5+1</f>
        <v>2.00005</v>
      </c>
      <c r="BB6" s="71">
        <f aca="true" t="shared" si="29" ref="BB6:BB23">BB42</f>
        <v>1.1546319456101628E-14</v>
      </c>
      <c r="BC6" s="51">
        <f t="shared" si="6"/>
        <v>1.1546319456101628E-14</v>
      </c>
      <c r="BD6" s="51">
        <f aca="true" t="shared" si="30" ref="BD6:BD23">BC6*100</f>
        <v>1.1546319456101628E-12</v>
      </c>
      <c r="BE6" s="51">
        <f aca="true" t="shared" si="31" ref="BE6:BE23">BD6*$S$18/100</f>
        <v>1.1546319456101628E-12</v>
      </c>
      <c r="BG6">
        <f t="shared" si="7"/>
        <v>1.1546319456101628E-12</v>
      </c>
      <c r="BI6" s="54">
        <f aca="true" t="shared" si="32" ref="BI6:BI23">BI5+1</f>
        <v>2.00005</v>
      </c>
      <c r="BJ6">
        <v>0</v>
      </c>
      <c r="BK6" s="51"/>
      <c r="BL6" s="57">
        <f aca="true" t="shared" si="33" ref="BL6:BL23">BJ6/$BJ$25*100</f>
        <v>0</v>
      </c>
      <c r="BM6" s="62" t="s">
        <v>154</v>
      </c>
      <c r="BN6" s="63"/>
      <c r="BO6" s="63"/>
    </row>
    <row r="7" spans="1:67" ht="15.75">
      <c r="A7" s="24" t="s">
        <v>64</v>
      </c>
      <c r="B7" s="12" t="s">
        <v>273</v>
      </c>
      <c r="F7" s="75"/>
      <c r="G7" t="s">
        <v>140</v>
      </c>
      <c r="M7">
        <v>3</v>
      </c>
      <c r="N7" s="19">
        <f t="shared" si="0"/>
        <v>2.588054215379998E-08</v>
      </c>
      <c r="O7" s="17">
        <f>N7/100</f>
        <v>2.588054215379998E-10</v>
      </c>
      <c r="P7" s="19">
        <f>Sheet1!L14*100</f>
        <v>9.139472752830502E-08</v>
      </c>
      <c r="Q7" s="5" t="s">
        <v>93</v>
      </c>
      <c r="S7" s="5" t="s">
        <v>130</v>
      </c>
      <c r="T7" s="5" t="s">
        <v>203</v>
      </c>
      <c r="U7" s="5" t="s">
        <v>94</v>
      </c>
      <c r="V7" s="5"/>
      <c r="W7" s="28">
        <f t="shared" si="8"/>
        <v>3</v>
      </c>
      <c r="X7" s="66">
        <f t="shared" si="9"/>
        <v>0.0006194267669665798</v>
      </c>
      <c r="Y7" s="25">
        <f t="shared" si="1"/>
        <v>0.0006177331060545077</v>
      </c>
      <c r="Z7" s="25">
        <f t="shared" si="10"/>
        <v>0.06177331060545077</v>
      </c>
      <c r="AA7" s="25">
        <f t="shared" si="11"/>
        <v>0</v>
      </c>
      <c r="AB7" s="5"/>
      <c r="AC7" s="33">
        <f t="shared" si="12"/>
        <v>3.00005</v>
      </c>
      <c r="AD7" s="67">
        <f t="shared" si="13"/>
        <v>0.0005181111906722435</v>
      </c>
      <c r="AE7" s="30">
        <f t="shared" si="2"/>
        <v>0.0005077059043442356</v>
      </c>
      <c r="AF7" s="30">
        <f t="shared" si="14"/>
        <v>0.05077059043442356</v>
      </c>
      <c r="AG7" s="30">
        <f t="shared" si="15"/>
        <v>0</v>
      </c>
      <c r="AH7" s="16"/>
      <c r="AI7" s="38">
        <f t="shared" si="16"/>
        <v>3.00005</v>
      </c>
      <c r="AJ7" s="68">
        <f t="shared" si="17"/>
        <v>5.6371848300429406E-08</v>
      </c>
      <c r="AK7" s="35">
        <f t="shared" si="3"/>
        <v>5.635069522114122E-08</v>
      </c>
      <c r="AL7" s="35">
        <f t="shared" si="18"/>
        <v>5.635069522114122E-06</v>
      </c>
      <c r="AM7" s="35">
        <f t="shared" si="19"/>
        <v>0</v>
      </c>
      <c r="AO7" s="43">
        <f t="shared" si="20"/>
        <v>3.00005</v>
      </c>
      <c r="AP7" s="69">
        <f t="shared" si="21"/>
        <v>4.24451140901283E-10</v>
      </c>
      <c r="AQ7" s="40">
        <f t="shared" si="4"/>
        <v>4.24415613764495E-10</v>
      </c>
      <c r="AR7" s="40">
        <f t="shared" si="22"/>
        <v>4.24415613764495E-08</v>
      </c>
      <c r="AS7" s="40">
        <f t="shared" si="23"/>
        <v>0</v>
      </c>
      <c r="AU7" s="49">
        <f t="shared" si="24"/>
        <v>3.00005</v>
      </c>
      <c r="AV7" s="70">
        <f t="shared" si="25"/>
        <v>2.8919977523855778E-11</v>
      </c>
      <c r="AW7" s="46">
        <f t="shared" si="5"/>
        <v>2.8918534233923765E-11</v>
      </c>
      <c r="AX7" s="46">
        <f t="shared" si="26"/>
        <v>2.8918534233923765E-09</v>
      </c>
      <c r="AY7" s="46">
        <f t="shared" si="27"/>
        <v>0</v>
      </c>
      <c r="BA7" s="54">
        <f t="shared" si="28"/>
        <v>3.00005</v>
      </c>
      <c r="BB7" s="71">
        <f t="shared" si="29"/>
        <v>2.588169678574559E-10</v>
      </c>
      <c r="BC7" s="51">
        <f t="shared" si="6"/>
        <v>2.588054215379998E-10</v>
      </c>
      <c r="BD7" s="51">
        <f t="shared" si="30"/>
        <v>2.588054215379998E-08</v>
      </c>
      <c r="BE7" s="51">
        <f t="shared" si="31"/>
        <v>2.588054215379998E-08</v>
      </c>
      <c r="BG7">
        <f t="shared" si="7"/>
        <v>2.588054215379998E-08</v>
      </c>
      <c r="BI7" s="54">
        <f t="shared" si="32"/>
        <v>3.00005</v>
      </c>
      <c r="BJ7">
        <v>0</v>
      </c>
      <c r="BK7" s="51"/>
      <c r="BL7" s="57">
        <f t="shared" si="33"/>
        <v>0</v>
      </c>
      <c r="BM7" s="62" t="s">
        <v>155</v>
      </c>
      <c r="BN7" s="63"/>
      <c r="BO7" s="63"/>
    </row>
    <row r="8" spans="1:65" ht="16.5" thickBot="1">
      <c r="A8" s="11" t="s">
        <v>95</v>
      </c>
      <c r="B8" s="8"/>
      <c r="C8" s="8"/>
      <c r="G8" t="s">
        <v>141</v>
      </c>
      <c r="M8">
        <f>M7+1</f>
        <v>4</v>
      </c>
      <c r="N8" s="19">
        <f t="shared" si="0"/>
        <v>2.4200035653176855E-05</v>
      </c>
      <c r="O8" s="17">
        <f aca="true" t="shared" si="34" ref="O8:O23">N8/100</f>
        <v>2.4200035653176855E-07</v>
      </c>
      <c r="P8" s="19">
        <f>Sheet1!L15*100</f>
        <v>6.495714829174803E-05</v>
      </c>
      <c r="Q8" s="5">
        <f>C14</f>
        <v>0</v>
      </c>
      <c r="R8" s="15" t="s">
        <v>97</v>
      </c>
      <c r="S8" s="6">
        <f>Q8/$Q$20*100</f>
        <v>0</v>
      </c>
      <c r="T8" s="6">
        <f>C11</f>
        <v>200</v>
      </c>
      <c r="U8" s="6">
        <f>C12</f>
        <v>62</v>
      </c>
      <c r="V8" s="5"/>
      <c r="W8" s="28">
        <f t="shared" si="8"/>
        <v>4</v>
      </c>
      <c r="X8" s="66">
        <f t="shared" si="9"/>
        <v>0.020180424938754382</v>
      </c>
      <c r="Y8" s="25">
        <f t="shared" si="1"/>
        <v>0.019560998171787802</v>
      </c>
      <c r="Z8" s="25">
        <f t="shared" si="10"/>
        <v>1.9560998171787802</v>
      </c>
      <c r="AA8" s="25">
        <f t="shared" si="11"/>
        <v>0</v>
      </c>
      <c r="AB8" s="5"/>
      <c r="AC8" s="33">
        <f t="shared" si="12"/>
        <v>4.00005</v>
      </c>
      <c r="AD8" s="67">
        <f t="shared" si="13"/>
        <v>0.006797280434054365</v>
      </c>
      <c r="AE8" s="30">
        <f t="shared" si="2"/>
        <v>0.006279169243382121</v>
      </c>
      <c r="AF8" s="30">
        <f t="shared" si="14"/>
        <v>0.6279169243382121</v>
      </c>
      <c r="AG8" s="30">
        <f t="shared" si="15"/>
        <v>0</v>
      </c>
      <c r="AH8" s="16"/>
      <c r="AI8" s="38">
        <f t="shared" si="16"/>
        <v>4.00005</v>
      </c>
      <c r="AJ8" s="68">
        <f t="shared" si="17"/>
        <v>1.1713453985984223E-05</v>
      </c>
      <c r="AK8" s="35">
        <f t="shared" si="3"/>
        <v>1.1657082137683794E-05</v>
      </c>
      <c r="AL8" s="35">
        <f t="shared" si="18"/>
        <v>0.0011657082137683794</v>
      </c>
      <c r="AM8" s="35">
        <f t="shared" si="19"/>
        <v>0</v>
      </c>
      <c r="AO8" s="43">
        <f t="shared" si="20"/>
        <v>4.00005</v>
      </c>
      <c r="AP8" s="69">
        <f t="shared" si="21"/>
        <v>2.714502511658168E-07</v>
      </c>
      <c r="AQ8" s="40">
        <f t="shared" si="4"/>
        <v>2.710258000249155E-07</v>
      </c>
      <c r="AR8" s="40">
        <f t="shared" si="22"/>
        <v>2.710258000249155E-05</v>
      </c>
      <c r="AS8" s="40">
        <f t="shared" si="23"/>
        <v>0</v>
      </c>
      <c r="AU8" s="49">
        <f t="shared" si="24"/>
        <v>4.00005</v>
      </c>
      <c r="AV8" s="70">
        <f t="shared" si="25"/>
        <v>2.9101568932432542E-08</v>
      </c>
      <c r="AW8" s="46">
        <f t="shared" si="5"/>
        <v>2.9072648954908686E-08</v>
      </c>
      <c r="AX8" s="46">
        <f t="shared" si="26"/>
        <v>2.9072648954908686E-06</v>
      </c>
      <c r="AY8" s="46">
        <f t="shared" si="27"/>
        <v>0</v>
      </c>
      <c r="BA8" s="54">
        <f t="shared" si="28"/>
        <v>4.00005</v>
      </c>
      <c r="BB8" s="71">
        <f t="shared" si="29"/>
        <v>2.42259173499626E-07</v>
      </c>
      <c r="BC8" s="51">
        <f t="shared" si="6"/>
        <v>2.4200035653176855E-07</v>
      </c>
      <c r="BD8" s="51">
        <f t="shared" si="30"/>
        <v>2.4200035653176855E-05</v>
      </c>
      <c r="BE8" s="51">
        <f t="shared" si="31"/>
        <v>2.4200035653176855E-05</v>
      </c>
      <c r="BG8">
        <f t="shared" si="7"/>
        <v>2.4200035653176855E-05</v>
      </c>
      <c r="BI8" s="54">
        <f t="shared" si="32"/>
        <v>4.00005</v>
      </c>
      <c r="BJ8">
        <v>0</v>
      </c>
      <c r="BK8" s="51"/>
      <c r="BL8" s="57">
        <f t="shared" si="33"/>
        <v>0</v>
      </c>
      <c r="BM8" s="51"/>
    </row>
    <row r="9" spans="1:65" ht="13.5" thickBot="1">
      <c r="A9" t="s">
        <v>96</v>
      </c>
      <c r="H9" s="89" t="s">
        <v>136</v>
      </c>
      <c r="M9">
        <f aca="true" t="shared" si="35" ref="M9:M23">M8+1</f>
        <v>5</v>
      </c>
      <c r="N9" s="19">
        <f t="shared" si="0"/>
        <v>0.0030504432214417676</v>
      </c>
      <c r="O9" s="17">
        <f t="shared" si="34"/>
        <v>3.0504432214417676E-05</v>
      </c>
      <c r="P9" s="19">
        <f>Sheet1!L16*100</f>
        <v>0.006608252320238687</v>
      </c>
      <c r="Q9" s="5"/>
      <c r="R9" s="15"/>
      <c r="S9" s="6"/>
      <c r="T9" s="8"/>
      <c r="U9" s="8"/>
      <c r="V9" s="5"/>
      <c r="W9" s="28">
        <f t="shared" si="8"/>
        <v>5</v>
      </c>
      <c r="X9" s="66">
        <f t="shared" si="9"/>
        <v>0.15241580635967056</v>
      </c>
      <c r="Y9" s="25">
        <f t="shared" si="1"/>
        <v>0.13223538142091618</v>
      </c>
      <c r="Z9" s="25">
        <f t="shared" si="10"/>
        <v>13.223538142091618</v>
      </c>
      <c r="AA9" s="25">
        <f t="shared" si="11"/>
        <v>0</v>
      </c>
      <c r="AB9" s="5"/>
      <c r="AC9" s="33">
        <f t="shared" si="12"/>
        <v>5.00005</v>
      </c>
      <c r="AD9" s="67">
        <f t="shared" si="13"/>
        <v>0.03899717188001628</v>
      </c>
      <c r="AE9" s="30">
        <f t="shared" si="2"/>
        <v>0.032199891445961915</v>
      </c>
      <c r="AF9" s="30">
        <f t="shared" si="14"/>
        <v>3.2199891445961915</v>
      </c>
      <c r="AG9" s="30">
        <f t="shared" si="15"/>
        <v>0</v>
      </c>
      <c r="AH9" s="16"/>
      <c r="AI9" s="38">
        <f t="shared" si="16"/>
        <v>5.00005</v>
      </c>
      <c r="AJ9" s="68">
        <f t="shared" si="17"/>
        <v>0.0004903701382032999</v>
      </c>
      <c r="AK9" s="35">
        <f t="shared" si="3"/>
        <v>0.00047865668421731566</v>
      </c>
      <c r="AL9" s="35">
        <f t="shared" si="18"/>
        <v>0.047865668421731566</v>
      </c>
      <c r="AM9" s="35">
        <f t="shared" si="19"/>
        <v>0</v>
      </c>
      <c r="AO9" s="43">
        <f t="shared" si="20"/>
        <v>5.00005</v>
      </c>
      <c r="AP9" s="69">
        <f t="shared" si="21"/>
        <v>2.741337797129706E-05</v>
      </c>
      <c r="AQ9" s="40">
        <f t="shared" si="4"/>
        <v>2.7141927720131243E-05</v>
      </c>
      <c r="AR9" s="40">
        <f t="shared" si="22"/>
        <v>0.0027141927720131243</v>
      </c>
      <c r="AS9" s="40">
        <f t="shared" si="23"/>
        <v>0</v>
      </c>
      <c r="AU9" s="49">
        <f t="shared" si="24"/>
        <v>5.00005</v>
      </c>
      <c r="AV9" s="70">
        <f t="shared" si="25"/>
        <v>4.337457297665104E-06</v>
      </c>
      <c r="AW9" s="46">
        <f t="shared" si="5"/>
        <v>4.308355728732671E-06</v>
      </c>
      <c r="AX9" s="46">
        <f t="shared" si="26"/>
        <v>0.0004308355728732671</v>
      </c>
      <c r="AY9" s="46">
        <f t="shared" si="27"/>
        <v>0</v>
      </c>
      <c r="BA9" s="54">
        <f t="shared" si="28"/>
        <v>5.00005</v>
      </c>
      <c r="BB9" s="71">
        <f t="shared" si="29"/>
        <v>3.07466913879173E-05</v>
      </c>
      <c r="BC9" s="51">
        <f t="shared" si="6"/>
        <v>3.0504432214417676E-05</v>
      </c>
      <c r="BD9" s="51">
        <f t="shared" si="30"/>
        <v>0.0030504432214417676</v>
      </c>
      <c r="BE9" s="51">
        <f t="shared" si="31"/>
        <v>0.0030504432214417676</v>
      </c>
      <c r="BG9">
        <f t="shared" si="7"/>
        <v>0.0030504432214417676</v>
      </c>
      <c r="BI9" s="54">
        <f t="shared" si="32"/>
        <v>5.00005</v>
      </c>
      <c r="BJ9">
        <v>0</v>
      </c>
      <c r="BK9" s="51"/>
      <c r="BL9" s="57">
        <f t="shared" si="33"/>
        <v>0</v>
      </c>
      <c r="BM9" s="51"/>
    </row>
    <row r="10" spans="1:65" ht="13.5" thickBot="1">
      <c r="A10" s="56" t="s">
        <v>28</v>
      </c>
      <c r="C10" s="85" t="s">
        <v>97</v>
      </c>
      <c r="D10" s="85" t="s">
        <v>105</v>
      </c>
      <c r="E10" s="85" t="s">
        <v>106</v>
      </c>
      <c r="F10" s="85" t="s">
        <v>104</v>
      </c>
      <c r="G10" s="88" t="s">
        <v>90</v>
      </c>
      <c r="H10" s="90" t="s">
        <v>137</v>
      </c>
      <c r="M10">
        <f t="shared" si="35"/>
        <v>6</v>
      </c>
      <c r="N10" s="19">
        <f t="shared" si="0"/>
        <v>0.09385294519096421</v>
      </c>
      <c r="O10" s="17">
        <f t="shared" si="34"/>
        <v>0.0009385294519096421</v>
      </c>
      <c r="P10" s="19">
        <f>Sheet1!L17*100</f>
        <v>0.17053466166590986</v>
      </c>
      <c r="Q10" s="5">
        <f>D14</f>
        <v>0</v>
      </c>
      <c r="R10" s="16" t="s">
        <v>126</v>
      </c>
      <c r="S10" s="6">
        <f aca="true" t="shared" si="36" ref="S10:S18">Q10/$Q$20*100</f>
        <v>0</v>
      </c>
      <c r="T10" s="8">
        <f>D11</f>
        <v>295</v>
      </c>
      <c r="U10" s="8">
        <f>D12</f>
        <v>90</v>
      </c>
      <c r="V10" s="5"/>
      <c r="W10" s="28">
        <f t="shared" si="8"/>
        <v>6</v>
      </c>
      <c r="X10" s="66">
        <f t="shared" si="9"/>
        <v>0.4522561303720375</v>
      </c>
      <c r="Y10" s="25">
        <f t="shared" si="1"/>
        <v>0.29984032401236693</v>
      </c>
      <c r="Z10" s="25">
        <f t="shared" si="10"/>
        <v>29.984032401236693</v>
      </c>
      <c r="AA10" s="25">
        <f t="shared" si="11"/>
        <v>0</v>
      </c>
      <c r="AB10" s="5"/>
      <c r="AC10" s="33">
        <f t="shared" si="12"/>
        <v>6.00005</v>
      </c>
      <c r="AD10" s="67">
        <f t="shared" si="13"/>
        <v>0.12751920201459233</v>
      </c>
      <c r="AE10" s="30">
        <f t="shared" si="2"/>
        <v>0.08852203013457605</v>
      </c>
      <c r="AF10" s="30">
        <f t="shared" si="14"/>
        <v>8.852203013457604</v>
      </c>
      <c r="AG10" s="30">
        <f t="shared" si="15"/>
        <v>0</v>
      </c>
      <c r="AH10" s="16"/>
      <c r="AI10" s="38">
        <f t="shared" si="16"/>
        <v>6.00005</v>
      </c>
      <c r="AJ10" s="68">
        <f t="shared" si="17"/>
        <v>0.006759073486238942</v>
      </c>
      <c r="AK10" s="35">
        <f t="shared" si="3"/>
        <v>0.0062687033480356424</v>
      </c>
      <c r="AL10" s="35">
        <f t="shared" si="18"/>
        <v>0.6268703348035642</v>
      </c>
      <c r="AM10" s="35">
        <f t="shared" si="19"/>
        <v>0</v>
      </c>
      <c r="AO10" s="43">
        <f t="shared" si="20"/>
        <v>6.00005</v>
      </c>
      <c r="AP10" s="69">
        <f t="shared" si="21"/>
        <v>0.0007627561766306856</v>
      </c>
      <c r="AQ10" s="40">
        <f t="shared" si="4"/>
        <v>0.0007353427986593886</v>
      </c>
      <c r="AR10" s="40">
        <f t="shared" si="22"/>
        <v>0.07353427986593886</v>
      </c>
      <c r="AS10" s="40">
        <f t="shared" si="23"/>
        <v>0</v>
      </c>
      <c r="AU10" s="49">
        <f t="shared" si="24"/>
        <v>6.00005</v>
      </c>
      <c r="AV10" s="70">
        <f t="shared" si="25"/>
        <v>0.00016944665393747727</v>
      </c>
      <c r="AW10" s="46">
        <f t="shared" si="5"/>
        <v>0.00016510919663981216</v>
      </c>
      <c r="AX10" s="46">
        <f t="shared" si="26"/>
        <v>0.016510919663981216</v>
      </c>
      <c r="AY10" s="46">
        <f t="shared" si="27"/>
        <v>0</v>
      </c>
      <c r="BA10" s="54">
        <f t="shared" si="28"/>
        <v>6.00005</v>
      </c>
      <c r="BB10" s="71">
        <f t="shared" si="29"/>
        <v>0.0009692761432975594</v>
      </c>
      <c r="BC10" s="51">
        <f t="shared" si="6"/>
        <v>0.0009385294519096421</v>
      </c>
      <c r="BD10" s="51">
        <f t="shared" si="30"/>
        <v>0.09385294519096421</v>
      </c>
      <c r="BE10" s="51">
        <f t="shared" si="31"/>
        <v>0.09385294519096421</v>
      </c>
      <c r="BG10">
        <f t="shared" si="7"/>
        <v>0.09385294519096421</v>
      </c>
      <c r="BI10" s="54">
        <f t="shared" si="32"/>
        <v>6.00005</v>
      </c>
      <c r="BJ10">
        <v>0</v>
      </c>
      <c r="BK10" s="51"/>
      <c r="BL10" s="57">
        <f t="shared" si="33"/>
        <v>0</v>
      </c>
      <c r="BM10" s="51"/>
    </row>
    <row r="11" spans="1:64" ht="13.5" thickBot="1">
      <c r="A11" s="56" t="s">
        <v>208</v>
      </c>
      <c r="C11" s="110">
        <v>200</v>
      </c>
      <c r="D11" s="110">
        <v>295</v>
      </c>
      <c r="E11" s="110">
        <v>360.51</v>
      </c>
      <c r="F11" s="110">
        <v>398.6</v>
      </c>
      <c r="G11" s="110">
        <v>425.5</v>
      </c>
      <c r="H11" s="180">
        <v>384.4261169433594</v>
      </c>
      <c r="M11">
        <f t="shared" si="35"/>
        <v>7</v>
      </c>
      <c r="N11" s="19">
        <f t="shared" si="0"/>
        <v>0.8949200610607777</v>
      </c>
      <c r="O11" s="17">
        <f t="shared" si="34"/>
        <v>0.008949200610607777</v>
      </c>
      <c r="P11" s="19">
        <f>Sheet1!L18*100</f>
        <v>1.4010356366648153</v>
      </c>
      <c r="Q11" s="5"/>
      <c r="R11" s="16"/>
      <c r="S11" s="6"/>
      <c r="T11" s="8"/>
      <c r="U11" s="8"/>
      <c r="V11" s="5"/>
      <c r="W11" s="28">
        <f t="shared" si="8"/>
        <v>7</v>
      </c>
      <c r="X11" s="66">
        <f t="shared" si="9"/>
        <v>0.7417998644958104</v>
      </c>
      <c r="Y11" s="25">
        <f t="shared" si="1"/>
        <v>0.2895437341237729</v>
      </c>
      <c r="Z11" s="25">
        <f t="shared" si="10"/>
        <v>28.954373412377286</v>
      </c>
      <c r="AA11" s="25">
        <f t="shared" si="11"/>
        <v>0</v>
      </c>
      <c r="AB11" s="5"/>
      <c r="AC11" s="33">
        <f t="shared" si="12"/>
        <v>7.00005</v>
      </c>
      <c r="AD11" s="67">
        <f t="shared" si="13"/>
        <v>0.2714170321351417</v>
      </c>
      <c r="AE11" s="30">
        <f t="shared" si="2"/>
        <v>0.14389783012054935</v>
      </c>
      <c r="AF11" s="30">
        <f t="shared" si="14"/>
        <v>14.389783012054934</v>
      </c>
      <c r="AG11" s="30">
        <f t="shared" si="15"/>
        <v>0</v>
      </c>
      <c r="AH11" s="16"/>
      <c r="AI11" s="38">
        <f t="shared" si="16"/>
        <v>7.00005</v>
      </c>
      <c r="AJ11" s="68">
        <f t="shared" si="17"/>
        <v>0.038464133746705986</v>
      </c>
      <c r="AK11" s="35">
        <f t="shared" si="3"/>
        <v>0.031705060260467044</v>
      </c>
      <c r="AL11" s="35">
        <f t="shared" si="18"/>
        <v>3.1705060260467044</v>
      </c>
      <c r="AM11" s="35">
        <f t="shared" si="19"/>
        <v>0</v>
      </c>
      <c r="AO11" s="43">
        <f t="shared" si="20"/>
        <v>7.00005</v>
      </c>
      <c r="AP11" s="69">
        <f t="shared" si="21"/>
        <v>0.007416521103309481</v>
      </c>
      <c r="AQ11" s="40">
        <f t="shared" si="4"/>
        <v>0.006653764926678796</v>
      </c>
      <c r="AR11" s="40">
        <f t="shared" si="22"/>
        <v>0.6653764926678796</v>
      </c>
      <c r="AS11" s="40">
        <f t="shared" si="23"/>
        <v>0</v>
      </c>
      <c r="AU11" s="49">
        <f t="shared" si="24"/>
        <v>7.00005</v>
      </c>
      <c r="AV11" s="70">
        <f t="shared" si="25"/>
        <v>0.0021841284425270224</v>
      </c>
      <c r="AW11" s="46">
        <f t="shared" si="5"/>
        <v>0.002014681788589545</v>
      </c>
      <c r="AX11" s="46">
        <f t="shared" si="26"/>
        <v>0.20146817885895452</v>
      </c>
      <c r="AY11" s="46">
        <f t="shared" si="27"/>
        <v>0</v>
      </c>
      <c r="BA11" s="54">
        <f t="shared" si="28"/>
        <v>7.00005</v>
      </c>
      <c r="BB11" s="71">
        <f t="shared" si="29"/>
        <v>0.009918476753905336</v>
      </c>
      <c r="BC11" s="51">
        <f t="shared" si="6"/>
        <v>0.008949200610607777</v>
      </c>
      <c r="BD11" s="51">
        <f t="shared" si="30"/>
        <v>0.8949200610607777</v>
      </c>
      <c r="BE11" s="51">
        <f t="shared" si="31"/>
        <v>0.8949200610607777</v>
      </c>
      <c r="BG11">
        <f t="shared" si="7"/>
        <v>0.8949200610607777</v>
      </c>
      <c r="BI11" s="54">
        <f t="shared" si="32"/>
        <v>7.00005</v>
      </c>
      <c r="BJ11">
        <v>0</v>
      </c>
      <c r="BK11" s="51"/>
      <c r="BL11" s="57">
        <f t="shared" si="33"/>
        <v>0</v>
      </c>
    </row>
    <row r="12" spans="1:64" ht="13.5" thickBot="1">
      <c r="A12" s="56" t="s">
        <v>211</v>
      </c>
      <c r="C12" s="110">
        <v>62</v>
      </c>
      <c r="D12" s="110">
        <v>90</v>
      </c>
      <c r="E12" s="110">
        <v>68</v>
      </c>
      <c r="F12" s="110">
        <v>65</v>
      </c>
      <c r="G12" s="110">
        <v>65</v>
      </c>
      <c r="H12" s="181">
        <v>61.901360863455196</v>
      </c>
      <c r="M12">
        <f t="shared" si="35"/>
        <v>8</v>
      </c>
      <c r="N12" s="19">
        <f t="shared" si="0"/>
        <v>4.1986324124941525</v>
      </c>
      <c r="O12" s="17">
        <f t="shared" si="34"/>
        <v>0.04198632412494153</v>
      </c>
      <c r="P12" s="19">
        <f>Sheet1!L19*100</f>
        <v>5.776527443742893</v>
      </c>
      <c r="Q12" s="5">
        <f>E14</f>
        <v>0</v>
      </c>
      <c r="R12" s="16" t="s">
        <v>127</v>
      </c>
      <c r="S12" s="6">
        <f t="shared" si="36"/>
        <v>0</v>
      </c>
      <c r="T12" s="8">
        <f>E11</f>
        <v>360.51</v>
      </c>
      <c r="U12" s="8">
        <f>E12</f>
        <v>68</v>
      </c>
      <c r="V12" s="5"/>
      <c r="W12" s="28">
        <f t="shared" si="8"/>
        <v>8</v>
      </c>
      <c r="X12" s="66">
        <f t="shared" si="9"/>
        <v>0.9115791825064489</v>
      </c>
      <c r="Y12" s="25">
        <f t="shared" si="1"/>
        <v>0.1697793180106385</v>
      </c>
      <c r="Z12" s="25">
        <f t="shared" si="10"/>
        <v>16.97793180106385</v>
      </c>
      <c r="AA12" s="25">
        <f t="shared" si="11"/>
        <v>0</v>
      </c>
      <c r="AB12" s="5"/>
      <c r="AC12" s="33">
        <f t="shared" si="12"/>
        <v>8.00005</v>
      </c>
      <c r="AD12" s="67">
        <f t="shared" si="13"/>
        <v>0.4501901983721245</v>
      </c>
      <c r="AE12" s="30">
        <f t="shared" si="2"/>
        <v>0.1787731662369828</v>
      </c>
      <c r="AF12" s="30">
        <f t="shared" si="14"/>
        <v>17.87731662369828</v>
      </c>
      <c r="AG12" s="30">
        <f t="shared" si="15"/>
        <v>0</v>
      </c>
      <c r="AH12" s="16"/>
      <c r="AI12" s="38">
        <f t="shared" si="16"/>
        <v>8.00005</v>
      </c>
      <c r="AJ12" s="68">
        <f t="shared" si="17"/>
        <v>0.12943573585171708</v>
      </c>
      <c r="AK12" s="35">
        <f t="shared" si="3"/>
        <v>0.0909716021050111</v>
      </c>
      <c r="AL12" s="35">
        <f t="shared" si="18"/>
        <v>9.097160210501109</v>
      </c>
      <c r="AM12" s="35">
        <f t="shared" si="19"/>
        <v>0</v>
      </c>
      <c r="AO12" s="43">
        <f t="shared" si="20"/>
        <v>8.00005</v>
      </c>
      <c r="AP12" s="69">
        <f t="shared" si="21"/>
        <v>0.03859955692712602</v>
      </c>
      <c r="AQ12" s="40">
        <f t="shared" si="4"/>
        <v>0.03118303582381654</v>
      </c>
      <c r="AR12" s="40">
        <f t="shared" si="22"/>
        <v>3.118303582381654</v>
      </c>
      <c r="AS12" s="40">
        <f t="shared" si="23"/>
        <v>0</v>
      </c>
      <c r="AU12" s="49">
        <f t="shared" si="24"/>
        <v>8.00005</v>
      </c>
      <c r="AV12" s="70">
        <f t="shared" si="25"/>
        <v>0.014590936583807945</v>
      </c>
      <c r="AW12" s="46">
        <f t="shared" si="5"/>
        <v>0.012406808141280923</v>
      </c>
      <c r="AX12" s="46">
        <f t="shared" si="26"/>
        <v>1.2406808141280923</v>
      </c>
      <c r="AY12" s="46">
        <f t="shared" si="27"/>
        <v>0</v>
      </c>
      <c r="BA12" s="54">
        <f t="shared" si="28"/>
        <v>8.00005</v>
      </c>
      <c r="BB12" s="71">
        <f t="shared" si="29"/>
        <v>0.05190480087884686</v>
      </c>
      <c r="BC12" s="51">
        <f t="shared" si="6"/>
        <v>0.04198632412494152</v>
      </c>
      <c r="BD12" s="51">
        <f t="shared" si="30"/>
        <v>4.1986324124941525</v>
      </c>
      <c r="BE12" s="51">
        <f t="shared" si="31"/>
        <v>4.1986324124941525</v>
      </c>
      <c r="BG12">
        <f t="shared" si="7"/>
        <v>4.1986324124941525</v>
      </c>
      <c r="BI12" s="54">
        <f t="shared" si="32"/>
        <v>8.00005</v>
      </c>
      <c r="BJ12">
        <v>0</v>
      </c>
      <c r="BK12" s="51"/>
      <c r="BL12" s="57">
        <f t="shared" si="33"/>
        <v>0</v>
      </c>
    </row>
    <row r="13" spans="1:65" ht="16.5" thickBot="1">
      <c r="A13" s="22" t="s">
        <v>124</v>
      </c>
      <c r="B13" s="6"/>
      <c r="C13" s="111"/>
      <c r="D13" s="111"/>
      <c r="E13" s="111"/>
      <c r="F13" s="111"/>
      <c r="G13" s="111"/>
      <c r="H13" s="111"/>
      <c r="M13">
        <f t="shared" si="35"/>
        <v>9</v>
      </c>
      <c r="N13" s="19">
        <f t="shared" si="0"/>
        <v>10.486723408703716</v>
      </c>
      <c r="O13" s="17">
        <f t="shared" si="34"/>
        <v>0.10486723408703716</v>
      </c>
      <c r="P13" s="19">
        <f>Sheet1!L20*100</f>
        <v>12.873337386654041</v>
      </c>
      <c r="Q13" s="5"/>
      <c r="R13" s="16"/>
      <c r="S13" s="6"/>
      <c r="T13" s="8"/>
      <c r="U13" s="8"/>
      <c r="V13" s="5"/>
      <c r="W13" s="29">
        <f t="shared" si="8"/>
        <v>9</v>
      </c>
      <c r="X13" s="66">
        <f t="shared" si="9"/>
        <v>0.9754893286260496</v>
      </c>
      <c r="Y13" s="25">
        <f t="shared" si="1"/>
        <v>0.06391014611960077</v>
      </c>
      <c r="Z13" s="25">
        <f t="shared" si="10"/>
        <v>6.3910146119600775</v>
      </c>
      <c r="AA13" s="25">
        <f t="shared" si="11"/>
        <v>0</v>
      </c>
      <c r="AB13" s="5"/>
      <c r="AC13" s="34">
        <f t="shared" si="12"/>
        <v>9.00005</v>
      </c>
      <c r="AD13" s="67">
        <f t="shared" si="13"/>
        <v>0.6180854958667175</v>
      </c>
      <c r="AE13" s="30">
        <f t="shared" si="2"/>
        <v>0.16789529749459298</v>
      </c>
      <c r="AF13" s="30">
        <f t="shared" si="14"/>
        <v>16.789529749459298</v>
      </c>
      <c r="AG13" s="30">
        <f t="shared" si="15"/>
        <v>0</v>
      </c>
      <c r="AH13" s="16"/>
      <c r="AI13" s="39">
        <f t="shared" si="16"/>
        <v>9.00005</v>
      </c>
      <c r="AJ13" s="68">
        <f t="shared" si="17"/>
        <v>0.28579230979864023</v>
      </c>
      <c r="AK13" s="35">
        <f t="shared" si="3"/>
        <v>0.15635657394692315</v>
      </c>
      <c r="AL13" s="35">
        <f t="shared" si="18"/>
        <v>15.635657394692315</v>
      </c>
      <c r="AM13" s="35">
        <f t="shared" si="19"/>
        <v>0</v>
      </c>
      <c r="AO13" s="44">
        <f t="shared" si="20"/>
        <v>9.00005</v>
      </c>
      <c r="AP13" s="69">
        <f t="shared" si="21"/>
        <v>0.11943239261793848</v>
      </c>
      <c r="AQ13" s="40">
        <f t="shared" si="4"/>
        <v>0.08083283569081245</v>
      </c>
      <c r="AR13" s="40">
        <f t="shared" si="22"/>
        <v>8.083283569081246</v>
      </c>
      <c r="AS13" s="40">
        <f t="shared" si="23"/>
        <v>0</v>
      </c>
      <c r="AU13" s="50">
        <f t="shared" si="24"/>
        <v>9.00005</v>
      </c>
      <c r="AV13" s="70">
        <f t="shared" si="25"/>
        <v>0.05572882443411975</v>
      </c>
      <c r="AW13" s="46">
        <f t="shared" si="5"/>
        <v>0.041137887850311805</v>
      </c>
      <c r="AX13" s="46">
        <f t="shared" si="26"/>
        <v>4.113788785031181</v>
      </c>
      <c r="AY13" s="46">
        <f t="shared" si="27"/>
        <v>0</v>
      </c>
      <c r="BA13" s="55">
        <f t="shared" si="28"/>
        <v>9.00005</v>
      </c>
      <c r="BB13" s="71">
        <f t="shared" si="29"/>
        <v>0.156772034965884</v>
      </c>
      <c r="BC13" s="51">
        <f t="shared" si="6"/>
        <v>0.10486723408703713</v>
      </c>
      <c r="BD13" s="51">
        <f t="shared" si="30"/>
        <v>10.486723408703714</v>
      </c>
      <c r="BE13" s="51">
        <f t="shared" si="31"/>
        <v>10.486723408703716</v>
      </c>
      <c r="BG13">
        <f t="shared" si="7"/>
        <v>10.486723408703716</v>
      </c>
      <c r="BI13" s="55">
        <f t="shared" si="32"/>
        <v>9.00005</v>
      </c>
      <c r="BJ13">
        <v>0</v>
      </c>
      <c r="BK13" s="51"/>
      <c r="BL13" s="57">
        <f t="shared" si="33"/>
        <v>0</v>
      </c>
      <c r="BM13" s="51"/>
    </row>
    <row r="14" spans="1:65" ht="14.25" thickBot="1" thickTop="1">
      <c r="A14" s="6"/>
      <c r="B14" s="6" t="s">
        <v>125</v>
      </c>
      <c r="C14" s="147">
        <v>0</v>
      </c>
      <c r="D14" s="147">
        <v>0</v>
      </c>
      <c r="E14" s="147">
        <v>0</v>
      </c>
      <c r="F14" s="147">
        <v>0</v>
      </c>
      <c r="G14" s="147">
        <v>0</v>
      </c>
      <c r="H14" s="147">
        <v>1</v>
      </c>
      <c r="M14">
        <f t="shared" si="35"/>
        <v>10</v>
      </c>
      <c r="N14" s="19">
        <f t="shared" si="0"/>
        <v>17.513182790992232</v>
      </c>
      <c r="O14" s="17">
        <f t="shared" si="34"/>
        <v>0.17513182790992232</v>
      </c>
      <c r="P14" s="19">
        <f>Sheet1!L21*100</f>
        <v>19.414889920127</v>
      </c>
      <c r="Q14" s="5">
        <f>F14</f>
        <v>0</v>
      </c>
      <c r="R14" s="16" t="s">
        <v>128</v>
      </c>
      <c r="S14" s="6">
        <f t="shared" si="36"/>
        <v>0</v>
      </c>
      <c r="T14" s="8">
        <f>F11</f>
        <v>398.6</v>
      </c>
      <c r="U14" s="8">
        <f>F12</f>
        <v>65</v>
      </c>
      <c r="V14" s="5"/>
      <c r="W14" s="29">
        <f t="shared" si="8"/>
        <v>10</v>
      </c>
      <c r="X14" s="66">
        <f t="shared" si="9"/>
        <v>0.9944675537982387</v>
      </c>
      <c r="Y14" s="25">
        <f t="shared" si="1"/>
        <v>0.018978225172189056</v>
      </c>
      <c r="Z14" s="25">
        <f t="shared" si="10"/>
        <v>1.8978225172189056</v>
      </c>
      <c r="AA14" s="25">
        <f t="shared" si="11"/>
        <v>0</v>
      </c>
      <c r="AB14" s="5"/>
      <c r="AC14" s="34">
        <f t="shared" si="12"/>
        <v>10.00005</v>
      </c>
      <c r="AD14" s="67">
        <f t="shared" si="13"/>
        <v>0.7563677452185129</v>
      </c>
      <c r="AE14" s="30">
        <f t="shared" si="2"/>
        <v>0.13828224935179545</v>
      </c>
      <c r="AF14" s="30">
        <f t="shared" si="14"/>
        <v>13.828224935179545</v>
      </c>
      <c r="AG14" s="30">
        <f t="shared" si="15"/>
        <v>0</v>
      </c>
      <c r="AH14" s="16"/>
      <c r="AI14" s="39">
        <f t="shared" si="16"/>
        <v>10.00005</v>
      </c>
      <c r="AJ14" s="68">
        <f t="shared" si="17"/>
        <v>0.482463494306532</v>
      </c>
      <c r="AK14" s="35">
        <f t="shared" si="3"/>
        <v>0.19667118450789178</v>
      </c>
      <c r="AL14" s="35">
        <f t="shared" si="18"/>
        <v>19.66711845078918</v>
      </c>
      <c r="AM14" s="35">
        <f t="shared" si="19"/>
        <v>0</v>
      </c>
      <c r="AO14" s="44">
        <f t="shared" si="20"/>
        <v>10.00005</v>
      </c>
      <c r="AP14" s="69">
        <f t="shared" si="21"/>
        <v>0.2636930625073328</v>
      </c>
      <c r="AQ14" s="40">
        <f t="shared" si="4"/>
        <v>0.14426066988939434</v>
      </c>
      <c r="AR14" s="40">
        <f t="shared" si="22"/>
        <v>14.426066988939434</v>
      </c>
      <c r="AS14" s="40">
        <f t="shared" si="23"/>
        <v>0</v>
      </c>
      <c r="AU14" s="50">
        <f t="shared" si="24"/>
        <v>10.00005</v>
      </c>
      <c r="AV14" s="70">
        <f t="shared" si="25"/>
        <v>0.14781583572800572</v>
      </c>
      <c r="AW14" s="46">
        <f t="shared" si="5"/>
        <v>0.09208701129388597</v>
      </c>
      <c r="AX14" s="46">
        <f t="shared" si="26"/>
        <v>9.208701129388597</v>
      </c>
      <c r="AY14" s="46">
        <f t="shared" si="27"/>
        <v>0</v>
      </c>
      <c r="BA14" s="55">
        <f t="shared" si="28"/>
        <v>10.00005</v>
      </c>
      <c r="BB14" s="71">
        <f t="shared" si="29"/>
        <v>0.3319038628758063</v>
      </c>
      <c r="BC14" s="51">
        <f t="shared" si="6"/>
        <v>0.17513182790992232</v>
      </c>
      <c r="BD14" s="51">
        <f t="shared" si="30"/>
        <v>17.513182790992232</v>
      </c>
      <c r="BE14" s="51">
        <f t="shared" si="31"/>
        <v>17.513182790992232</v>
      </c>
      <c r="BG14">
        <f t="shared" si="7"/>
        <v>17.513182790992232</v>
      </c>
      <c r="BI14" s="55">
        <f t="shared" si="32"/>
        <v>10.00005</v>
      </c>
      <c r="BJ14">
        <v>1</v>
      </c>
      <c r="BK14" s="51"/>
      <c r="BL14" s="57">
        <f t="shared" si="33"/>
        <v>100</v>
      </c>
      <c r="BM14" s="51"/>
    </row>
    <row r="15" spans="1:65" ht="14.25" thickBot="1" thickTop="1">
      <c r="A15" s="56"/>
      <c r="B15" s="56"/>
      <c r="C15" s="106"/>
      <c r="D15" s="106"/>
      <c r="E15" s="106"/>
      <c r="F15" s="106"/>
      <c r="G15" s="106"/>
      <c r="H15" s="106"/>
      <c r="M15">
        <f t="shared" si="35"/>
        <v>11</v>
      </c>
      <c r="N15" s="19">
        <f t="shared" si="0"/>
        <v>20.78075669305778</v>
      </c>
      <c r="O15" s="17">
        <f t="shared" si="34"/>
        <v>0.20780756693057778</v>
      </c>
      <c r="P15" s="19">
        <f>Sheet1!L22*100</f>
        <v>21.00834350181558</v>
      </c>
      <c r="Q15" s="5"/>
      <c r="R15" s="16"/>
      <c r="S15" s="6"/>
      <c r="T15" s="8"/>
      <c r="U15" s="8"/>
      <c r="V15" s="5"/>
      <c r="W15" s="29">
        <f t="shared" si="8"/>
        <v>11</v>
      </c>
      <c r="X15" s="66">
        <f t="shared" si="9"/>
        <v>0.998944460235573</v>
      </c>
      <c r="Y15" s="25">
        <f t="shared" si="1"/>
        <v>0.004476906437334338</v>
      </c>
      <c r="Z15" s="25">
        <f t="shared" si="10"/>
        <v>0.4476906437334338</v>
      </c>
      <c r="AA15" s="25">
        <f t="shared" si="11"/>
        <v>0</v>
      </c>
      <c r="AB15" s="5"/>
      <c r="AC15" s="34">
        <f t="shared" si="12"/>
        <v>11.00005</v>
      </c>
      <c r="AD15" s="67">
        <f t="shared" si="13"/>
        <v>0.8559277519471713</v>
      </c>
      <c r="AE15" s="30">
        <f t="shared" si="2"/>
        <v>0.09956000672865839</v>
      </c>
      <c r="AF15" s="30">
        <f t="shared" si="14"/>
        <v>9.956000672865839</v>
      </c>
      <c r="AG15" s="30">
        <f t="shared" si="15"/>
        <v>0</v>
      </c>
      <c r="AH15" s="16"/>
      <c r="AI15" s="39">
        <f t="shared" si="16"/>
        <v>11.00005</v>
      </c>
      <c r="AJ15" s="68">
        <f t="shared" si="17"/>
        <v>0.670926107023899</v>
      </c>
      <c r="AK15" s="35">
        <f t="shared" si="3"/>
        <v>0.18846261271736697</v>
      </c>
      <c r="AL15" s="35">
        <f t="shared" si="18"/>
        <v>18.846261271736697</v>
      </c>
      <c r="AM15" s="35">
        <f t="shared" si="19"/>
        <v>0</v>
      </c>
      <c r="AO15" s="44">
        <f t="shared" si="20"/>
        <v>11.00005</v>
      </c>
      <c r="AP15" s="69">
        <f t="shared" si="21"/>
        <v>0.4510114251161881</v>
      </c>
      <c r="AQ15" s="40">
        <f t="shared" si="4"/>
        <v>0.18731836260885526</v>
      </c>
      <c r="AR15" s="40">
        <f t="shared" si="22"/>
        <v>18.731836260885526</v>
      </c>
      <c r="AS15" s="40">
        <f t="shared" si="23"/>
        <v>0</v>
      </c>
      <c r="AU15" s="50">
        <f t="shared" si="24"/>
        <v>11.00005</v>
      </c>
      <c r="AV15" s="70">
        <f t="shared" si="25"/>
        <v>0.2956502080708605</v>
      </c>
      <c r="AW15" s="46">
        <f t="shared" si="5"/>
        <v>0.1478343723428548</v>
      </c>
      <c r="AX15" s="46">
        <f t="shared" si="26"/>
        <v>14.78343723428548</v>
      </c>
      <c r="AY15" s="46">
        <f t="shared" si="27"/>
        <v>0</v>
      </c>
      <c r="BA15" s="55">
        <f t="shared" si="28"/>
        <v>11.00005</v>
      </c>
      <c r="BB15" s="71">
        <f t="shared" si="29"/>
        <v>0.5397114298063841</v>
      </c>
      <c r="BC15" s="51">
        <f t="shared" si="6"/>
        <v>0.20780756693057778</v>
      </c>
      <c r="BD15" s="51">
        <f t="shared" si="30"/>
        <v>20.78075669305778</v>
      </c>
      <c r="BE15" s="51">
        <f t="shared" si="31"/>
        <v>20.78075669305778</v>
      </c>
      <c r="BG15">
        <f t="shared" si="7"/>
        <v>20.78075669305778</v>
      </c>
      <c r="BI15" s="55">
        <f t="shared" si="32"/>
        <v>11.00005</v>
      </c>
      <c r="BJ15">
        <v>0</v>
      </c>
      <c r="BK15" s="51"/>
      <c r="BL15" s="57">
        <f t="shared" si="33"/>
        <v>0</v>
      </c>
      <c r="BM15" s="51"/>
    </row>
    <row r="16" spans="1:65" ht="13.5" thickBot="1">
      <c r="A16" s="56"/>
      <c r="B16" s="10" t="s">
        <v>138</v>
      </c>
      <c r="C16" s="113">
        <f>S8</f>
        <v>0</v>
      </c>
      <c r="D16" s="114">
        <f>S10</f>
        <v>0</v>
      </c>
      <c r="E16" s="114">
        <f>S12</f>
        <v>0</v>
      </c>
      <c r="F16" s="114">
        <f>S14</f>
        <v>0</v>
      </c>
      <c r="G16" s="114">
        <f>S16</f>
        <v>0</v>
      </c>
      <c r="H16" s="115">
        <f>S18</f>
        <v>100</v>
      </c>
      <c r="M16">
        <f t="shared" si="35"/>
        <v>12</v>
      </c>
      <c r="N16" s="19">
        <f t="shared" si="0"/>
        <v>17.64864931384991</v>
      </c>
      <c r="O16" s="17">
        <f t="shared" si="34"/>
        <v>0.1764864931384991</v>
      </c>
      <c r="P16" s="19">
        <f>Sheet1!L23*100</f>
        <v>16.40267919703646</v>
      </c>
      <c r="Q16" s="5">
        <f>G14</f>
        <v>0</v>
      </c>
      <c r="R16" s="16" t="s">
        <v>129</v>
      </c>
      <c r="S16" s="6">
        <f t="shared" si="36"/>
        <v>0</v>
      </c>
      <c r="T16" s="8">
        <f>G11</f>
        <v>425.5</v>
      </c>
      <c r="U16" s="8">
        <f>G12</f>
        <v>65</v>
      </c>
      <c r="V16" s="5"/>
      <c r="W16" s="29">
        <f t="shared" si="8"/>
        <v>12</v>
      </c>
      <c r="X16" s="66">
        <f t="shared" si="9"/>
        <v>0.9998038674502363</v>
      </c>
      <c r="Y16" s="25">
        <f t="shared" si="1"/>
        <v>0.0008594072146632659</v>
      </c>
      <c r="Z16" s="25">
        <f t="shared" si="10"/>
        <v>0.08594072146632659</v>
      </c>
      <c r="AA16" s="25">
        <f t="shared" si="11"/>
        <v>0</v>
      </c>
      <c r="AB16" s="5"/>
      <c r="AC16" s="34">
        <f t="shared" si="12"/>
        <v>12.00005</v>
      </c>
      <c r="AD16" s="67">
        <f t="shared" si="13"/>
        <v>0.9172416325187029</v>
      </c>
      <c r="AE16" s="30">
        <f t="shared" si="2"/>
        <v>0.06131388057153164</v>
      </c>
      <c r="AF16" s="30">
        <f t="shared" si="14"/>
        <v>6.131388057153164</v>
      </c>
      <c r="AG16" s="30">
        <f t="shared" si="15"/>
        <v>0</v>
      </c>
      <c r="AH16" s="16"/>
      <c r="AI16" s="39">
        <f t="shared" si="16"/>
        <v>12.00005</v>
      </c>
      <c r="AJ16" s="68">
        <f t="shared" si="17"/>
        <v>0.8084035079871839</v>
      </c>
      <c r="AK16" s="35">
        <f t="shared" si="3"/>
        <v>0.13747740096328487</v>
      </c>
      <c r="AL16" s="35">
        <f t="shared" si="18"/>
        <v>13.747740096328487</v>
      </c>
      <c r="AM16" s="35">
        <f t="shared" si="19"/>
        <v>0</v>
      </c>
      <c r="AO16" s="44">
        <f t="shared" si="20"/>
        <v>12.00005</v>
      </c>
      <c r="AP16" s="69">
        <f t="shared" si="21"/>
        <v>0.6278919759722958</v>
      </c>
      <c r="AQ16" s="40">
        <f t="shared" si="4"/>
        <v>0.17688055085610777</v>
      </c>
      <c r="AR16" s="40">
        <f t="shared" si="22"/>
        <v>17.688055085610777</v>
      </c>
      <c r="AS16" s="40">
        <f t="shared" si="23"/>
        <v>0</v>
      </c>
      <c r="AU16" s="50">
        <f t="shared" si="24"/>
        <v>12.00005</v>
      </c>
      <c r="AV16" s="70">
        <f t="shared" si="25"/>
        <v>0.46510890123581206</v>
      </c>
      <c r="AW16" s="46">
        <f t="shared" si="5"/>
        <v>0.16945869316495155</v>
      </c>
      <c r="AX16" s="46">
        <f t="shared" si="26"/>
        <v>16.945869316495155</v>
      </c>
      <c r="AY16" s="46">
        <f t="shared" si="27"/>
        <v>0</v>
      </c>
      <c r="BA16" s="55">
        <f t="shared" si="28"/>
        <v>12.00005</v>
      </c>
      <c r="BB16" s="71">
        <f t="shared" si="29"/>
        <v>0.7161979229448832</v>
      </c>
      <c r="BC16" s="51">
        <f t="shared" si="6"/>
        <v>0.17648649313849907</v>
      </c>
      <c r="BD16" s="51">
        <f t="shared" si="30"/>
        <v>17.64864931384991</v>
      </c>
      <c r="BE16" s="51">
        <f t="shared" si="31"/>
        <v>17.64864931384991</v>
      </c>
      <c r="BG16">
        <f t="shared" si="7"/>
        <v>17.64864931384991</v>
      </c>
      <c r="BI16" s="55">
        <f t="shared" si="32"/>
        <v>12.00005</v>
      </c>
      <c r="BJ16">
        <v>0</v>
      </c>
      <c r="BK16" s="51"/>
      <c r="BL16" s="57">
        <f t="shared" si="33"/>
        <v>0</v>
      </c>
      <c r="BM16" s="51"/>
    </row>
    <row r="17" spans="1:65" ht="16.5" thickBot="1">
      <c r="A17" s="18" t="s">
        <v>147</v>
      </c>
      <c r="B17" s="18"/>
      <c r="C17" s="18"/>
      <c r="D17" s="18"/>
      <c r="E17" s="18"/>
      <c r="F17" s="87" t="s">
        <v>174</v>
      </c>
      <c r="G17" s="18" t="s">
        <v>148</v>
      </c>
      <c r="H17" s="18"/>
      <c r="M17">
        <f t="shared" si="35"/>
        <v>13</v>
      </c>
      <c r="N17" s="19">
        <f t="shared" si="0"/>
        <v>12.858493031461272</v>
      </c>
      <c r="O17" s="17">
        <f t="shared" si="34"/>
        <v>0.1285849303146127</v>
      </c>
      <c r="P17" s="19">
        <f>Sheet1!L24*100</f>
        <v>11.061710024899034</v>
      </c>
      <c r="Q17" s="5"/>
      <c r="R17" s="16"/>
      <c r="S17" s="6"/>
      <c r="T17" s="8"/>
      <c r="U17" s="6"/>
      <c r="V17" s="5"/>
      <c r="W17" s="29">
        <f t="shared" si="8"/>
        <v>13</v>
      </c>
      <c r="X17" s="66">
        <f t="shared" si="9"/>
        <v>0.9999665716772883</v>
      </c>
      <c r="Y17" s="25">
        <f t="shared" si="1"/>
        <v>0.00016270422705200183</v>
      </c>
      <c r="Z17" s="25">
        <f t="shared" si="10"/>
        <v>0.016270422705200183</v>
      </c>
      <c r="AA17" s="25">
        <f t="shared" si="11"/>
        <v>0</v>
      </c>
      <c r="AB17" s="5"/>
      <c r="AC17" s="34">
        <f t="shared" si="12"/>
        <v>13.00005</v>
      </c>
      <c r="AD17" s="67">
        <f t="shared" si="13"/>
        <v>0.9546064102636741</v>
      </c>
      <c r="AE17" s="30">
        <f t="shared" si="2"/>
        <v>0.037364777744971156</v>
      </c>
      <c r="AF17" s="30">
        <f t="shared" si="14"/>
        <v>3.7364777744971156</v>
      </c>
      <c r="AG17" s="30">
        <f t="shared" si="15"/>
        <v>0</v>
      </c>
      <c r="AH17" s="16"/>
      <c r="AI17" s="39">
        <f t="shared" si="16"/>
        <v>13.00005</v>
      </c>
      <c r="AJ17" s="68">
        <f t="shared" si="17"/>
        <v>0.8988540627009581</v>
      </c>
      <c r="AK17" s="35">
        <f t="shared" si="3"/>
        <v>0.09045055471377428</v>
      </c>
      <c r="AL17" s="35">
        <f t="shared" si="18"/>
        <v>9.045055471377427</v>
      </c>
      <c r="AM17" s="35">
        <f t="shared" si="19"/>
        <v>0</v>
      </c>
      <c r="AO17" s="44">
        <f t="shared" si="20"/>
        <v>13.00005</v>
      </c>
      <c r="AP17" s="69">
        <f t="shared" si="21"/>
        <v>0.7727391934624933</v>
      </c>
      <c r="AQ17" s="40">
        <f t="shared" si="4"/>
        <v>0.14484721749019747</v>
      </c>
      <c r="AR17" s="40">
        <f t="shared" si="22"/>
        <v>14.484721749019746</v>
      </c>
      <c r="AS17" s="40">
        <f t="shared" si="23"/>
        <v>0</v>
      </c>
      <c r="AU17" s="50">
        <f t="shared" si="24"/>
        <v>13.00005</v>
      </c>
      <c r="AV17" s="70">
        <f t="shared" si="25"/>
        <v>0.6308296713342598</v>
      </c>
      <c r="AW17" s="46">
        <f t="shared" si="5"/>
        <v>0.16572077009844777</v>
      </c>
      <c r="AX17" s="46">
        <f t="shared" si="26"/>
        <v>16.572077009844776</v>
      </c>
      <c r="AY17" s="46">
        <f t="shared" si="27"/>
        <v>0</v>
      </c>
      <c r="BA17" s="55">
        <f t="shared" si="28"/>
        <v>13.00005</v>
      </c>
      <c r="BB17" s="71">
        <f t="shared" si="29"/>
        <v>0.8447828532594959</v>
      </c>
      <c r="BC17" s="51">
        <f t="shared" si="6"/>
        <v>0.1285849303146127</v>
      </c>
      <c r="BD17" s="51">
        <f t="shared" si="30"/>
        <v>12.858493031461272</v>
      </c>
      <c r="BE17" s="51">
        <f t="shared" si="31"/>
        <v>12.858493031461272</v>
      </c>
      <c r="BG17">
        <f t="shared" si="7"/>
        <v>12.858493031461272</v>
      </c>
      <c r="BI17" s="55">
        <f t="shared" si="32"/>
        <v>13.00005</v>
      </c>
      <c r="BJ17">
        <v>0</v>
      </c>
      <c r="BK17" s="51"/>
      <c r="BL17" s="57">
        <f t="shared" si="33"/>
        <v>0</v>
      </c>
      <c r="BM17" s="51"/>
    </row>
    <row r="18" spans="1:65" ht="17.25" thickBot="1" thickTop="1">
      <c r="A18" s="22" t="s">
        <v>62</v>
      </c>
      <c r="B18" s="23"/>
      <c r="F18" s="126" t="s">
        <v>63</v>
      </c>
      <c r="G18" s="77" t="s">
        <v>275</v>
      </c>
      <c r="H18" s="77" t="s">
        <v>276</v>
      </c>
      <c r="M18">
        <f t="shared" si="35"/>
        <v>14</v>
      </c>
      <c r="N18" s="19">
        <f t="shared" si="0"/>
        <v>8.312966610894057</v>
      </c>
      <c r="O18" s="17">
        <f t="shared" si="34"/>
        <v>0.08312966610894057</v>
      </c>
      <c r="P18" s="19">
        <f>Sheet1!L25*100</f>
        <v>6.657933031287848</v>
      </c>
      <c r="Q18" s="5">
        <f>H14</f>
        <v>1</v>
      </c>
      <c r="R18" s="16" t="s">
        <v>134</v>
      </c>
      <c r="S18" s="6">
        <f t="shared" si="36"/>
        <v>100</v>
      </c>
      <c r="T18" s="8">
        <f>H11</f>
        <v>384.4261169433594</v>
      </c>
      <c r="U18" s="6">
        <f>H12</f>
        <v>61.901360863455196</v>
      </c>
      <c r="V18" s="5"/>
      <c r="W18" s="29">
        <f t="shared" si="8"/>
        <v>14</v>
      </c>
      <c r="X18" s="66">
        <f t="shared" si="9"/>
        <v>0.9999953432646599</v>
      </c>
      <c r="Y18" s="25">
        <f t="shared" si="1"/>
        <v>2.877158737157881E-05</v>
      </c>
      <c r="Z18" s="25">
        <f t="shared" si="10"/>
        <v>0.002877158737157881</v>
      </c>
      <c r="AA18" s="25">
        <f t="shared" si="11"/>
        <v>0</v>
      </c>
      <c r="AB18" s="5"/>
      <c r="AC18" s="34">
        <f t="shared" si="12"/>
        <v>14.00005</v>
      </c>
      <c r="AD18" s="67">
        <f t="shared" si="13"/>
        <v>0.977146591658829</v>
      </c>
      <c r="AE18" s="30">
        <f t="shared" si="2"/>
        <v>0.0225401813951549</v>
      </c>
      <c r="AF18" s="30">
        <f t="shared" si="14"/>
        <v>2.25401813951549</v>
      </c>
      <c r="AG18" s="30">
        <f t="shared" si="15"/>
        <v>0</v>
      </c>
      <c r="AH18" s="16"/>
      <c r="AI18" s="39">
        <f t="shared" si="16"/>
        <v>14.00005</v>
      </c>
      <c r="AJ18" s="68">
        <f t="shared" si="17"/>
        <v>0.9536329291263427</v>
      </c>
      <c r="AK18" s="35">
        <f t="shared" si="3"/>
        <v>0.05477886642538454</v>
      </c>
      <c r="AL18" s="35">
        <f t="shared" si="18"/>
        <v>5.477886642538454</v>
      </c>
      <c r="AM18" s="35">
        <f t="shared" si="19"/>
        <v>0</v>
      </c>
      <c r="AO18" s="44">
        <f t="shared" si="20"/>
        <v>14.00005</v>
      </c>
      <c r="AP18" s="69">
        <f t="shared" si="21"/>
        <v>0.8795497642467003</v>
      </c>
      <c r="AQ18" s="40">
        <f t="shared" si="4"/>
        <v>0.10681057078420697</v>
      </c>
      <c r="AR18" s="40">
        <f t="shared" si="22"/>
        <v>10.681057078420697</v>
      </c>
      <c r="AS18" s="40">
        <f t="shared" si="23"/>
        <v>0</v>
      </c>
      <c r="AU18" s="50">
        <f t="shared" si="24"/>
        <v>14.00005</v>
      </c>
      <c r="AV18" s="70">
        <f t="shared" si="25"/>
        <v>0.7760418393698654</v>
      </c>
      <c r="AW18" s="46">
        <f t="shared" si="5"/>
        <v>0.14521216803560555</v>
      </c>
      <c r="AX18" s="46">
        <f t="shared" si="26"/>
        <v>14.521216803560556</v>
      </c>
      <c r="AY18" s="46">
        <f t="shared" si="27"/>
        <v>0</v>
      </c>
      <c r="BA18" s="55">
        <f t="shared" si="28"/>
        <v>14.00005</v>
      </c>
      <c r="BB18" s="71">
        <f t="shared" si="29"/>
        <v>0.9279125193684364</v>
      </c>
      <c r="BC18" s="51">
        <f t="shared" si="6"/>
        <v>0.08312966610894057</v>
      </c>
      <c r="BD18" s="51">
        <f t="shared" si="30"/>
        <v>8.312966610894057</v>
      </c>
      <c r="BE18" s="51">
        <f t="shared" si="31"/>
        <v>8.312966610894057</v>
      </c>
      <c r="BG18">
        <f t="shared" si="7"/>
        <v>8.312966610894057</v>
      </c>
      <c r="BI18" s="55">
        <f t="shared" si="32"/>
        <v>14.00005</v>
      </c>
      <c r="BJ18">
        <v>0</v>
      </c>
      <c r="BK18" s="51"/>
      <c r="BL18" s="57">
        <f t="shared" si="33"/>
        <v>0</v>
      </c>
      <c r="BM18" s="51"/>
    </row>
    <row r="19" spans="2:65" ht="14.25" thickBot="1" thickTop="1">
      <c r="B19" s="6" t="s">
        <v>10</v>
      </c>
      <c r="C19" s="130">
        <v>115</v>
      </c>
      <c r="D19" s="111" t="s">
        <v>16</v>
      </c>
      <c r="F19" s="77" t="s">
        <v>274</v>
      </c>
      <c r="G19" s="120">
        <f>J43*C20+0.032</f>
        <v>0.032</v>
      </c>
      <c r="H19" s="120">
        <f>J44*C20+0.24</f>
        <v>0.24</v>
      </c>
      <c r="M19">
        <f t="shared" si="35"/>
        <v>15</v>
      </c>
      <c r="N19" s="19">
        <f t="shared" si="0"/>
        <v>4.419714546410547</v>
      </c>
      <c r="O19" s="17">
        <f t="shared" si="34"/>
        <v>0.04419714546410547</v>
      </c>
      <c r="P19" s="19">
        <f>Sheet1!L26*100</f>
        <v>3.312122652047055</v>
      </c>
      <c r="Q19" s="5"/>
      <c r="R19" s="16"/>
      <c r="V19" s="5"/>
      <c r="W19" s="29">
        <f t="shared" si="8"/>
        <v>15</v>
      </c>
      <c r="X19" s="66">
        <f t="shared" si="9"/>
        <v>0.9999994803257669</v>
      </c>
      <c r="Y19" s="25">
        <f t="shared" si="1"/>
        <v>4.137061107023499E-06</v>
      </c>
      <c r="Z19" s="25">
        <f t="shared" si="10"/>
        <v>0.00041370611070234986</v>
      </c>
      <c r="AA19" s="25">
        <f t="shared" si="11"/>
        <v>0</v>
      </c>
      <c r="AB19" s="5"/>
      <c r="AC19" s="34">
        <f t="shared" si="12"/>
        <v>15.00005</v>
      </c>
      <c r="AD19" s="67">
        <f t="shared" si="13"/>
        <v>0.9895336568496518</v>
      </c>
      <c r="AE19" s="30">
        <f t="shared" si="2"/>
        <v>0.012387065190822777</v>
      </c>
      <c r="AF19" s="30">
        <f t="shared" si="14"/>
        <v>1.2387065190822777</v>
      </c>
      <c r="AG19" s="30">
        <f t="shared" si="15"/>
        <v>0</v>
      </c>
      <c r="AH19" s="16"/>
      <c r="AI19" s="39">
        <f t="shared" si="16"/>
        <v>15.00005</v>
      </c>
      <c r="AJ19" s="68">
        <f t="shared" si="17"/>
        <v>0.9818212766409653</v>
      </c>
      <c r="AK19" s="35">
        <f t="shared" si="3"/>
        <v>0.028188347514622625</v>
      </c>
      <c r="AL19" s="35">
        <f t="shared" si="18"/>
        <v>2.8188347514622625</v>
      </c>
      <c r="AM19" s="35">
        <f t="shared" si="19"/>
        <v>0</v>
      </c>
      <c r="AO19" s="44">
        <f t="shared" si="20"/>
        <v>15.00005</v>
      </c>
      <c r="AP19" s="69">
        <f t="shared" si="21"/>
        <v>0.9455879958268552</v>
      </c>
      <c r="AQ19" s="40">
        <f t="shared" si="4"/>
        <v>0.06603823158015487</v>
      </c>
      <c r="AR19" s="40">
        <f t="shared" si="22"/>
        <v>6.603823158015487</v>
      </c>
      <c r="AS19" s="40">
        <f t="shared" si="23"/>
        <v>0</v>
      </c>
      <c r="AU19" s="50">
        <f t="shared" si="24"/>
        <v>15.00005</v>
      </c>
      <c r="AV19" s="70">
        <f t="shared" si="25"/>
        <v>0.8829089656891096</v>
      </c>
      <c r="AW19" s="46">
        <f t="shared" si="5"/>
        <v>0.10686712631924422</v>
      </c>
      <c r="AX19" s="46">
        <f t="shared" si="26"/>
        <v>10.686712631924422</v>
      </c>
      <c r="AY19" s="46">
        <f t="shared" si="27"/>
        <v>0</v>
      </c>
      <c r="BA19" s="55">
        <f t="shared" si="28"/>
        <v>15.00005</v>
      </c>
      <c r="BB19" s="71">
        <f t="shared" si="29"/>
        <v>0.9721096648325419</v>
      </c>
      <c r="BC19" s="51">
        <f t="shared" si="6"/>
        <v>0.04419714546410547</v>
      </c>
      <c r="BD19" s="51">
        <f t="shared" si="30"/>
        <v>4.419714546410547</v>
      </c>
      <c r="BE19" s="51">
        <f t="shared" si="31"/>
        <v>4.419714546410547</v>
      </c>
      <c r="BG19">
        <f t="shared" si="7"/>
        <v>4.419714546410547</v>
      </c>
      <c r="BI19" s="55">
        <f t="shared" si="32"/>
        <v>15.00005</v>
      </c>
      <c r="BJ19">
        <v>0</v>
      </c>
      <c r="BK19" s="51"/>
      <c r="BL19" s="57">
        <f t="shared" si="33"/>
        <v>0</v>
      </c>
      <c r="BM19" s="51"/>
    </row>
    <row r="20" spans="2:65" ht="16.5" thickBot="1" thickTop="1">
      <c r="B20" s="6" t="s">
        <v>218</v>
      </c>
      <c r="C20" s="112">
        <v>0</v>
      </c>
      <c r="D20" s="111" t="s">
        <v>119</v>
      </c>
      <c r="E20" s="58"/>
      <c r="F20" s="133" t="s">
        <v>41</v>
      </c>
      <c r="G20" s="132">
        <f>Sheet1!B5</f>
        <v>0.043906898497618745</v>
      </c>
      <c r="H20" s="127" t="str">
        <f>IF(G21&gt;C22,"error",(IF(G20&gt;H19,"rich",(IF(G20&lt;G19,"lean","flammable")))))</f>
        <v>flammable</v>
      </c>
      <c r="M20">
        <f t="shared" si="35"/>
        <v>16</v>
      </c>
      <c r="N20" s="19">
        <f t="shared" si="0"/>
        <v>1.9083730028256585</v>
      </c>
      <c r="O20" s="17">
        <f t="shared" si="34"/>
        <v>0.019083730028256585</v>
      </c>
      <c r="P20" s="19">
        <f>Sheet1!L27*100</f>
        <v>1.344012700562206</v>
      </c>
      <c r="Q20" s="5">
        <f>SUM(Q8:Q18)</f>
        <v>1</v>
      </c>
      <c r="R20" s="16"/>
      <c r="S20">
        <f>SUM(S8:S18)</f>
        <v>100</v>
      </c>
      <c r="V20" s="5"/>
      <c r="W20" s="29">
        <f t="shared" si="8"/>
        <v>16</v>
      </c>
      <c r="X20" s="66">
        <f t="shared" si="9"/>
        <v>0.9999999545653919</v>
      </c>
      <c r="Y20" s="25">
        <f t="shared" si="1"/>
        <v>4.7423962501458305E-07</v>
      </c>
      <c r="Z20" s="25">
        <f t="shared" si="10"/>
        <v>4.7423962501458305E-05</v>
      </c>
      <c r="AA20" s="25">
        <f t="shared" si="11"/>
        <v>0</v>
      </c>
      <c r="AB20" s="5"/>
      <c r="AC20" s="34">
        <f t="shared" si="12"/>
        <v>16.00005</v>
      </c>
      <c r="AD20" s="67">
        <f t="shared" si="13"/>
        <v>0.9956827984016003</v>
      </c>
      <c r="AE20" s="30">
        <f t="shared" si="2"/>
        <v>0.006149141551948567</v>
      </c>
      <c r="AF20" s="30">
        <f t="shared" si="14"/>
        <v>0.6149141551948567</v>
      </c>
      <c r="AG20" s="30">
        <f t="shared" si="15"/>
        <v>0</v>
      </c>
      <c r="AH20" s="16"/>
      <c r="AI20" s="39">
        <f t="shared" si="16"/>
        <v>16.00005</v>
      </c>
      <c r="AJ20" s="68">
        <f t="shared" si="17"/>
        <v>0.994005598889579</v>
      </c>
      <c r="AK20" s="35">
        <f t="shared" si="3"/>
        <v>0.012184322248613655</v>
      </c>
      <c r="AL20" s="35">
        <f t="shared" si="18"/>
        <v>1.2184322248613655</v>
      </c>
      <c r="AM20" s="35">
        <f t="shared" si="19"/>
        <v>0</v>
      </c>
      <c r="AO20" s="44">
        <f t="shared" si="20"/>
        <v>16.00005</v>
      </c>
      <c r="AP20" s="69">
        <f t="shared" si="21"/>
        <v>0.9794458743683344</v>
      </c>
      <c r="AQ20" s="40">
        <f t="shared" si="4"/>
        <v>0.03385787854147926</v>
      </c>
      <c r="AR20" s="40">
        <f t="shared" si="22"/>
        <v>3.385787854147926</v>
      </c>
      <c r="AS20" s="40">
        <f t="shared" si="23"/>
        <v>0</v>
      </c>
      <c r="AU20" s="50">
        <f t="shared" si="24"/>
        <v>16.00005</v>
      </c>
      <c r="AV20" s="70">
        <f t="shared" si="25"/>
        <v>0.9482999815864892</v>
      </c>
      <c r="AW20" s="46">
        <f t="shared" si="5"/>
        <v>0.06539101589737961</v>
      </c>
      <c r="AX20" s="46">
        <f t="shared" si="26"/>
        <v>6.539101589737961</v>
      </c>
      <c r="AY20" s="46">
        <f t="shared" si="27"/>
        <v>0</v>
      </c>
      <c r="BA20" s="55">
        <f t="shared" si="28"/>
        <v>16.00005</v>
      </c>
      <c r="BB20" s="71">
        <f t="shared" si="29"/>
        <v>0.9911933948607985</v>
      </c>
      <c r="BC20" s="51">
        <f t="shared" si="6"/>
        <v>0.019083730028256585</v>
      </c>
      <c r="BD20" s="51">
        <f t="shared" si="30"/>
        <v>1.9083730028256585</v>
      </c>
      <c r="BE20" s="51">
        <f t="shared" si="31"/>
        <v>1.9083730028256585</v>
      </c>
      <c r="BG20">
        <f t="shared" si="7"/>
        <v>1.9083730028256585</v>
      </c>
      <c r="BI20" s="55">
        <f t="shared" si="32"/>
        <v>16.00005</v>
      </c>
      <c r="BJ20">
        <v>0</v>
      </c>
      <c r="BK20" s="51"/>
      <c r="BL20" s="57">
        <f t="shared" si="33"/>
        <v>0</v>
      </c>
      <c r="BM20" s="51"/>
    </row>
    <row r="21" spans="2:65" ht="14.25" customHeight="1" thickBot="1" thickTop="1">
      <c r="B21" s="6" t="s">
        <v>160</v>
      </c>
      <c r="C21" s="142">
        <v>60</v>
      </c>
      <c r="D21" s="129" t="str">
        <f>IF(C21&gt;100,"Error, tank overfull","% full")</f>
        <v>% full</v>
      </c>
      <c r="F21" s="77" t="s">
        <v>27</v>
      </c>
      <c r="G21" s="117">
        <f>Sheet1!B25</f>
        <v>0.15865325496372243</v>
      </c>
      <c r="H21" s="107" t="s">
        <v>4</v>
      </c>
      <c r="M21">
        <f t="shared" si="35"/>
        <v>17</v>
      </c>
      <c r="N21" s="19">
        <f t="shared" si="0"/>
        <v>0.6586876798144958</v>
      </c>
      <c r="O21" s="17">
        <f t="shared" si="34"/>
        <v>0.006586876798144958</v>
      </c>
      <c r="P21" s="19">
        <f>Sheet1!L28*100</f>
        <v>0.43764144926517495</v>
      </c>
      <c r="V21" s="5"/>
      <c r="W21" s="29">
        <f t="shared" si="8"/>
        <v>17</v>
      </c>
      <c r="X21" s="66">
        <f t="shared" si="9"/>
        <v>0.9999999969627454</v>
      </c>
      <c r="Y21" s="25">
        <f t="shared" si="1"/>
        <v>4.239735351685425E-08</v>
      </c>
      <c r="Z21" s="25">
        <f t="shared" si="10"/>
        <v>4.239735351685425E-06</v>
      </c>
      <c r="AA21" s="25">
        <f t="shared" si="11"/>
        <v>0</v>
      </c>
      <c r="AB21" s="5"/>
      <c r="AC21" s="34">
        <f t="shared" si="12"/>
        <v>17.00005</v>
      </c>
      <c r="AD21" s="67">
        <f t="shared" si="13"/>
        <v>0.9984135479799858</v>
      </c>
      <c r="AE21" s="30">
        <f t="shared" si="2"/>
        <v>0.002730749578385483</v>
      </c>
      <c r="AF21" s="30">
        <f t="shared" si="14"/>
        <v>0.2730749578385483</v>
      </c>
      <c r="AG21" s="30">
        <f t="shared" si="15"/>
        <v>0</v>
      </c>
      <c r="AH21" s="16"/>
      <c r="AI21" s="39">
        <f t="shared" si="16"/>
        <v>17.00005</v>
      </c>
      <c r="AJ21" s="68">
        <f t="shared" si="17"/>
        <v>0.9983676921600065</v>
      </c>
      <c r="AK21" s="35">
        <f t="shared" si="3"/>
        <v>0.0043620932704275805</v>
      </c>
      <c r="AL21" s="35">
        <f t="shared" si="18"/>
        <v>0.43620932704275805</v>
      </c>
      <c r="AM21" s="35">
        <f t="shared" si="19"/>
        <v>0</v>
      </c>
      <c r="AO21" s="44">
        <f t="shared" si="20"/>
        <v>17.00005</v>
      </c>
      <c r="AP21" s="69">
        <f t="shared" si="21"/>
        <v>0.9936386481320978</v>
      </c>
      <c r="AQ21" s="40">
        <f t="shared" si="4"/>
        <v>0.014192773763763378</v>
      </c>
      <c r="AR21" s="40">
        <f t="shared" si="22"/>
        <v>1.4192773763763378</v>
      </c>
      <c r="AS21" s="40">
        <f t="shared" si="23"/>
        <v>0</v>
      </c>
      <c r="AU21" s="50">
        <f t="shared" si="24"/>
        <v>17.00005</v>
      </c>
      <c r="AV21" s="70">
        <f t="shared" si="25"/>
        <v>0.9811266313917988</v>
      </c>
      <c r="AW21" s="46">
        <f t="shared" si="5"/>
        <v>0.03282664980530958</v>
      </c>
      <c r="AX21" s="46">
        <f t="shared" si="26"/>
        <v>3.2826649805309582</v>
      </c>
      <c r="AY21" s="46">
        <f t="shared" si="27"/>
        <v>0</v>
      </c>
      <c r="BA21" s="55">
        <f t="shared" si="28"/>
        <v>17.00005</v>
      </c>
      <c r="BB21" s="71">
        <f t="shared" si="29"/>
        <v>0.9977802716589435</v>
      </c>
      <c r="BC21" s="51">
        <f t="shared" si="6"/>
        <v>0.006586876798144958</v>
      </c>
      <c r="BD21" s="51">
        <f t="shared" si="30"/>
        <v>0.6586876798144958</v>
      </c>
      <c r="BE21" s="51">
        <f t="shared" si="31"/>
        <v>0.6586876798144958</v>
      </c>
      <c r="BG21">
        <f t="shared" si="7"/>
        <v>0.6586876798144958</v>
      </c>
      <c r="BI21" s="55">
        <f t="shared" si="32"/>
        <v>17.00005</v>
      </c>
      <c r="BJ21">
        <v>0</v>
      </c>
      <c r="BK21" s="51"/>
      <c r="BL21" s="57">
        <f t="shared" si="33"/>
        <v>0</v>
      </c>
      <c r="BM21" s="51"/>
    </row>
    <row r="22" spans="2:65" ht="14.25" thickBot="1" thickTop="1">
      <c r="B22" s="6" t="s">
        <v>13</v>
      </c>
      <c r="C22" s="131">
        <f>14.7*((1-C20*0.001/145.45)^5.2561)</f>
        <v>14.7</v>
      </c>
      <c r="D22" s="111" t="s">
        <v>7</v>
      </c>
      <c r="F22" s="77" t="s">
        <v>107</v>
      </c>
      <c r="G22" s="116">
        <f>Sheet1!B37</f>
        <v>0.003961335884369542</v>
      </c>
      <c r="H22" s="108" t="str">
        <f>IF($G$22&gt;99.975,"Error"," ")</f>
        <v> </v>
      </c>
      <c r="M22">
        <f t="shared" si="35"/>
        <v>18</v>
      </c>
      <c r="N22" s="19">
        <f t="shared" si="0"/>
        <v>0.17359085887533876</v>
      </c>
      <c r="O22" s="17">
        <f t="shared" si="34"/>
        <v>0.0017359085887533876</v>
      </c>
      <c r="P22" s="19">
        <f>Sheet1!L29*100</f>
        <v>0.10918074539219942</v>
      </c>
      <c r="V22" s="5"/>
      <c r="W22" s="29">
        <f t="shared" si="8"/>
        <v>18</v>
      </c>
      <c r="X22" s="66">
        <f t="shared" si="9"/>
        <v>0.9999999998177338</v>
      </c>
      <c r="Y22" s="25">
        <f t="shared" si="1"/>
        <v>2.8549883568373957E-09</v>
      </c>
      <c r="Z22" s="25">
        <f t="shared" si="10"/>
        <v>2.8549883568373957E-07</v>
      </c>
      <c r="AA22" s="25">
        <f t="shared" si="11"/>
        <v>0</v>
      </c>
      <c r="AB22" s="5"/>
      <c r="AC22" s="34">
        <f t="shared" si="12"/>
        <v>18.00005</v>
      </c>
      <c r="AD22" s="67">
        <f t="shared" si="13"/>
        <v>0.9994491412585609</v>
      </c>
      <c r="AE22" s="30">
        <f t="shared" si="2"/>
        <v>0.0010355932785750532</v>
      </c>
      <c r="AF22" s="30">
        <f t="shared" si="14"/>
        <v>0.10355932785750532</v>
      </c>
      <c r="AG22" s="30">
        <f t="shared" si="15"/>
        <v>0</v>
      </c>
      <c r="AH22" s="16"/>
      <c r="AI22" s="39">
        <f t="shared" si="16"/>
        <v>18.00005</v>
      </c>
      <c r="AJ22" s="68">
        <f t="shared" si="17"/>
        <v>0.9996039316695928</v>
      </c>
      <c r="AK22" s="35">
        <f t="shared" si="3"/>
        <v>0.00123623950958629</v>
      </c>
      <c r="AL22" s="35">
        <f t="shared" si="18"/>
        <v>0.12362395095862899</v>
      </c>
      <c r="AM22" s="35">
        <f t="shared" si="19"/>
        <v>0</v>
      </c>
      <c r="AO22" s="44">
        <f t="shared" si="20"/>
        <v>18.00005</v>
      </c>
      <c r="AP22" s="69">
        <f t="shared" si="21"/>
        <v>0.9982745402081341</v>
      </c>
      <c r="AQ22" s="40">
        <f t="shared" si="4"/>
        <v>0.004635892076036319</v>
      </c>
      <c r="AR22" s="40">
        <f t="shared" si="22"/>
        <v>0.46358920760363187</v>
      </c>
      <c r="AS22" s="40">
        <f t="shared" si="23"/>
        <v>0</v>
      </c>
      <c r="AU22" s="50">
        <f t="shared" si="24"/>
        <v>18.00005</v>
      </c>
      <c r="AV22" s="70">
        <f t="shared" si="25"/>
        <v>0.9939735414525375</v>
      </c>
      <c r="AW22" s="46">
        <f t="shared" si="5"/>
        <v>0.012846910060738681</v>
      </c>
      <c r="AX22" s="46">
        <f t="shared" si="26"/>
        <v>1.284691006073868</v>
      </c>
      <c r="AY22" s="46">
        <f t="shared" si="27"/>
        <v>0</v>
      </c>
      <c r="BA22" s="55">
        <f t="shared" si="28"/>
        <v>18.00005</v>
      </c>
      <c r="BB22" s="71">
        <f t="shared" si="29"/>
        <v>0.9995161802476968</v>
      </c>
      <c r="BC22" s="51">
        <f t="shared" si="6"/>
        <v>0.0017359085887533876</v>
      </c>
      <c r="BD22" s="51">
        <f t="shared" si="30"/>
        <v>0.17359085887533876</v>
      </c>
      <c r="BE22" s="51">
        <f t="shared" si="31"/>
        <v>0.17359085887533876</v>
      </c>
      <c r="BG22">
        <f t="shared" si="7"/>
        <v>0.17359085887533876</v>
      </c>
      <c r="BI22" s="55">
        <f t="shared" si="32"/>
        <v>18.00005</v>
      </c>
      <c r="BJ22">
        <v>0</v>
      </c>
      <c r="BK22" s="51"/>
      <c r="BL22" s="57">
        <f t="shared" si="33"/>
        <v>0</v>
      </c>
      <c r="BM22" s="51"/>
    </row>
    <row r="23" spans="1:65" ht="16.5" thickBot="1" thickTop="1">
      <c r="A23" s="59"/>
      <c r="B23" s="6" t="s">
        <v>262</v>
      </c>
      <c r="C23" s="143">
        <v>0</v>
      </c>
      <c r="D23" s="128" t="s">
        <v>2</v>
      </c>
      <c r="F23" s="77" t="s">
        <v>86</v>
      </c>
      <c r="G23" s="118">
        <f>Sheet1!B31</f>
        <v>116.56091307902548</v>
      </c>
      <c r="H23" s="109"/>
      <c r="M23">
        <f t="shared" si="35"/>
        <v>19</v>
      </c>
      <c r="N23" s="19">
        <f t="shared" si="0"/>
        <v>0.03914638828722561</v>
      </c>
      <c r="O23" s="17">
        <f t="shared" si="34"/>
        <v>0.0003914638828722561</v>
      </c>
      <c r="P23" s="19">
        <f>Sheet1!L30*100</f>
        <v>0.023378347970557125</v>
      </c>
      <c r="V23" s="5"/>
      <c r="W23" s="29">
        <f t="shared" si="8"/>
        <v>19</v>
      </c>
      <c r="X23" s="66">
        <f t="shared" si="9"/>
        <v>0.9999999999900661</v>
      </c>
      <c r="Y23" s="25">
        <f t="shared" si="1"/>
        <v>1.7233225957369314E-10</v>
      </c>
      <c r="Z23" s="25">
        <f t="shared" si="10"/>
        <v>1.7233225957369314E-08</v>
      </c>
      <c r="AA23" s="25">
        <f t="shared" si="11"/>
        <v>0</v>
      </c>
      <c r="AB23" s="5"/>
      <c r="AC23" s="34">
        <f t="shared" si="12"/>
        <v>19.00005</v>
      </c>
      <c r="AD23" s="67">
        <f t="shared" si="13"/>
        <v>0.9998182907817912</v>
      </c>
      <c r="AE23" s="30">
        <f t="shared" si="2"/>
        <v>0.0003691495232303055</v>
      </c>
      <c r="AF23" s="30">
        <f t="shared" si="14"/>
        <v>0.03691495232303055</v>
      </c>
      <c r="AG23" s="30">
        <f t="shared" si="15"/>
        <v>0</v>
      </c>
      <c r="AH23" s="16"/>
      <c r="AI23" s="39">
        <f t="shared" si="16"/>
        <v>19.00005</v>
      </c>
      <c r="AJ23" s="68">
        <f t="shared" si="17"/>
        <v>0.9999134728866899</v>
      </c>
      <c r="AK23" s="35">
        <f t="shared" si="3"/>
        <v>0.0003095412170970313</v>
      </c>
      <c r="AL23" s="35">
        <f t="shared" si="18"/>
        <v>0.03095412170970313</v>
      </c>
      <c r="AM23" s="35">
        <f t="shared" si="19"/>
        <v>0</v>
      </c>
      <c r="AO23" s="44">
        <f t="shared" si="20"/>
        <v>19.00005</v>
      </c>
      <c r="AP23" s="69">
        <f t="shared" si="21"/>
        <v>0.9995852919420104</v>
      </c>
      <c r="AQ23" s="40">
        <f t="shared" si="4"/>
        <v>0.001310751733876292</v>
      </c>
      <c r="AR23" s="40">
        <f t="shared" si="22"/>
        <v>0.1310751733876292</v>
      </c>
      <c r="AS23" s="40">
        <f t="shared" si="23"/>
        <v>0</v>
      </c>
      <c r="AU23" s="50">
        <f t="shared" si="24"/>
        <v>19.00005</v>
      </c>
      <c r="AV23" s="70">
        <f t="shared" si="25"/>
        <v>0.9982995384018774</v>
      </c>
      <c r="AW23" s="46">
        <f t="shared" si="5"/>
        <v>0.004325996949339883</v>
      </c>
      <c r="AX23" s="46">
        <f t="shared" si="26"/>
        <v>0.4325996949339883</v>
      </c>
      <c r="AY23" s="46">
        <f t="shared" si="27"/>
        <v>0</v>
      </c>
      <c r="BA23" s="55">
        <f t="shared" si="28"/>
        <v>19.00005</v>
      </c>
      <c r="BB23" s="71">
        <f t="shared" si="29"/>
        <v>0.9999076441305691</v>
      </c>
      <c r="BC23" s="51">
        <f t="shared" si="6"/>
        <v>0.0003914638828722561</v>
      </c>
      <c r="BD23" s="51">
        <f t="shared" si="30"/>
        <v>0.03914638828722561</v>
      </c>
      <c r="BE23" s="51">
        <f t="shared" si="31"/>
        <v>0.03914638828722561</v>
      </c>
      <c r="BG23">
        <f t="shared" si="7"/>
        <v>0.03914638828722561</v>
      </c>
      <c r="BI23" s="55">
        <f t="shared" si="32"/>
        <v>19.00005</v>
      </c>
      <c r="BJ23">
        <v>0</v>
      </c>
      <c r="BK23" s="51"/>
      <c r="BL23" s="57">
        <f t="shared" si="33"/>
        <v>0</v>
      </c>
      <c r="BM23" s="51"/>
    </row>
    <row r="24" spans="2:64" ht="14.25" thickBot="1" thickTop="1">
      <c r="B24" s="6" t="s">
        <v>287</v>
      </c>
      <c r="C24" s="143">
        <v>60</v>
      </c>
      <c r="D24" s="111" t="s">
        <v>16</v>
      </c>
      <c r="F24" s="78" t="s">
        <v>6</v>
      </c>
      <c r="G24" s="119">
        <f>Sheet1!B6</f>
        <v>485.25</v>
      </c>
      <c r="H24" s="124" t="s">
        <v>5</v>
      </c>
      <c r="BL24" s="19"/>
    </row>
    <row r="25" spans="1:64" ht="14.25" thickBot="1" thickTop="1">
      <c r="A25" s="59" t="s">
        <v>304</v>
      </c>
      <c r="F25" s="77" t="s">
        <v>178</v>
      </c>
      <c r="G25" s="122">
        <f>Sheet1!D42</f>
        <v>10792.738432906284</v>
      </c>
      <c r="H25" s="125" t="s">
        <v>268</v>
      </c>
      <c r="I25" s="74"/>
      <c r="J25" s="74"/>
      <c r="K25" s="205">
        <f>IF(H14=0,"WARNING, NO Private Brew Fuel selected","")</f>
      </c>
      <c r="L25" s="206"/>
      <c r="Z25">
        <f>SUM(Z5:Z23)</f>
        <v>99.9999999990066</v>
      </c>
      <c r="AF25">
        <f>SUM(AF5:AF23)</f>
        <v>99.98182907817912</v>
      </c>
      <c r="AL25">
        <f>SUM(AL5:AL23)</f>
        <v>99.99134728866896</v>
      </c>
      <c r="AR25">
        <f>SUM(AR5:AR23)</f>
        <v>99.95852919420103</v>
      </c>
      <c r="AX25">
        <f>SUM(AX5:AX23)</f>
        <v>99.82995384018774</v>
      </c>
      <c r="BD25">
        <f>SUM(BD5:BD23)</f>
        <v>99.99076441305691</v>
      </c>
      <c r="BG25">
        <f>SUM(BG5:BG23)</f>
        <v>99.99076441305691</v>
      </c>
      <c r="BJ25">
        <f>SUM(BJ5:BJ23)</f>
        <v>1</v>
      </c>
      <c r="BL25">
        <f>SUM(BL5:BL23)</f>
        <v>100</v>
      </c>
    </row>
    <row r="26" spans="2:12" ht="14.25" thickBot="1" thickTop="1">
      <c r="B26" t="s">
        <v>197</v>
      </c>
      <c r="F26" s="77" t="s">
        <v>198</v>
      </c>
      <c r="G26" s="123">
        <f>'Equiv ratio'!R29</f>
        <v>0.6503062843821494</v>
      </c>
      <c r="H26" s="135" t="s">
        <v>230</v>
      </c>
      <c r="I26" s="136"/>
      <c r="J26" s="136"/>
      <c r="K26" s="207"/>
      <c r="L26" s="208"/>
    </row>
    <row r="27" spans="2:62" ht="18" customHeight="1" thickBot="1" thickTop="1">
      <c r="B27" t="s">
        <v>87</v>
      </c>
      <c r="F27" s="84" t="s">
        <v>202</v>
      </c>
      <c r="G27" s="134">
        <f>'Equiv ratio'!U27</f>
        <v>2.0307958283582805</v>
      </c>
      <c r="H27" s="137" t="s">
        <v>231</v>
      </c>
      <c r="I27" s="138"/>
      <c r="J27" s="203">
        <v>0.044</v>
      </c>
      <c r="K27" s="139" t="s">
        <v>232</v>
      </c>
      <c r="L27" s="140"/>
      <c r="AW27" s="45"/>
      <c r="BG27">
        <f aca="true" t="shared" si="37" ref="BG27:BG45">AA27+AG27+AM27+AS27+AY27+BE27</f>
        <v>0</v>
      </c>
      <c r="BJ27" s="51"/>
    </row>
    <row r="28" spans="2:62" ht="20.25" customHeight="1" thickBot="1" thickTop="1">
      <c r="B28" t="s">
        <v>212</v>
      </c>
      <c r="F28" s="84" t="s">
        <v>291</v>
      </c>
      <c r="G28" s="134">
        <f>(G23/(12+G27))/3*G25</f>
        <v>29886.91118575096</v>
      </c>
      <c r="H28" s="105" t="s">
        <v>243</v>
      </c>
      <c r="I28" s="73"/>
      <c r="J28" s="75"/>
      <c r="K28" s="144">
        <v>118</v>
      </c>
      <c r="L28" s="145" t="s">
        <v>16</v>
      </c>
      <c r="V28" s="5"/>
      <c r="X28" s="5" t="s">
        <v>204</v>
      </c>
      <c r="AB28" s="56"/>
      <c r="AC28" s="56"/>
      <c r="AD28" s="5" t="s">
        <v>204</v>
      </c>
      <c r="AJ28" s="5" t="s">
        <v>204</v>
      </c>
      <c r="AP28" s="5" t="s">
        <v>204</v>
      </c>
      <c r="AV28" s="5" t="s">
        <v>204</v>
      </c>
      <c r="BB28" s="5" t="s">
        <v>204</v>
      </c>
      <c r="BG28">
        <f t="shared" si="37"/>
        <v>0</v>
      </c>
      <c r="BJ28" s="5" t="s">
        <v>204</v>
      </c>
    </row>
    <row r="29" spans="2:63" ht="19.5" customHeight="1" thickBot="1" thickTop="1">
      <c r="B29" t="s">
        <v>88</v>
      </c>
      <c r="E29" s="18" t="str">
        <f>IF(Sheet1!O9&lt;0.9995,"ERROR",(IF(Sheet1!O9&gt;1.002,"ERROR","ok")))</f>
        <v>ok</v>
      </c>
      <c r="F29" s="77" t="s">
        <v>233</v>
      </c>
      <c r="G29" s="123">
        <f>G21/0.01451</f>
        <v>10.934063057458472</v>
      </c>
      <c r="H29" s="105" t="s">
        <v>241</v>
      </c>
      <c r="I29" s="75"/>
      <c r="J29" s="75"/>
      <c r="K29" s="144">
        <v>400</v>
      </c>
      <c r="L29" s="145" t="s">
        <v>16</v>
      </c>
      <c r="X29" s="5" t="s">
        <v>203</v>
      </c>
      <c r="Y29" s="5" t="s">
        <v>94</v>
      </c>
      <c r="AD29" s="5" t="s">
        <v>203</v>
      </c>
      <c r="AE29" s="5" t="s">
        <v>94</v>
      </c>
      <c r="AJ29" s="5" t="s">
        <v>203</v>
      </c>
      <c r="AK29" s="5" t="s">
        <v>94</v>
      </c>
      <c r="AP29" s="5" t="s">
        <v>203</v>
      </c>
      <c r="AQ29" s="5" t="s">
        <v>94</v>
      </c>
      <c r="AV29" s="5" t="s">
        <v>203</v>
      </c>
      <c r="AW29" s="5" t="s">
        <v>94</v>
      </c>
      <c r="BB29" s="5" t="s">
        <v>203</v>
      </c>
      <c r="BC29" s="5" t="s">
        <v>94</v>
      </c>
      <c r="BG29">
        <f t="shared" si="37"/>
        <v>0</v>
      </c>
      <c r="BJ29" s="5" t="s">
        <v>203</v>
      </c>
      <c r="BK29" s="5" t="s">
        <v>94</v>
      </c>
    </row>
    <row r="30" spans="2:63" ht="21.75" customHeight="1" thickBot="1" thickTop="1">
      <c r="B30" t="s">
        <v>100</v>
      </c>
      <c r="E30" s="18" t="str">
        <f>IF(C22-G21&lt;0,"ERROR, Fuel to hot to calculate values accurately","ok")</f>
        <v>ok</v>
      </c>
      <c r="F30" s="77" t="s">
        <v>271</v>
      </c>
      <c r="G30" s="123">
        <f>Sheet1!B48</f>
        <v>0</v>
      </c>
      <c r="H30" s="141" t="s">
        <v>242</v>
      </c>
      <c r="I30" s="76"/>
      <c r="J30" s="76"/>
      <c r="K30" s="144">
        <v>65</v>
      </c>
      <c r="L30" s="146" t="s">
        <v>16</v>
      </c>
      <c r="X30">
        <f>T8</f>
        <v>200</v>
      </c>
      <c r="Y30">
        <f>U8</f>
        <v>62</v>
      </c>
      <c r="AD30">
        <f>T10</f>
        <v>295</v>
      </c>
      <c r="AE30">
        <f>U10</f>
        <v>90</v>
      </c>
      <c r="AJ30">
        <f>T12</f>
        <v>360.51</v>
      </c>
      <c r="AK30">
        <f>U12</f>
        <v>68</v>
      </c>
      <c r="AP30">
        <f>T14</f>
        <v>398.6</v>
      </c>
      <c r="AQ30">
        <f>U14</f>
        <v>65</v>
      </c>
      <c r="AV30">
        <f>T16</f>
        <v>425.5</v>
      </c>
      <c r="AW30">
        <f>U16</f>
        <v>65</v>
      </c>
      <c r="BB30">
        <f>T18</f>
        <v>384.4261169433594</v>
      </c>
      <c r="BC30">
        <f>U18</f>
        <v>61.901360863455196</v>
      </c>
      <c r="BG30">
        <f t="shared" si="37"/>
        <v>0</v>
      </c>
      <c r="BJ30">
        <v>400</v>
      </c>
      <c r="BK30">
        <v>60</v>
      </c>
    </row>
    <row r="31" spans="2:59" ht="21" customHeight="1" thickBot="1" thickTop="1">
      <c r="B31">
        <f>Sheet1!O9</f>
        <v>1.0009483811462516</v>
      </c>
      <c r="C31" s="1" t="s">
        <v>108</v>
      </c>
      <c r="H31" s="75"/>
      <c r="I31" s="75"/>
      <c r="J31" s="75"/>
      <c r="K31" s="75"/>
      <c r="BG31">
        <f t="shared" si="37"/>
        <v>0</v>
      </c>
    </row>
    <row r="32" spans="2:59" ht="13.5" thickBot="1">
      <c r="B32" s="18" t="str">
        <f>IF($G$22&gt;99.975,"Error, Too close to 100% evaporated, use 100% values below"," ")</f>
        <v> </v>
      </c>
      <c r="G32" s="176" t="s">
        <v>303</v>
      </c>
      <c r="H32" s="177"/>
      <c r="I32" s="179">
        <f>'Equiv ratio'!R27</f>
        <v>0.06751726002361229</v>
      </c>
      <c r="AB32" s="56"/>
      <c r="AC32" s="56"/>
      <c r="BG32">
        <f t="shared" si="37"/>
        <v>0</v>
      </c>
    </row>
    <row r="33" spans="1:59" ht="12.75">
      <c r="A33" t="s">
        <v>113</v>
      </c>
      <c r="BG33">
        <f t="shared" si="37"/>
        <v>0</v>
      </c>
    </row>
    <row r="34" spans="1:59" ht="12.75">
      <c r="A34" t="s">
        <v>111</v>
      </c>
      <c r="BG34">
        <f t="shared" si="37"/>
        <v>0</v>
      </c>
    </row>
    <row r="35" spans="1:59" ht="12.75">
      <c r="A35" t="s">
        <v>110</v>
      </c>
      <c r="C35">
        <f>IF($G$22&gt;99.5,Sheet1!AK9,"")</f>
      </c>
      <c r="D35" t="s">
        <v>4</v>
      </c>
      <c r="BG35">
        <f t="shared" si="37"/>
        <v>0</v>
      </c>
    </row>
    <row r="36" spans="1:59" ht="12.75">
      <c r="A36" t="s">
        <v>112</v>
      </c>
      <c r="C36">
        <f>IF($G$22&gt;99.5,Sheet1!B12/Sheet1!B33,"")</f>
      </c>
      <c r="D36" s="6" t="str">
        <f>IF(D37&gt;C20,"error",(IF(C36&gt;0.24,"rich",(IF(C36&lt;0.03,"lean","flammable")))))</f>
        <v>rich</v>
      </c>
      <c r="BG36">
        <f t="shared" si="37"/>
        <v>0</v>
      </c>
    </row>
    <row r="37" ht="12.75">
      <c r="BG37">
        <f t="shared" si="37"/>
        <v>0</v>
      </c>
    </row>
    <row r="38" spans="15:59" ht="12.75">
      <c r="O38" s="82"/>
      <c r="Z38" s="64"/>
      <c r="BG38">
        <f t="shared" si="37"/>
        <v>0</v>
      </c>
    </row>
    <row r="39" spans="20:63" ht="13.5" thickBot="1">
      <c r="T39" t="s">
        <v>170</v>
      </c>
      <c r="U39" t="s">
        <v>173</v>
      </c>
      <c r="V39" t="s">
        <v>171</v>
      </c>
      <c r="Y39" t="s">
        <v>206</v>
      </c>
      <c r="AE39" t="s">
        <v>206</v>
      </c>
      <c r="AF39" s="65"/>
      <c r="AK39" t="s">
        <v>206</v>
      </c>
      <c r="AL39" s="65"/>
      <c r="AQ39" t="s">
        <v>206</v>
      </c>
      <c r="AW39" t="s">
        <v>206</v>
      </c>
      <c r="BC39" t="s">
        <v>206</v>
      </c>
      <c r="BG39">
        <f t="shared" si="37"/>
        <v>0</v>
      </c>
      <c r="BK39" t="s">
        <v>206</v>
      </c>
    </row>
    <row r="40" spans="2:63" ht="13.5" thickBot="1">
      <c r="B40" s="159" t="s">
        <v>121</v>
      </c>
      <c r="C40" s="149"/>
      <c r="D40" s="149"/>
      <c r="E40" s="149"/>
      <c r="F40" s="150"/>
      <c r="U40" t="s">
        <v>77</v>
      </c>
      <c r="V40" t="s">
        <v>172</v>
      </c>
      <c r="W40" t="s">
        <v>16</v>
      </c>
      <c r="X40" t="s">
        <v>205</v>
      </c>
      <c r="Y40" t="s">
        <v>207</v>
      </c>
      <c r="AD40" t="s">
        <v>205</v>
      </c>
      <c r="AE40" t="s">
        <v>207</v>
      </c>
      <c r="AF40" s="64"/>
      <c r="AJ40" t="s">
        <v>205</v>
      </c>
      <c r="AK40" t="s">
        <v>207</v>
      </c>
      <c r="AL40" s="64"/>
      <c r="AP40" t="s">
        <v>205</v>
      </c>
      <c r="AQ40" t="s">
        <v>207</v>
      </c>
      <c r="AV40" t="s">
        <v>205</v>
      </c>
      <c r="AW40" t="s">
        <v>207</v>
      </c>
      <c r="BB40" t="s">
        <v>205</v>
      </c>
      <c r="BC40" t="s">
        <v>207</v>
      </c>
      <c r="BG40">
        <f t="shared" si="37"/>
        <v>0</v>
      </c>
      <c r="BJ40" t="s">
        <v>205</v>
      </c>
      <c r="BK40" t="s">
        <v>207</v>
      </c>
    </row>
    <row r="41" spans="2:64" ht="13.5" thickBot="1">
      <c r="B41" s="151" t="s">
        <v>115</v>
      </c>
      <c r="C41" s="164">
        <v>24000</v>
      </c>
      <c r="D41" s="152" t="s">
        <v>116</v>
      </c>
      <c r="E41" s="166">
        <f>14.7*((1-C41*0.001/145.45)^5.2561)</f>
        <v>5.6974368746630155</v>
      </c>
      <c r="F41" s="153" t="s">
        <v>4</v>
      </c>
      <c r="I41" s="148" t="s">
        <v>288</v>
      </c>
      <c r="J41" s="149"/>
      <c r="K41" s="150"/>
      <c r="O41">
        <v>143.1967687261899</v>
      </c>
      <c r="R41">
        <v>143.1967687261899</v>
      </c>
      <c r="T41">
        <v>1</v>
      </c>
      <c r="U41">
        <v>111.19753218232304</v>
      </c>
      <c r="V41">
        <f>R41</f>
        <v>143.1967687261899</v>
      </c>
      <c r="W41">
        <f>((V41-273)+40)*9/5-40</f>
        <v>-201.64581629285817</v>
      </c>
      <c r="X41" s="17">
        <f>NORMDIST($W41,$X$30,$Y$30,TRUE)</f>
        <v>4.665023922711953E-11</v>
      </c>
      <c r="Y41" s="17">
        <f>X42-X41</f>
        <v>1.6936142618328986E-06</v>
      </c>
      <c r="Z41">
        <f>X41*100</f>
        <v>4.665023922711953E-09</v>
      </c>
      <c r="AA41">
        <v>9.285753277410436E-08</v>
      </c>
      <c r="AB41" s="16"/>
      <c r="AD41" s="17">
        <f>NORMDIST($W41,$AD$30,$AE$30,TRUE)</f>
        <v>1.715886133180078E-08</v>
      </c>
      <c r="AE41" s="17">
        <f>AD42-AD41</f>
        <v>1.0388127466676167E-05</v>
      </c>
      <c r="AF41">
        <f>AD41*100</f>
        <v>1.7158861331800779E-06</v>
      </c>
      <c r="AJ41" s="17">
        <f>NORMDIST($W41,$AJ$30,$AK$30,TRUE)</f>
        <v>1.1102230246251565E-16</v>
      </c>
      <c r="AK41" s="17">
        <f>AJ42-AJ41</f>
        <v>2.1152968265880645E-11</v>
      </c>
      <c r="AL41">
        <f>AJ41*100</f>
        <v>1.1102230246251565E-14</v>
      </c>
      <c r="AP41" s="17">
        <f>NORMDIST($W41,$AP$30,$AQ$30,TRUE)</f>
        <v>0</v>
      </c>
      <c r="AQ41" s="17">
        <f>AP42-AP41</f>
        <v>3.552713678800501E-14</v>
      </c>
      <c r="AR41">
        <f>AP41*100</f>
        <v>0</v>
      </c>
      <c r="AV41" s="17">
        <f>NORMDIST($W41,$AV$30,$AW$30,TRUE)</f>
        <v>0</v>
      </c>
      <c r="AW41" s="17">
        <f>AV42-AV41</f>
        <v>1.4432899320127035E-15</v>
      </c>
      <c r="AX41">
        <f>AV41*100</f>
        <v>0</v>
      </c>
      <c r="BB41" s="17">
        <f>NORMDIST($W41,$BB$30,$BC$30,TRUE)</f>
        <v>0</v>
      </c>
      <c r="BC41" s="17">
        <f>BB42-BB41</f>
        <v>1.1546319456101628E-14</v>
      </c>
      <c r="BD41">
        <f>BB41*100</f>
        <v>0</v>
      </c>
      <c r="BG41">
        <f t="shared" si="37"/>
        <v>9.285753277410436E-08</v>
      </c>
      <c r="BJ41" s="17">
        <f>NORMDIST($W41,$BJ$30,$BK$30,TRUE)</f>
        <v>0</v>
      </c>
      <c r="BK41" s="17">
        <f>BJ42-BJ41</f>
        <v>2.220446049250313E-16</v>
      </c>
      <c r="BL41">
        <f>BJ41*100</f>
        <v>0</v>
      </c>
    </row>
    <row r="42" spans="2:64" ht="13.5" thickBot="1">
      <c r="B42" s="151" t="s">
        <v>117</v>
      </c>
      <c r="C42" s="164">
        <v>0.3</v>
      </c>
      <c r="D42" s="160" t="s">
        <v>118</v>
      </c>
      <c r="E42" s="166">
        <f>C42*14.7</f>
        <v>4.409999999999999</v>
      </c>
      <c r="F42" s="153" t="s">
        <v>4</v>
      </c>
      <c r="I42" s="151"/>
      <c r="J42" s="152"/>
      <c r="K42" s="153"/>
      <c r="O42">
        <v>206.3247045899068</v>
      </c>
      <c r="R42">
        <v>206.30296857217135</v>
      </c>
      <c r="T42">
        <f>T41+1</f>
        <v>2</v>
      </c>
      <c r="U42">
        <v>184.2360052700568</v>
      </c>
      <c r="V42">
        <f aca="true" t="shared" si="38" ref="V42:V60">R42</f>
        <v>206.30296857217135</v>
      </c>
      <c r="W42">
        <f aca="true" t="shared" si="39" ref="W42:W60">((V42-273)+40)*9/5-40</f>
        <v>-88.05465657009157</v>
      </c>
      <c r="X42" s="17">
        <f aca="true" t="shared" si="40" ref="X42:X60">NORMDIST(W42,$X$30,$Y$30,TRUE)</f>
        <v>1.6936609120721258E-06</v>
      </c>
      <c r="Y42" s="17">
        <f aca="true" t="shared" si="41" ref="Y42:Y59">X43-X42</f>
        <v>0.0006177331060545077</v>
      </c>
      <c r="Z42">
        <f aca="true" t="shared" si="42" ref="Z42:Z59">X42*100</f>
        <v>0.00016936609120721258</v>
      </c>
      <c r="AA42">
        <v>0.001330014133393842</v>
      </c>
      <c r="AB42" s="16"/>
      <c r="AD42" s="17">
        <f aca="true" t="shared" si="43" ref="AD42:AD60">NORMDIST($W42,$AD$30,$AE$30,TRUE)</f>
        <v>1.0405286328007968E-05</v>
      </c>
      <c r="AE42" s="17">
        <f aca="true" t="shared" si="44" ref="AE42:AE59">AD43-AD42</f>
        <v>0.0005077059043442356</v>
      </c>
      <c r="AF42">
        <f aca="true" t="shared" si="45" ref="AF42:AF59">AD42*100</f>
        <v>0.0010405286328007968</v>
      </c>
      <c r="AJ42" s="17">
        <f aca="true" t="shared" si="46" ref="AJ42:AJ60">NORMDIST($W42,$AJ$30,$AK$30,TRUE)</f>
        <v>2.1153079288183108E-11</v>
      </c>
      <c r="AK42" s="17">
        <f aca="true" t="shared" si="47" ref="AK42:AK59">AJ43-AJ42</f>
        <v>5.635069522114122E-08</v>
      </c>
      <c r="AL42">
        <f aca="true" t="shared" si="48" ref="AL42:AL59">AJ42*100</f>
        <v>2.1153079288183108E-09</v>
      </c>
      <c r="AP42" s="17">
        <f aca="true" t="shared" si="49" ref="AP42:AP60">NORMDIST($W42,$AP$30,$AQ$30,TRUE)</f>
        <v>3.552713678800501E-14</v>
      </c>
      <c r="AQ42" s="17">
        <f aca="true" t="shared" si="50" ref="AQ42:AQ59">AP43-AP42</f>
        <v>4.24415613764495E-10</v>
      </c>
      <c r="AR42">
        <f aca="true" t="shared" si="51" ref="AR42:AR59">AP42*100</f>
        <v>3.552713678800501E-12</v>
      </c>
      <c r="AV42" s="17">
        <f aca="true" t="shared" si="52" ref="AV42:AV60">NORMDIST($W42,$AV$30,$AW$30,TRUE)</f>
        <v>1.4432899320127035E-15</v>
      </c>
      <c r="AW42" s="17">
        <f aca="true" t="shared" si="53" ref="AW42:AW59">AV43-AV42</f>
        <v>2.8918534233923765E-11</v>
      </c>
      <c r="AX42">
        <f aca="true" t="shared" si="54" ref="AX42:AX59">AV42*100</f>
        <v>1.4432899320127035E-13</v>
      </c>
      <c r="BB42" s="17">
        <f aca="true" t="shared" si="55" ref="BB42:BB60">NORMDIST($W42,$BB$30,$BC$30,TRUE)</f>
        <v>1.1546319456101628E-14</v>
      </c>
      <c r="BC42" s="17">
        <f aca="true" t="shared" si="56" ref="BC42:BC59">BB43-BB42</f>
        <v>2.588054215379998E-10</v>
      </c>
      <c r="BD42">
        <f aca="true" t="shared" si="57" ref="BD42:BD59">BB42*100</f>
        <v>1.1546319456101628E-12</v>
      </c>
      <c r="BG42">
        <f t="shared" si="37"/>
        <v>0.001330014133393842</v>
      </c>
      <c r="BJ42" s="17">
        <f aca="true" t="shared" si="58" ref="BJ42:BJ60">NORMDIST($W42,$BJ$30,$BK$30,TRUE)</f>
        <v>2.220446049250313E-16</v>
      </c>
      <c r="BK42" s="17">
        <f aca="true" t="shared" si="59" ref="BK42:BK59">BJ43-BJ42</f>
        <v>1.2789325154471953E-11</v>
      </c>
      <c r="BL42">
        <f aca="true" t="shared" si="60" ref="BL42:BL59">BJ42*100</f>
        <v>2.220446049250313E-14</v>
      </c>
    </row>
    <row r="43" spans="2:64" ht="13.5" thickBot="1">
      <c r="B43" s="151" t="s">
        <v>13</v>
      </c>
      <c r="C43" s="164">
        <v>6</v>
      </c>
      <c r="D43" s="160" t="s">
        <v>157</v>
      </c>
      <c r="E43" s="166">
        <f>(145.45*(1-(C43/14.7)^(1/5.2561)))*1000</f>
        <v>22798.495231940233</v>
      </c>
      <c r="F43" s="153" t="s">
        <v>119</v>
      </c>
      <c r="I43" s="154" t="s">
        <v>275</v>
      </c>
      <c r="J43" s="155">
        <v>1.78E-07</v>
      </c>
      <c r="K43" s="153"/>
      <c r="O43">
        <v>255.12155468680055</v>
      </c>
      <c r="R43">
        <v>255.08434821586278</v>
      </c>
      <c r="T43">
        <f aca="true" t="shared" si="61" ref="T43:T59">T42+1</f>
        <v>3</v>
      </c>
      <c r="U43">
        <v>230.11932661786216</v>
      </c>
      <c r="V43">
        <f t="shared" si="38"/>
        <v>255.08434821586278</v>
      </c>
      <c r="W43">
        <f t="shared" si="39"/>
        <v>-0.24817321144700344</v>
      </c>
      <c r="X43" s="17">
        <f t="shared" si="40"/>
        <v>0.0006194267669665798</v>
      </c>
      <c r="Y43" s="17">
        <f t="shared" si="41"/>
        <v>0.019560998171787802</v>
      </c>
      <c r="Z43">
        <f t="shared" si="42"/>
        <v>0.06194267669665798</v>
      </c>
      <c r="AA43">
        <v>0.20251487050536587</v>
      </c>
      <c r="AB43" s="16"/>
      <c r="AD43" s="17">
        <f t="shared" si="43"/>
        <v>0.0005181111906722435</v>
      </c>
      <c r="AE43" s="17">
        <f t="shared" si="44"/>
        <v>0.006279169243382121</v>
      </c>
      <c r="AF43">
        <f t="shared" si="45"/>
        <v>0.051811119067224354</v>
      </c>
      <c r="AJ43" s="17">
        <f t="shared" si="46"/>
        <v>5.6371848300429406E-08</v>
      </c>
      <c r="AK43" s="17">
        <f t="shared" si="47"/>
        <v>1.1657082137683794E-05</v>
      </c>
      <c r="AL43">
        <f t="shared" si="48"/>
        <v>5.6371848300429406E-06</v>
      </c>
      <c r="AP43" s="17">
        <f t="shared" si="49"/>
        <v>4.24451140901283E-10</v>
      </c>
      <c r="AQ43" s="17">
        <f t="shared" si="50"/>
        <v>2.710258000249155E-07</v>
      </c>
      <c r="AR43">
        <f t="shared" si="51"/>
        <v>4.24451140901283E-08</v>
      </c>
      <c r="AV43" s="17">
        <f t="shared" si="52"/>
        <v>2.8919977523855778E-11</v>
      </c>
      <c r="AW43" s="17">
        <f t="shared" si="53"/>
        <v>2.9072648954908686E-08</v>
      </c>
      <c r="AX43">
        <f t="shared" si="54"/>
        <v>2.8919977523855778E-09</v>
      </c>
      <c r="BB43" s="17">
        <f t="shared" si="55"/>
        <v>2.588169678574559E-10</v>
      </c>
      <c r="BC43" s="17">
        <f t="shared" si="56"/>
        <v>2.4200035653176855E-07</v>
      </c>
      <c r="BD43">
        <f t="shared" si="57"/>
        <v>2.588169678574559E-08</v>
      </c>
      <c r="BG43">
        <f t="shared" si="37"/>
        <v>0.20251487050536587</v>
      </c>
      <c r="BJ43" s="17">
        <f t="shared" si="58"/>
        <v>1.2789547199076878E-11</v>
      </c>
      <c r="BK43" s="17">
        <f t="shared" si="59"/>
        <v>2.4991195224366436E-08</v>
      </c>
      <c r="BL43">
        <f t="shared" si="60"/>
        <v>1.2789547199076878E-09</v>
      </c>
    </row>
    <row r="44" spans="2:64" ht="13.5" thickBot="1">
      <c r="B44" s="151" t="s">
        <v>13</v>
      </c>
      <c r="C44" s="164">
        <v>1</v>
      </c>
      <c r="D44" s="160" t="s">
        <v>157</v>
      </c>
      <c r="E44" s="166">
        <f>C44/14.7</f>
        <v>0.06802721088435375</v>
      </c>
      <c r="F44" s="153" t="s">
        <v>120</v>
      </c>
      <c r="I44" s="156" t="s">
        <v>276</v>
      </c>
      <c r="J44" s="157">
        <v>-1.6349999999999998E-06</v>
      </c>
      <c r="K44" s="158"/>
      <c r="O44">
        <v>295.7703128655273</v>
      </c>
      <c r="R44">
        <v>295.7210059607704</v>
      </c>
      <c r="T44">
        <f t="shared" si="61"/>
        <v>4</v>
      </c>
      <c r="U44">
        <v>272.4175050854178</v>
      </c>
      <c r="V44">
        <f t="shared" si="38"/>
        <v>295.7210059607704</v>
      </c>
      <c r="W44">
        <f t="shared" si="39"/>
        <v>72.89781072938675</v>
      </c>
      <c r="X44" s="17">
        <f t="shared" si="40"/>
        <v>0.020180424938754382</v>
      </c>
      <c r="Y44" s="17">
        <f t="shared" si="41"/>
        <v>0.13223538142091618</v>
      </c>
      <c r="Z44">
        <f t="shared" si="42"/>
        <v>2.018042493875438</v>
      </c>
      <c r="AA44">
        <v>4.299978061366527</v>
      </c>
      <c r="AB44" s="16"/>
      <c r="AD44" s="17">
        <f t="shared" si="43"/>
        <v>0.006797280434054365</v>
      </c>
      <c r="AE44" s="17">
        <f t="shared" si="44"/>
        <v>0.032199891445961915</v>
      </c>
      <c r="AF44">
        <f t="shared" si="45"/>
        <v>0.6797280434054365</v>
      </c>
      <c r="AJ44" s="17">
        <f t="shared" si="46"/>
        <v>1.1713453985984223E-05</v>
      </c>
      <c r="AK44" s="17">
        <f t="shared" si="47"/>
        <v>0.00047865668421731566</v>
      </c>
      <c r="AL44">
        <f t="shared" si="48"/>
        <v>0.0011713453985984223</v>
      </c>
      <c r="AP44" s="17">
        <f t="shared" si="49"/>
        <v>2.714502511658168E-07</v>
      </c>
      <c r="AQ44" s="17">
        <f t="shared" si="50"/>
        <v>2.7141927720131243E-05</v>
      </c>
      <c r="AR44">
        <f t="shared" si="51"/>
        <v>2.7145025116581678E-05</v>
      </c>
      <c r="AV44" s="17">
        <f t="shared" si="52"/>
        <v>2.9101568932432542E-08</v>
      </c>
      <c r="AW44" s="17">
        <f t="shared" si="53"/>
        <v>4.308355728732671E-06</v>
      </c>
      <c r="AX44">
        <f t="shared" si="54"/>
        <v>2.9101568932432542E-06</v>
      </c>
      <c r="BB44" s="17">
        <f t="shared" si="55"/>
        <v>2.42259173499626E-07</v>
      </c>
      <c r="BC44" s="17">
        <f t="shared" si="56"/>
        <v>3.0504432214417676E-05</v>
      </c>
      <c r="BD44">
        <f t="shared" si="57"/>
        <v>2.42259173499626E-05</v>
      </c>
      <c r="BG44">
        <f t="shared" si="37"/>
        <v>4.299978061366527</v>
      </c>
      <c r="BJ44" s="17">
        <f t="shared" si="58"/>
        <v>2.5003984771565513E-08</v>
      </c>
      <c r="BK44" s="17">
        <f t="shared" si="59"/>
        <v>5.552278798059973E-06</v>
      </c>
      <c r="BL44">
        <f t="shared" si="60"/>
        <v>2.5003984771565513E-06</v>
      </c>
    </row>
    <row r="45" spans="2:64" ht="13.5" thickBot="1">
      <c r="B45" s="151" t="s">
        <v>13</v>
      </c>
      <c r="C45" s="165">
        <f>G21</f>
        <v>0.15865325496372243</v>
      </c>
      <c r="D45" s="160" t="s">
        <v>157</v>
      </c>
      <c r="E45" s="166">
        <f>C45/0.01451</f>
        <v>10.934063057458472</v>
      </c>
      <c r="F45" s="153" t="s">
        <v>146</v>
      </c>
      <c r="O45">
        <v>331.0482272623441</v>
      </c>
      <c r="R45">
        <v>330.9889483699417</v>
      </c>
      <c r="T45">
        <f t="shared" si="61"/>
        <v>5</v>
      </c>
      <c r="U45">
        <v>308.8332449359421</v>
      </c>
      <c r="V45">
        <f t="shared" si="38"/>
        <v>330.9889483699417</v>
      </c>
      <c r="W45">
        <f t="shared" si="39"/>
        <v>136.38010706589503</v>
      </c>
      <c r="X45" s="17">
        <f t="shared" si="40"/>
        <v>0.15241580635967056</v>
      </c>
      <c r="Y45" s="17">
        <f t="shared" si="41"/>
        <v>0.29984032401236693</v>
      </c>
      <c r="Z45">
        <f t="shared" si="42"/>
        <v>15.241580635967056</v>
      </c>
      <c r="AA45">
        <v>20.773655147048842</v>
      </c>
      <c r="AB45" s="16"/>
      <c r="AD45" s="17">
        <f t="shared" si="43"/>
        <v>0.03899717188001628</v>
      </c>
      <c r="AE45" s="17">
        <f t="shared" si="44"/>
        <v>0.08852203013457605</v>
      </c>
      <c r="AF45">
        <f t="shared" si="45"/>
        <v>3.899717188001628</v>
      </c>
      <c r="AJ45" s="17">
        <f t="shared" si="46"/>
        <v>0.0004903701382032999</v>
      </c>
      <c r="AK45" s="17">
        <f t="shared" si="47"/>
        <v>0.0062687033480356424</v>
      </c>
      <c r="AL45">
        <f t="shared" si="48"/>
        <v>0.04903701382032999</v>
      </c>
      <c r="AP45" s="17">
        <f t="shared" si="49"/>
        <v>2.741337797129706E-05</v>
      </c>
      <c r="AQ45" s="17">
        <f t="shared" si="50"/>
        <v>0.0007353427986593886</v>
      </c>
      <c r="AR45">
        <f t="shared" si="51"/>
        <v>0.002741337797129706</v>
      </c>
      <c r="AV45" s="17">
        <f t="shared" si="52"/>
        <v>4.337457297665104E-06</v>
      </c>
      <c r="AW45" s="17">
        <f t="shared" si="53"/>
        <v>0.00016510919663981216</v>
      </c>
      <c r="AX45">
        <f t="shared" si="54"/>
        <v>0.0004337457297665104</v>
      </c>
      <c r="BB45" s="17">
        <f t="shared" si="55"/>
        <v>3.07466913879173E-05</v>
      </c>
      <c r="BC45" s="17">
        <f t="shared" si="56"/>
        <v>0.0009385294519096421</v>
      </c>
      <c r="BD45">
        <f t="shared" si="57"/>
        <v>0.00307466913879173</v>
      </c>
      <c r="BG45">
        <f t="shared" si="37"/>
        <v>20.773655147048842</v>
      </c>
      <c r="BJ45" s="17">
        <f t="shared" si="58"/>
        <v>5.5772827828315386E-06</v>
      </c>
      <c r="BK45" s="17">
        <f t="shared" si="59"/>
        <v>0.0002672834837438298</v>
      </c>
      <c r="BL45">
        <f t="shared" si="60"/>
        <v>0.0005577282782831539</v>
      </c>
    </row>
    <row r="46" spans="2:64" ht="13.5" thickBot="1">
      <c r="B46" s="151" t="s">
        <v>146</v>
      </c>
      <c r="C46" s="164">
        <v>1</v>
      </c>
      <c r="D46" s="160" t="s">
        <v>158</v>
      </c>
      <c r="E46" s="166">
        <f>0.01451*C46</f>
        <v>0.01451</v>
      </c>
      <c r="F46" s="153" t="s">
        <v>4</v>
      </c>
      <c r="O46">
        <v>362.46904488188954</v>
      </c>
      <c r="R46">
        <v>362.20126972256907</v>
      </c>
      <c r="T46">
        <f t="shared" si="61"/>
        <v>6</v>
      </c>
      <c r="U46">
        <v>341.4728662818001</v>
      </c>
      <c r="V46">
        <f t="shared" si="38"/>
        <v>362.20126972256907</v>
      </c>
      <c r="W46">
        <f t="shared" si="39"/>
        <v>192.56228550062434</v>
      </c>
      <c r="X46" s="17">
        <f t="shared" si="40"/>
        <v>0.4522561303720375</v>
      </c>
      <c r="Y46" s="17">
        <f t="shared" si="41"/>
        <v>0.2895437341237729</v>
      </c>
      <c r="Z46">
        <f t="shared" si="42"/>
        <v>45.22561303720375</v>
      </c>
      <c r="AA46">
        <v>34.99432524361781</v>
      </c>
      <c r="AB46" s="16"/>
      <c r="AD46" s="17">
        <f t="shared" si="43"/>
        <v>0.12751920201459233</v>
      </c>
      <c r="AE46" s="17">
        <f t="shared" si="44"/>
        <v>0.14389783012054935</v>
      </c>
      <c r="AF46">
        <f t="shared" si="45"/>
        <v>12.751920201459232</v>
      </c>
      <c r="AJ46" s="17">
        <f t="shared" si="46"/>
        <v>0.006759073486238942</v>
      </c>
      <c r="AK46" s="17">
        <f t="shared" si="47"/>
        <v>0.031705060260467044</v>
      </c>
      <c r="AL46">
        <f t="shared" si="48"/>
        <v>0.6759073486238942</v>
      </c>
      <c r="AP46" s="17">
        <f t="shared" si="49"/>
        <v>0.0007627561766306856</v>
      </c>
      <c r="AQ46" s="17">
        <f t="shared" si="50"/>
        <v>0.006653764926678796</v>
      </c>
      <c r="AR46">
        <f t="shared" si="51"/>
        <v>0.07627561766306856</v>
      </c>
      <c r="AV46" s="17">
        <f t="shared" si="52"/>
        <v>0.00016944665393747727</v>
      </c>
      <c r="AW46" s="17">
        <f t="shared" si="53"/>
        <v>0.002014681788589545</v>
      </c>
      <c r="AX46">
        <f t="shared" si="54"/>
        <v>0.016944665393747727</v>
      </c>
      <c r="BB46" s="17">
        <f t="shared" si="55"/>
        <v>0.0009692761432975594</v>
      </c>
      <c r="BC46" s="17">
        <f t="shared" si="56"/>
        <v>0.008949200610607777</v>
      </c>
      <c r="BD46">
        <f t="shared" si="57"/>
        <v>0.09692761432975594</v>
      </c>
      <c r="BJ46" s="17">
        <f t="shared" si="58"/>
        <v>0.00027286076652666136</v>
      </c>
      <c r="BK46" s="17">
        <f t="shared" si="59"/>
        <v>0.003601865769825574</v>
      </c>
      <c r="BL46">
        <f t="shared" si="60"/>
        <v>0.027286076652666136</v>
      </c>
    </row>
    <row r="47" spans="2:64" ht="13.5" thickBot="1">
      <c r="B47" s="151" t="s">
        <v>6</v>
      </c>
      <c r="C47" s="164">
        <v>0.05</v>
      </c>
      <c r="D47" s="152" t="s">
        <v>159</v>
      </c>
      <c r="E47" s="167">
        <f>(C47/Sheet1!B22)*100</f>
        <v>0.006182166666666667</v>
      </c>
      <c r="F47" s="161" t="s">
        <v>209</v>
      </c>
      <c r="O47">
        <v>390.9596560026688</v>
      </c>
      <c r="R47">
        <v>388.68447240676824</v>
      </c>
      <c r="T47">
        <f t="shared" si="61"/>
        <v>7</v>
      </c>
      <c r="U47">
        <v>371.12804447814915</v>
      </c>
      <c r="V47">
        <f t="shared" si="38"/>
        <v>388.68447240676824</v>
      </c>
      <c r="W47">
        <f t="shared" si="39"/>
        <v>240.23205033218284</v>
      </c>
      <c r="X47" s="17">
        <f t="shared" si="40"/>
        <v>0.7417998644958104</v>
      </c>
      <c r="Y47" s="17">
        <f t="shared" si="41"/>
        <v>0.1697793180106385</v>
      </c>
      <c r="Z47">
        <f t="shared" si="42"/>
        <v>74.17998644958104</v>
      </c>
      <c r="AA47">
        <v>26.25774618931116</v>
      </c>
      <c r="AB47" s="16"/>
      <c r="AD47" s="17">
        <f t="shared" si="43"/>
        <v>0.2714170321351417</v>
      </c>
      <c r="AE47" s="17">
        <f t="shared" si="44"/>
        <v>0.1787731662369828</v>
      </c>
      <c r="AF47">
        <f t="shared" si="45"/>
        <v>27.14170321351417</v>
      </c>
      <c r="AJ47" s="17">
        <f t="shared" si="46"/>
        <v>0.038464133746705986</v>
      </c>
      <c r="AK47" s="17">
        <f t="shared" si="47"/>
        <v>0.0909716021050111</v>
      </c>
      <c r="AL47">
        <f t="shared" si="48"/>
        <v>3.8464133746705986</v>
      </c>
      <c r="AP47" s="17">
        <f t="shared" si="49"/>
        <v>0.007416521103309481</v>
      </c>
      <c r="AQ47" s="17">
        <f t="shared" si="50"/>
        <v>0.03118303582381654</v>
      </c>
      <c r="AR47">
        <f t="shared" si="51"/>
        <v>0.7416521103309481</v>
      </c>
      <c r="AV47" s="17">
        <f t="shared" si="52"/>
        <v>0.0021841284425270224</v>
      </c>
      <c r="AW47" s="17">
        <f t="shared" si="53"/>
        <v>0.012406808141280923</v>
      </c>
      <c r="AX47">
        <f t="shared" si="54"/>
        <v>0.21841284425270224</v>
      </c>
      <c r="BB47" s="17">
        <f t="shared" si="55"/>
        <v>0.009918476753905336</v>
      </c>
      <c r="BC47" s="17">
        <f t="shared" si="56"/>
        <v>0.04198632412494152</v>
      </c>
      <c r="BD47">
        <f t="shared" si="57"/>
        <v>0.9918476753905336</v>
      </c>
      <c r="BJ47" s="17">
        <f t="shared" si="58"/>
        <v>0.0038747265363522354</v>
      </c>
      <c r="BK47" s="17">
        <f t="shared" si="59"/>
        <v>0.02245078257535027</v>
      </c>
      <c r="BL47">
        <f t="shared" si="60"/>
        <v>0.38747265363522354</v>
      </c>
    </row>
    <row r="48" spans="2:64" ht="13.5" thickBot="1">
      <c r="B48" s="151" t="s">
        <v>160</v>
      </c>
      <c r="C48" s="164">
        <v>0.1</v>
      </c>
      <c r="D48" s="160" t="s">
        <v>161</v>
      </c>
      <c r="E48" s="166">
        <f>(Sheet1!B22)*C48/100</f>
        <v>0.8087779365378913</v>
      </c>
      <c r="F48" s="153" t="s">
        <v>156</v>
      </c>
      <c r="O48">
        <v>417.1338294310492</v>
      </c>
      <c r="R48">
        <v>412.8520749039406</v>
      </c>
      <c r="T48">
        <f t="shared" si="61"/>
        <v>8</v>
      </c>
      <c r="U48">
        <v>398.3424259707899</v>
      </c>
      <c r="V48">
        <f t="shared" si="38"/>
        <v>412.8520749039406</v>
      </c>
      <c r="W48">
        <f t="shared" si="39"/>
        <v>283.7337348270931</v>
      </c>
      <c r="X48" s="17">
        <f t="shared" si="40"/>
        <v>0.9115791825064489</v>
      </c>
      <c r="Y48" s="17">
        <f t="shared" si="41"/>
        <v>0.06391014611960077</v>
      </c>
      <c r="Z48">
        <f t="shared" si="42"/>
        <v>91.15791825064488</v>
      </c>
      <c r="AA48">
        <v>10.465069747158351</v>
      </c>
      <c r="AB48" s="16"/>
      <c r="AD48" s="17">
        <f t="shared" si="43"/>
        <v>0.4501901983721245</v>
      </c>
      <c r="AE48" s="17">
        <f t="shared" si="44"/>
        <v>0.16789529749459298</v>
      </c>
      <c r="AF48">
        <f t="shared" si="45"/>
        <v>45.01901983721245</v>
      </c>
      <c r="AJ48" s="17">
        <f t="shared" si="46"/>
        <v>0.12943573585171708</v>
      </c>
      <c r="AK48" s="17">
        <f t="shared" si="47"/>
        <v>0.15635657394692315</v>
      </c>
      <c r="AL48">
        <f t="shared" si="48"/>
        <v>12.943573585171709</v>
      </c>
      <c r="AP48" s="17">
        <f t="shared" si="49"/>
        <v>0.03859955692712602</v>
      </c>
      <c r="AQ48" s="17">
        <f t="shared" si="50"/>
        <v>0.08083283569081245</v>
      </c>
      <c r="AR48">
        <f t="shared" si="51"/>
        <v>3.859955692712602</v>
      </c>
      <c r="AV48" s="17">
        <f t="shared" si="52"/>
        <v>0.014590936583807945</v>
      </c>
      <c r="AW48" s="17">
        <f t="shared" si="53"/>
        <v>0.041137887850311805</v>
      </c>
      <c r="AX48">
        <f t="shared" si="54"/>
        <v>1.4590936583807945</v>
      </c>
      <c r="BB48" s="17">
        <f t="shared" si="55"/>
        <v>0.05190480087884686</v>
      </c>
      <c r="BC48" s="17">
        <f t="shared" si="56"/>
        <v>0.10486723408703713</v>
      </c>
      <c r="BD48">
        <f t="shared" si="57"/>
        <v>5.190480087884685</v>
      </c>
      <c r="BJ48" s="17">
        <f t="shared" si="58"/>
        <v>0.026325509111702505</v>
      </c>
      <c r="BK48" s="17">
        <f t="shared" si="59"/>
        <v>0.07059246888819426</v>
      </c>
      <c r="BL48">
        <f t="shared" si="60"/>
        <v>2.6325509111702505</v>
      </c>
    </row>
    <row r="49" spans="2:64" ht="13.5" thickBot="1">
      <c r="B49" s="151" t="s">
        <v>163</v>
      </c>
      <c r="C49" s="164">
        <v>46.4</v>
      </c>
      <c r="D49" s="152" t="s">
        <v>162</v>
      </c>
      <c r="E49" s="166">
        <f>(C49+40)*9/5-40</f>
        <v>115.52000000000001</v>
      </c>
      <c r="F49" s="153" t="s">
        <v>16</v>
      </c>
      <c r="O49">
        <v>441.4216016562145</v>
      </c>
      <c r="R49">
        <v>434.133942250287</v>
      </c>
      <c r="T49">
        <f t="shared" si="61"/>
        <v>9</v>
      </c>
      <c r="U49">
        <v>423.4521585008477</v>
      </c>
      <c r="V49">
        <f t="shared" si="38"/>
        <v>434.133942250287</v>
      </c>
      <c r="W49">
        <f t="shared" si="39"/>
        <v>322.0410960505166</v>
      </c>
      <c r="X49" s="17">
        <f t="shared" si="40"/>
        <v>0.9754893286260496</v>
      </c>
      <c r="Y49" s="17">
        <f t="shared" si="41"/>
        <v>0.018978225172189056</v>
      </c>
      <c r="Z49">
        <f t="shared" si="42"/>
        <v>97.54893286260497</v>
      </c>
      <c r="AA49">
        <v>2.535065224823174</v>
      </c>
      <c r="AB49" s="16"/>
      <c r="AD49" s="17">
        <f t="shared" si="43"/>
        <v>0.6180854958667175</v>
      </c>
      <c r="AE49" s="17">
        <f t="shared" si="44"/>
        <v>0.13828224935179545</v>
      </c>
      <c r="AF49">
        <f t="shared" si="45"/>
        <v>61.808549586671745</v>
      </c>
      <c r="AJ49" s="17">
        <f t="shared" si="46"/>
        <v>0.28579230979864023</v>
      </c>
      <c r="AK49" s="17">
        <f t="shared" si="47"/>
        <v>0.19667118450789178</v>
      </c>
      <c r="AL49">
        <f t="shared" si="48"/>
        <v>28.579230979864022</v>
      </c>
      <c r="AP49" s="17">
        <f t="shared" si="49"/>
        <v>0.11943239261793848</v>
      </c>
      <c r="AQ49" s="17">
        <f t="shared" si="50"/>
        <v>0.14426066988939434</v>
      </c>
      <c r="AR49">
        <f t="shared" si="51"/>
        <v>11.943239261793847</v>
      </c>
      <c r="AV49" s="17">
        <f t="shared" si="52"/>
        <v>0.05572882443411975</v>
      </c>
      <c r="AW49" s="17">
        <f t="shared" si="53"/>
        <v>0.09208701129388597</v>
      </c>
      <c r="AX49">
        <f t="shared" si="54"/>
        <v>5.5728824434119755</v>
      </c>
      <c r="BB49" s="17">
        <f t="shared" si="55"/>
        <v>0.156772034965884</v>
      </c>
      <c r="BC49" s="17">
        <f t="shared" si="56"/>
        <v>0.17513182790992232</v>
      </c>
      <c r="BD49">
        <f t="shared" si="57"/>
        <v>15.6772034965884</v>
      </c>
      <c r="BJ49" s="17">
        <f t="shared" si="58"/>
        <v>0.09691797799989676</v>
      </c>
      <c r="BK49" s="17">
        <f t="shared" si="59"/>
        <v>0.1425542541440563</v>
      </c>
      <c r="BL49">
        <f t="shared" si="60"/>
        <v>9.691797799989676</v>
      </c>
    </row>
    <row r="50" spans="2:64" ht="13.5" thickBot="1">
      <c r="B50" s="151" t="s">
        <v>163</v>
      </c>
      <c r="C50" s="164">
        <v>32</v>
      </c>
      <c r="D50" s="152" t="s">
        <v>164</v>
      </c>
      <c r="E50" s="166">
        <f>(C50+40)*5/9-40</f>
        <v>0</v>
      </c>
      <c r="F50" s="153" t="s">
        <v>165</v>
      </c>
      <c r="O50">
        <v>464.1374308964072</v>
      </c>
      <c r="R50">
        <v>453.8444098199781</v>
      </c>
      <c r="T50">
        <f t="shared" si="61"/>
        <v>10</v>
      </c>
      <c r="U50">
        <v>446.7561327153661</v>
      </c>
      <c r="V50">
        <f t="shared" si="38"/>
        <v>453.8444098199781</v>
      </c>
      <c r="W50">
        <f t="shared" si="39"/>
        <v>357.51993767596065</v>
      </c>
      <c r="X50" s="17">
        <f t="shared" si="40"/>
        <v>0.9944675537982387</v>
      </c>
      <c r="Y50" s="17">
        <f t="shared" si="41"/>
        <v>0.004476906437334338</v>
      </c>
      <c r="Z50">
        <f t="shared" si="42"/>
        <v>99.44675537982387</v>
      </c>
      <c r="AA50">
        <v>0.4152991331606737</v>
      </c>
      <c r="AB50" s="16"/>
      <c r="AD50" s="17">
        <f t="shared" si="43"/>
        <v>0.7563677452185129</v>
      </c>
      <c r="AE50" s="17">
        <f t="shared" si="44"/>
        <v>0.09956000672865839</v>
      </c>
      <c r="AF50">
        <f t="shared" si="45"/>
        <v>75.6367745218513</v>
      </c>
      <c r="AJ50" s="17">
        <f t="shared" si="46"/>
        <v>0.482463494306532</v>
      </c>
      <c r="AK50" s="17">
        <f t="shared" si="47"/>
        <v>0.18846261271736697</v>
      </c>
      <c r="AL50">
        <f t="shared" si="48"/>
        <v>48.246349430653204</v>
      </c>
      <c r="AP50" s="17">
        <f t="shared" si="49"/>
        <v>0.2636930625073328</v>
      </c>
      <c r="AQ50" s="17">
        <f t="shared" si="50"/>
        <v>0.18731836260885526</v>
      </c>
      <c r="AR50">
        <f t="shared" si="51"/>
        <v>26.36930625073328</v>
      </c>
      <c r="AV50" s="17">
        <f t="shared" si="52"/>
        <v>0.14781583572800572</v>
      </c>
      <c r="AW50" s="17">
        <f t="shared" si="53"/>
        <v>0.1478343723428548</v>
      </c>
      <c r="AX50">
        <f t="shared" si="54"/>
        <v>14.781583572800571</v>
      </c>
      <c r="BB50" s="17">
        <f t="shared" si="55"/>
        <v>0.3319038628758063</v>
      </c>
      <c r="BC50" s="17">
        <f t="shared" si="56"/>
        <v>0.20780756693057778</v>
      </c>
      <c r="BD50">
        <f t="shared" si="57"/>
        <v>33.19038628758063</v>
      </c>
      <c r="BJ50" s="17">
        <f t="shared" si="58"/>
        <v>0.23947223214395308</v>
      </c>
      <c r="BK50" s="17">
        <f t="shared" si="59"/>
        <v>0.19826899862353398</v>
      </c>
      <c r="BL50">
        <f t="shared" si="60"/>
        <v>23.947223214395308</v>
      </c>
    </row>
    <row r="51" spans="2:64" ht="13.5" thickBot="1">
      <c r="B51" s="162"/>
      <c r="C51" s="163"/>
      <c r="D51" s="163"/>
      <c r="E51" s="163"/>
      <c r="F51" s="158"/>
      <c r="O51">
        <v>485.51909262802315</v>
      </c>
      <c r="R51">
        <v>472.2211619069268</v>
      </c>
      <c r="T51">
        <f t="shared" si="61"/>
        <v>11</v>
      </c>
      <c r="U51">
        <v>468.5046098089457</v>
      </c>
      <c r="V51">
        <f t="shared" si="38"/>
        <v>472.2211619069268</v>
      </c>
      <c r="W51">
        <f t="shared" si="39"/>
        <v>390.5980914324682</v>
      </c>
      <c r="X51" s="17">
        <f t="shared" si="40"/>
        <v>0.998944460235573</v>
      </c>
      <c r="Y51" s="17">
        <f t="shared" si="41"/>
        <v>0.0008594072146632659</v>
      </c>
      <c r="Z51">
        <f t="shared" si="42"/>
        <v>99.89444602355731</v>
      </c>
      <c r="AA51">
        <v>0.049927921286507804</v>
      </c>
      <c r="AB51" s="16"/>
      <c r="AD51" s="17">
        <f t="shared" si="43"/>
        <v>0.8559277519471713</v>
      </c>
      <c r="AE51" s="17">
        <f t="shared" si="44"/>
        <v>0.06131388057153164</v>
      </c>
      <c r="AF51">
        <f t="shared" si="45"/>
        <v>85.59277519471713</v>
      </c>
      <c r="AJ51" s="17">
        <f t="shared" si="46"/>
        <v>0.670926107023899</v>
      </c>
      <c r="AK51" s="17">
        <f t="shared" si="47"/>
        <v>0.13747740096328487</v>
      </c>
      <c r="AL51">
        <f t="shared" si="48"/>
        <v>67.0926107023899</v>
      </c>
      <c r="AP51" s="17">
        <f t="shared" si="49"/>
        <v>0.4510114251161881</v>
      </c>
      <c r="AQ51" s="17">
        <f t="shared" si="50"/>
        <v>0.17688055085610777</v>
      </c>
      <c r="AR51">
        <f t="shared" si="51"/>
        <v>45.10114251161881</v>
      </c>
      <c r="AV51" s="17">
        <f t="shared" si="52"/>
        <v>0.2956502080708605</v>
      </c>
      <c r="AW51" s="17">
        <f t="shared" si="53"/>
        <v>0.16945869316495155</v>
      </c>
      <c r="AX51">
        <f t="shared" si="54"/>
        <v>29.56502080708605</v>
      </c>
      <c r="BB51" s="17">
        <f t="shared" si="55"/>
        <v>0.5397114298063841</v>
      </c>
      <c r="BC51" s="17">
        <f t="shared" si="56"/>
        <v>0.17648649313849907</v>
      </c>
      <c r="BD51">
        <f t="shared" si="57"/>
        <v>53.97114298063841</v>
      </c>
      <c r="BJ51" s="17">
        <f t="shared" si="58"/>
        <v>0.43774123076748706</v>
      </c>
      <c r="BK51" s="17">
        <f t="shared" si="59"/>
        <v>0.19160851609088303</v>
      </c>
      <c r="BL51">
        <f t="shared" si="60"/>
        <v>43.77412307674871</v>
      </c>
    </row>
    <row r="52" spans="15:64" ht="12.75">
      <c r="O52">
        <v>505.75129568867897</v>
      </c>
      <c r="R52">
        <v>488.44883771208083</v>
      </c>
      <c r="T52">
        <f t="shared" si="61"/>
        <v>12</v>
      </c>
      <c r="U52">
        <v>488.87658794399596</v>
      </c>
      <c r="V52">
        <f t="shared" si="38"/>
        <v>488.44883771208083</v>
      </c>
      <c r="W52">
        <f t="shared" si="39"/>
        <v>419.80790788174545</v>
      </c>
      <c r="X52" s="17">
        <f t="shared" si="40"/>
        <v>0.9998038674502363</v>
      </c>
      <c r="Y52" s="17">
        <f t="shared" si="41"/>
        <v>0.00016270422705200183</v>
      </c>
      <c r="Z52">
        <f t="shared" si="42"/>
        <v>99.98038674502364</v>
      </c>
      <c r="AA52">
        <v>0.004697727138214258</v>
      </c>
      <c r="AB52" s="16"/>
      <c r="AD52" s="17">
        <f t="shared" si="43"/>
        <v>0.9172416325187029</v>
      </c>
      <c r="AE52" s="17">
        <f t="shared" si="44"/>
        <v>0.037364777744971156</v>
      </c>
      <c r="AF52">
        <f t="shared" si="45"/>
        <v>91.7241632518703</v>
      </c>
      <c r="AJ52" s="17">
        <f t="shared" si="46"/>
        <v>0.8084035079871839</v>
      </c>
      <c r="AK52" s="17">
        <f t="shared" si="47"/>
        <v>0.09045055471377428</v>
      </c>
      <c r="AL52">
        <f t="shared" si="48"/>
        <v>80.84035079871839</v>
      </c>
      <c r="AP52" s="17">
        <f t="shared" si="49"/>
        <v>0.6278919759722958</v>
      </c>
      <c r="AQ52" s="17">
        <f t="shared" si="50"/>
        <v>0.14484721749019747</v>
      </c>
      <c r="AR52">
        <f t="shared" si="51"/>
        <v>62.78919759722959</v>
      </c>
      <c r="AV52" s="17">
        <f t="shared" si="52"/>
        <v>0.46510890123581206</v>
      </c>
      <c r="AW52" s="17">
        <f t="shared" si="53"/>
        <v>0.16572077009844777</v>
      </c>
      <c r="AX52">
        <f t="shared" si="54"/>
        <v>46.510890123581206</v>
      </c>
      <c r="BB52" s="17">
        <f t="shared" si="55"/>
        <v>0.7161979229448832</v>
      </c>
      <c r="BC52" s="17">
        <f t="shared" si="56"/>
        <v>0.1285849303146127</v>
      </c>
      <c r="BD52">
        <f t="shared" si="57"/>
        <v>71.61979229448832</v>
      </c>
      <c r="BJ52" s="17">
        <f t="shared" si="58"/>
        <v>0.6293497468583701</v>
      </c>
      <c r="BK52" s="17">
        <f t="shared" si="59"/>
        <v>0.15497700387728985</v>
      </c>
      <c r="BL52">
        <f t="shared" si="60"/>
        <v>62.934974685837005</v>
      </c>
    </row>
    <row r="53" spans="15:64" ht="12.75">
      <c r="O53">
        <v>524.9807472575812</v>
      </c>
      <c r="R53">
        <v>503.6740899705512</v>
      </c>
      <c r="T53">
        <f t="shared" si="61"/>
        <v>13</v>
      </c>
      <c r="U53">
        <v>508.0168631560571</v>
      </c>
      <c r="V53">
        <f t="shared" si="38"/>
        <v>503.6740899705512</v>
      </c>
      <c r="W53">
        <f t="shared" si="39"/>
        <v>447.21336194699217</v>
      </c>
      <c r="X53" s="17">
        <f t="shared" si="40"/>
        <v>0.9999665716772883</v>
      </c>
      <c r="Y53" s="17">
        <f t="shared" si="41"/>
        <v>2.877158737157881E-05</v>
      </c>
      <c r="Z53">
        <f t="shared" si="42"/>
        <v>99.99665716772883</v>
      </c>
      <c r="AA53">
        <v>0.0003647725309252614</v>
      </c>
      <c r="AB53" s="16"/>
      <c r="AD53" s="17">
        <f t="shared" si="43"/>
        <v>0.9546064102636741</v>
      </c>
      <c r="AE53" s="17">
        <f t="shared" si="44"/>
        <v>0.0225401813951549</v>
      </c>
      <c r="AF53">
        <f t="shared" si="45"/>
        <v>95.46064102636741</v>
      </c>
      <c r="AJ53" s="17">
        <f t="shared" si="46"/>
        <v>0.8988540627009581</v>
      </c>
      <c r="AK53" s="17">
        <f t="shared" si="47"/>
        <v>0.05477886642538454</v>
      </c>
      <c r="AL53">
        <f t="shared" si="48"/>
        <v>89.88540627009581</v>
      </c>
      <c r="AP53" s="17">
        <f t="shared" si="49"/>
        <v>0.7727391934624933</v>
      </c>
      <c r="AQ53" s="17">
        <f t="shared" si="50"/>
        <v>0.10681057078420697</v>
      </c>
      <c r="AR53">
        <f t="shared" si="51"/>
        <v>77.27391934624933</v>
      </c>
      <c r="AV53" s="17">
        <f t="shared" si="52"/>
        <v>0.6308296713342598</v>
      </c>
      <c r="AW53" s="17">
        <f t="shared" si="53"/>
        <v>0.14521216803560555</v>
      </c>
      <c r="AX53">
        <f t="shared" si="54"/>
        <v>63.08296713342598</v>
      </c>
      <c r="BB53" s="17">
        <f t="shared" si="55"/>
        <v>0.8447828532594959</v>
      </c>
      <c r="BC53" s="17">
        <f t="shared" si="56"/>
        <v>0.08312966610894057</v>
      </c>
      <c r="BD53">
        <f t="shared" si="57"/>
        <v>84.47828532594959</v>
      </c>
      <c r="BJ53" s="17">
        <f t="shared" si="58"/>
        <v>0.7843267507356599</v>
      </c>
      <c r="BK53" s="17">
        <f t="shared" si="59"/>
        <v>0.10949904907197916</v>
      </c>
      <c r="BL53">
        <f t="shared" si="60"/>
        <v>78.43267507356599</v>
      </c>
    </row>
    <row r="54" spans="15:64" ht="12.75">
      <c r="O54">
        <v>543.326158777338</v>
      </c>
      <c r="R54">
        <v>519.0155867138437</v>
      </c>
      <c r="T54">
        <f t="shared" si="61"/>
        <v>14</v>
      </c>
      <c r="U54">
        <v>526.0839779399373</v>
      </c>
      <c r="V54">
        <f t="shared" si="38"/>
        <v>519.0155867138437</v>
      </c>
      <c r="W54">
        <f t="shared" si="39"/>
        <v>474.82805608491867</v>
      </c>
      <c r="X54" s="17">
        <f t="shared" si="40"/>
        <v>0.9999953432646599</v>
      </c>
      <c r="Y54" s="17">
        <f t="shared" si="41"/>
        <v>4.137061107023499E-06</v>
      </c>
      <c r="Z54">
        <f t="shared" si="42"/>
        <v>99.99953432646599</v>
      </c>
      <c r="AA54">
        <v>2.4333166881440604E-05</v>
      </c>
      <c r="AB54" s="16"/>
      <c r="AD54" s="17">
        <f t="shared" si="43"/>
        <v>0.977146591658829</v>
      </c>
      <c r="AE54" s="17">
        <f t="shared" si="44"/>
        <v>0.012387065190822777</v>
      </c>
      <c r="AF54">
        <f t="shared" si="45"/>
        <v>97.7146591658829</v>
      </c>
      <c r="AJ54" s="17">
        <f t="shared" si="46"/>
        <v>0.9536329291263427</v>
      </c>
      <c r="AK54" s="17">
        <f t="shared" si="47"/>
        <v>0.028188347514622625</v>
      </c>
      <c r="AL54">
        <f t="shared" si="48"/>
        <v>95.36329291263426</v>
      </c>
      <c r="AP54" s="17">
        <f t="shared" si="49"/>
        <v>0.8795497642467003</v>
      </c>
      <c r="AQ54" s="17">
        <f t="shared" si="50"/>
        <v>0.06603823158015487</v>
      </c>
      <c r="AR54">
        <f t="shared" si="51"/>
        <v>87.95497642467002</v>
      </c>
      <c r="AV54" s="17">
        <f t="shared" si="52"/>
        <v>0.7760418393698654</v>
      </c>
      <c r="AW54" s="17">
        <f t="shared" si="53"/>
        <v>0.10686712631924422</v>
      </c>
      <c r="AX54">
        <f t="shared" si="54"/>
        <v>77.60418393698654</v>
      </c>
      <c r="BB54" s="17">
        <f t="shared" si="55"/>
        <v>0.9279125193684364</v>
      </c>
      <c r="BC54" s="17">
        <f t="shared" si="56"/>
        <v>0.04419714546410547</v>
      </c>
      <c r="BD54">
        <f t="shared" si="57"/>
        <v>92.79125193684365</v>
      </c>
      <c r="BJ54" s="17">
        <f t="shared" si="58"/>
        <v>0.8938257998076391</v>
      </c>
      <c r="BK54" s="17">
        <f t="shared" si="59"/>
        <v>0.06289087024072504</v>
      </c>
      <c r="BL54">
        <f t="shared" si="60"/>
        <v>89.38257998076391</v>
      </c>
    </row>
    <row r="55" spans="15:64" ht="12.75">
      <c r="O55">
        <v>560.88511899193</v>
      </c>
      <c r="R55">
        <v>534.5708814884727</v>
      </c>
      <c r="T55">
        <f t="shared" si="61"/>
        <v>15</v>
      </c>
      <c r="U55">
        <v>543.1694674882216</v>
      </c>
      <c r="V55">
        <f t="shared" si="38"/>
        <v>534.5708814884727</v>
      </c>
      <c r="W55">
        <f t="shared" si="39"/>
        <v>502.82758667925077</v>
      </c>
      <c r="X55" s="17">
        <f t="shared" si="40"/>
        <v>0.9999994803257669</v>
      </c>
      <c r="Y55" s="17">
        <f t="shared" si="41"/>
        <v>4.7423962501458305E-07</v>
      </c>
      <c r="Z55">
        <f t="shared" si="42"/>
        <v>99.9999480325767</v>
      </c>
      <c r="AA55">
        <v>1.4397354197726031E-06</v>
      </c>
      <c r="AB55" s="16"/>
      <c r="AD55" s="17">
        <f t="shared" si="43"/>
        <v>0.9895336568496518</v>
      </c>
      <c r="AE55" s="17">
        <f t="shared" si="44"/>
        <v>0.006149141551948567</v>
      </c>
      <c r="AF55">
        <f t="shared" si="45"/>
        <v>98.95336568496518</v>
      </c>
      <c r="AJ55" s="17">
        <f t="shared" si="46"/>
        <v>0.9818212766409653</v>
      </c>
      <c r="AK55" s="17">
        <f t="shared" si="47"/>
        <v>0.012184322248613655</v>
      </c>
      <c r="AL55">
        <f t="shared" si="48"/>
        <v>98.18212766409653</v>
      </c>
      <c r="AP55" s="17">
        <f t="shared" si="49"/>
        <v>0.9455879958268552</v>
      </c>
      <c r="AQ55" s="17">
        <f t="shared" si="50"/>
        <v>0.03385787854147926</v>
      </c>
      <c r="AR55">
        <f t="shared" si="51"/>
        <v>94.55879958268551</v>
      </c>
      <c r="AV55" s="17">
        <f t="shared" si="52"/>
        <v>0.8829089656891096</v>
      </c>
      <c r="AW55" s="17">
        <f t="shared" si="53"/>
        <v>0.06539101589737961</v>
      </c>
      <c r="AX55">
        <f t="shared" si="54"/>
        <v>88.29089656891097</v>
      </c>
      <c r="BB55" s="17">
        <f t="shared" si="55"/>
        <v>0.9721096648325419</v>
      </c>
      <c r="BC55" s="17">
        <f t="shared" si="56"/>
        <v>0.019083730028256585</v>
      </c>
      <c r="BD55">
        <f t="shared" si="57"/>
        <v>97.2109664832542</v>
      </c>
      <c r="BJ55" s="17">
        <f t="shared" si="58"/>
        <v>0.9567166700483641</v>
      </c>
      <c r="BK55" s="17">
        <f t="shared" si="59"/>
        <v>0.028996030984955734</v>
      </c>
      <c r="BL55">
        <f t="shared" si="60"/>
        <v>95.67166700483641</v>
      </c>
    </row>
    <row r="56" spans="15:64" ht="12.75">
      <c r="O56">
        <v>577.738951319272</v>
      </c>
      <c r="R56">
        <v>550.4212687606845</v>
      </c>
      <c r="T56">
        <f t="shared" si="61"/>
        <v>16</v>
      </c>
      <c r="U56">
        <v>559.3302926837473</v>
      </c>
      <c r="V56">
        <f t="shared" si="38"/>
        <v>550.4212687606845</v>
      </c>
      <c r="W56">
        <f t="shared" si="39"/>
        <v>531.3582837692321</v>
      </c>
      <c r="X56" s="17">
        <f t="shared" si="40"/>
        <v>0.9999999545653919</v>
      </c>
      <c r="Y56" s="17">
        <f t="shared" si="41"/>
        <v>4.239735351685425E-08</v>
      </c>
      <c r="Z56">
        <f t="shared" si="42"/>
        <v>99.9999954565392</v>
      </c>
      <c r="AA56">
        <v>7.834336512857476E-08</v>
      </c>
      <c r="AB56" s="16"/>
      <c r="AD56" s="17">
        <f t="shared" si="43"/>
        <v>0.9956827984016003</v>
      </c>
      <c r="AE56" s="17">
        <f t="shared" si="44"/>
        <v>0.002730749578385483</v>
      </c>
      <c r="AF56">
        <f t="shared" si="45"/>
        <v>99.56827984016003</v>
      </c>
      <c r="AJ56" s="17">
        <f t="shared" si="46"/>
        <v>0.994005598889579</v>
      </c>
      <c r="AK56" s="17">
        <f t="shared" si="47"/>
        <v>0.0043620932704275805</v>
      </c>
      <c r="AL56">
        <f t="shared" si="48"/>
        <v>99.4005598889579</v>
      </c>
      <c r="AP56" s="17">
        <f t="shared" si="49"/>
        <v>0.9794458743683344</v>
      </c>
      <c r="AQ56" s="17">
        <f t="shared" si="50"/>
        <v>0.014192773763763378</v>
      </c>
      <c r="AR56">
        <f t="shared" si="51"/>
        <v>97.94458743683344</v>
      </c>
      <c r="AV56" s="17">
        <f t="shared" si="52"/>
        <v>0.9482999815864892</v>
      </c>
      <c r="AW56" s="17">
        <f t="shared" si="53"/>
        <v>0.03282664980530958</v>
      </c>
      <c r="AX56">
        <f t="shared" si="54"/>
        <v>94.82999815864892</v>
      </c>
      <c r="BB56" s="17">
        <f t="shared" si="55"/>
        <v>0.9911933948607985</v>
      </c>
      <c r="BC56" s="17">
        <f t="shared" si="56"/>
        <v>0.006586876798144958</v>
      </c>
      <c r="BD56">
        <f t="shared" si="57"/>
        <v>99.11933948607985</v>
      </c>
      <c r="BJ56" s="17">
        <f t="shared" si="58"/>
        <v>0.9857127010333199</v>
      </c>
      <c r="BK56" s="17">
        <f t="shared" si="59"/>
        <v>0.010558870457839542</v>
      </c>
      <c r="BL56">
        <f t="shared" si="60"/>
        <v>98.57127010333198</v>
      </c>
    </row>
    <row r="57" spans="15:64" ht="12.75">
      <c r="O57">
        <v>593.9562315369054</v>
      </c>
      <c r="R57">
        <v>566.6353001936513</v>
      </c>
      <c r="T57">
        <f t="shared" si="61"/>
        <v>17</v>
      </c>
      <c r="U57">
        <v>575.5776905905389</v>
      </c>
      <c r="V57">
        <f t="shared" si="38"/>
        <v>566.6353001936513</v>
      </c>
      <c r="W57">
        <f t="shared" si="39"/>
        <v>560.5435403485724</v>
      </c>
      <c r="X57" s="17">
        <f t="shared" si="40"/>
        <v>0.9999999969627454</v>
      </c>
      <c r="Y57" s="17">
        <f t="shared" si="41"/>
        <v>2.8549883568373957E-09</v>
      </c>
      <c r="Z57">
        <f t="shared" si="42"/>
        <v>99.99999969627454</v>
      </c>
      <c r="AA57">
        <v>3.637046219751028E-09</v>
      </c>
      <c r="AB57" s="16"/>
      <c r="AD57" s="17">
        <f t="shared" si="43"/>
        <v>0.9984135479799858</v>
      </c>
      <c r="AE57" s="17">
        <f t="shared" si="44"/>
        <v>0.0010355932785750532</v>
      </c>
      <c r="AF57">
        <f t="shared" si="45"/>
        <v>99.84135479799858</v>
      </c>
      <c r="AJ57" s="17">
        <f t="shared" si="46"/>
        <v>0.9983676921600065</v>
      </c>
      <c r="AK57" s="17">
        <f t="shared" si="47"/>
        <v>0.00123623950958629</v>
      </c>
      <c r="AL57">
        <f t="shared" si="48"/>
        <v>99.83676921600065</v>
      </c>
      <c r="AP57" s="17">
        <f t="shared" si="49"/>
        <v>0.9936386481320978</v>
      </c>
      <c r="AQ57" s="17">
        <f t="shared" si="50"/>
        <v>0.004635892076036319</v>
      </c>
      <c r="AR57">
        <f t="shared" si="51"/>
        <v>99.36386481320977</v>
      </c>
      <c r="AV57" s="17">
        <f t="shared" si="52"/>
        <v>0.9811266313917988</v>
      </c>
      <c r="AW57" s="17">
        <f t="shared" si="53"/>
        <v>0.012846910060738681</v>
      </c>
      <c r="AX57">
        <f t="shared" si="54"/>
        <v>98.11266313917987</v>
      </c>
      <c r="BB57" s="17">
        <f t="shared" si="55"/>
        <v>0.9977802716589435</v>
      </c>
      <c r="BC57" s="17">
        <f t="shared" si="56"/>
        <v>0.0017359085887533876</v>
      </c>
      <c r="BD57">
        <f t="shared" si="57"/>
        <v>99.77802716589434</v>
      </c>
      <c r="BJ57" s="17">
        <f t="shared" si="58"/>
        <v>0.9962715714911594</v>
      </c>
      <c r="BK57" s="17">
        <f t="shared" si="59"/>
        <v>0.002897383288046229</v>
      </c>
      <c r="BL57">
        <f t="shared" si="60"/>
        <v>99.62715714911594</v>
      </c>
    </row>
    <row r="58" spans="15:64" ht="12.75">
      <c r="O58">
        <v>609.5953898013557</v>
      </c>
      <c r="R58">
        <v>582.2713856364284</v>
      </c>
      <c r="T58">
        <f t="shared" si="61"/>
        <v>18</v>
      </c>
      <c r="U58">
        <v>589.5155193888173</v>
      </c>
      <c r="V58">
        <f t="shared" si="38"/>
        <v>582.2713856364284</v>
      </c>
      <c r="W58">
        <f t="shared" si="39"/>
        <v>588.6884941455711</v>
      </c>
      <c r="X58" s="17">
        <f t="shared" si="40"/>
        <v>0.9999999998177338</v>
      </c>
      <c r="Y58" s="17">
        <f t="shared" si="41"/>
        <v>1.7233225957369314E-10</v>
      </c>
      <c r="Z58">
        <f t="shared" si="42"/>
        <v>99.99999998177339</v>
      </c>
      <c r="AA58">
        <v>1.683875261448975E-10</v>
      </c>
      <c r="AB58" s="16"/>
      <c r="AD58" s="17">
        <f t="shared" si="43"/>
        <v>0.9994491412585609</v>
      </c>
      <c r="AE58" s="17">
        <f t="shared" si="44"/>
        <v>0.0003691495232303055</v>
      </c>
      <c r="AF58">
        <f t="shared" si="45"/>
        <v>99.94491412585609</v>
      </c>
      <c r="AJ58" s="17">
        <f t="shared" si="46"/>
        <v>0.9996039316695928</v>
      </c>
      <c r="AK58" s="17">
        <f t="shared" si="47"/>
        <v>0.0003095412170970313</v>
      </c>
      <c r="AL58">
        <f t="shared" si="48"/>
        <v>99.96039316695928</v>
      </c>
      <c r="AP58" s="17">
        <f t="shared" si="49"/>
        <v>0.9982745402081341</v>
      </c>
      <c r="AQ58" s="17">
        <f t="shared" si="50"/>
        <v>0.001310751733876292</v>
      </c>
      <c r="AR58">
        <f t="shared" si="51"/>
        <v>99.8274540208134</v>
      </c>
      <c r="AV58" s="17">
        <f t="shared" si="52"/>
        <v>0.9939735414525375</v>
      </c>
      <c r="AW58" s="17">
        <f t="shared" si="53"/>
        <v>0.004325996949339883</v>
      </c>
      <c r="AX58">
        <f t="shared" si="54"/>
        <v>99.39735414525374</v>
      </c>
      <c r="BB58" s="17">
        <f t="shared" si="55"/>
        <v>0.9995161802476968</v>
      </c>
      <c r="BC58" s="17">
        <f t="shared" si="56"/>
        <v>0.0003914638828722561</v>
      </c>
      <c r="BD58">
        <f t="shared" si="57"/>
        <v>99.95161802476969</v>
      </c>
      <c r="BJ58" s="17">
        <f t="shared" si="58"/>
        <v>0.9991689547792056</v>
      </c>
      <c r="BK58" s="17">
        <f t="shared" si="59"/>
        <v>0.0006707076710709137</v>
      </c>
      <c r="BL58">
        <f t="shared" si="60"/>
        <v>99.91689547792056</v>
      </c>
    </row>
    <row r="59" spans="15:64" ht="12.75">
      <c r="O59">
        <v>624.7066713909581</v>
      </c>
      <c r="R59">
        <v>597.3797530984235</v>
      </c>
      <c r="T59">
        <f t="shared" si="61"/>
        <v>19</v>
      </c>
      <c r="U59">
        <v>590.3166666666666</v>
      </c>
      <c r="V59">
        <f t="shared" si="38"/>
        <v>597.3797530984235</v>
      </c>
      <c r="W59">
        <f t="shared" si="39"/>
        <v>615.8835555771623</v>
      </c>
      <c r="X59" s="17">
        <f t="shared" si="40"/>
        <v>0.9999999999900661</v>
      </c>
      <c r="Y59" s="17">
        <f t="shared" si="41"/>
        <v>9.437228776221218E-12</v>
      </c>
      <c r="Z59">
        <f t="shared" si="42"/>
        <v>99.9999999990066</v>
      </c>
      <c r="AA59">
        <v>9.836575998178887E-12</v>
      </c>
      <c r="AB59" s="16"/>
      <c r="AD59" s="17">
        <f t="shared" si="43"/>
        <v>0.9998182907817912</v>
      </c>
      <c r="AE59" s="17">
        <f t="shared" si="44"/>
        <v>0.00012449512809420415</v>
      </c>
      <c r="AF59">
        <f t="shared" si="45"/>
        <v>99.98182907817912</v>
      </c>
      <c r="AJ59" s="17">
        <f t="shared" si="46"/>
        <v>0.9999134728866899</v>
      </c>
      <c r="AK59" s="17">
        <f t="shared" si="47"/>
        <v>6.934801994973316E-05</v>
      </c>
      <c r="AL59">
        <f t="shared" si="48"/>
        <v>99.99134728866899</v>
      </c>
      <c r="AP59" s="17">
        <f t="shared" si="49"/>
        <v>0.9995852919420104</v>
      </c>
      <c r="AQ59" s="17">
        <f t="shared" si="50"/>
        <v>0.0003254850189092773</v>
      </c>
      <c r="AR59">
        <f t="shared" si="51"/>
        <v>99.95852919420103</v>
      </c>
      <c r="AV59" s="17">
        <f t="shared" si="52"/>
        <v>0.9982995384018774</v>
      </c>
      <c r="AW59" s="17">
        <f t="shared" si="53"/>
        <v>0.0012723037293690398</v>
      </c>
      <c r="AX59">
        <f t="shared" si="54"/>
        <v>99.82995384018774</v>
      </c>
      <c r="BB59" s="17">
        <f t="shared" si="55"/>
        <v>0.9999076441305691</v>
      </c>
      <c r="BC59" s="17">
        <f t="shared" si="56"/>
        <v>7.673681632547336E-05</v>
      </c>
      <c r="BD59">
        <f t="shared" si="57"/>
        <v>99.99076441305691</v>
      </c>
      <c r="BJ59" s="17">
        <f t="shared" si="58"/>
        <v>0.9998396624502766</v>
      </c>
      <c r="BK59" s="17">
        <f t="shared" si="59"/>
        <v>0.00013322984094832346</v>
      </c>
      <c r="BL59">
        <f t="shared" si="60"/>
        <v>99.98396624502766</v>
      </c>
    </row>
    <row r="60" spans="15:63" ht="12.75">
      <c r="O60">
        <v>639.3336386278919</v>
      </c>
      <c r="R60">
        <v>612.0039500887154</v>
      </c>
      <c r="T60">
        <v>20</v>
      </c>
      <c r="V60">
        <f t="shared" si="38"/>
        <v>612.0039500887154</v>
      </c>
      <c r="W60">
        <f t="shared" si="39"/>
        <v>642.2071101596878</v>
      </c>
      <c r="X60" s="17">
        <f t="shared" si="40"/>
        <v>0.9999999999995033</v>
      </c>
      <c r="Y60" s="17"/>
      <c r="AB60" s="16"/>
      <c r="AD60" s="17">
        <f t="shared" si="43"/>
        <v>0.9999427859098854</v>
      </c>
      <c r="AE60" s="17"/>
      <c r="AJ60" s="17">
        <f t="shared" si="46"/>
        <v>0.9999828209066396</v>
      </c>
      <c r="AK60" s="17"/>
      <c r="AP60" s="17">
        <f t="shared" si="49"/>
        <v>0.9999107769609197</v>
      </c>
      <c r="AQ60" s="17"/>
      <c r="AV60" s="17">
        <f t="shared" si="52"/>
        <v>0.9995718421312464</v>
      </c>
      <c r="AW60" s="17"/>
      <c r="BB60" s="17">
        <f t="shared" si="55"/>
        <v>0.9999843809468946</v>
      </c>
      <c r="BC60" s="17"/>
      <c r="BJ60" s="17">
        <f t="shared" si="58"/>
        <v>0.9999728922912249</v>
      </c>
      <c r="BK60" s="17"/>
    </row>
    <row r="62" ht="12.75">
      <c r="S62" s="79"/>
    </row>
    <row r="66" spans="23:33" ht="12.75">
      <c r="W66" t="s">
        <v>215</v>
      </c>
      <c r="AB66" t="s">
        <v>216</v>
      </c>
      <c r="AF66" t="s">
        <v>217</v>
      </c>
      <c r="AG66" t="s">
        <v>50</v>
      </c>
    </row>
    <row r="67" spans="10:32" ht="12.75">
      <c r="J67" s="72"/>
      <c r="AB67" t="s">
        <v>213</v>
      </c>
      <c r="AE67" t="s">
        <v>214</v>
      </c>
      <c r="AF67" t="s">
        <v>213</v>
      </c>
    </row>
    <row r="68" spans="10:33" ht="12.75">
      <c r="J68" s="72"/>
      <c r="W68">
        <v>1</v>
      </c>
      <c r="X68">
        <v>415</v>
      </c>
      <c r="Y68">
        <v>60</v>
      </c>
      <c r="AA68">
        <v>415</v>
      </c>
      <c r="AB68">
        <v>131.5</v>
      </c>
      <c r="AD68">
        <v>1</v>
      </c>
      <c r="AE68">
        <v>135.5</v>
      </c>
      <c r="AF68">
        <v>135.8</v>
      </c>
      <c r="AG68">
        <f aca="true" t="shared" si="62" ref="AG68:AG78">AF68-AE68</f>
        <v>0.30000000000001137</v>
      </c>
    </row>
    <row r="69" spans="10:33" ht="12.75">
      <c r="J69" s="72"/>
      <c r="W69">
        <v>2</v>
      </c>
      <c r="X69" s="72">
        <v>380</v>
      </c>
      <c r="Y69" s="80">
        <v>64</v>
      </c>
      <c r="AA69" s="72">
        <v>380</v>
      </c>
      <c r="AB69">
        <v>101</v>
      </c>
      <c r="AD69">
        <v>2</v>
      </c>
      <c r="AE69">
        <v>110.3</v>
      </c>
      <c r="AF69">
        <v>110</v>
      </c>
      <c r="AG69">
        <f t="shared" si="62"/>
        <v>-0.29999999999999716</v>
      </c>
    </row>
    <row r="70" spans="10:33" ht="12.75">
      <c r="J70" s="72"/>
      <c r="W70">
        <v>3</v>
      </c>
      <c r="X70" s="72">
        <v>361</v>
      </c>
      <c r="Y70" s="80">
        <v>62.5</v>
      </c>
      <c r="AA70" s="72">
        <v>361</v>
      </c>
      <c r="AB70">
        <v>90.7</v>
      </c>
      <c r="AD70">
        <v>3</v>
      </c>
      <c r="AE70">
        <v>84.2</v>
      </c>
      <c r="AF70">
        <v>94</v>
      </c>
      <c r="AG70">
        <f>AF70-AE70</f>
        <v>9.799999999999997</v>
      </c>
    </row>
    <row r="71" spans="10:33" ht="12.75">
      <c r="J71" s="72"/>
      <c r="W71">
        <v>4</v>
      </c>
      <c r="X71" s="72">
        <v>412</v>
      </c>
      <c r="Y71" s="81">
        <v>64</v>
      </c>
      <c r="AA71" s="72">
        <v>412</v>
      </c>
      <c r="AB71">
        <v>124.7</v>
      </c>
      <c r="AD71">
        <v>4</v>
      </c>
      <c r="AE71">
        <v>129.4</v>
      </c>
      <c r="AF71">
        <v>133</v>
      </c>
      <c r="AG71">
        <f t="shared" si="62"/>
        <v>3.5999999999999943</v>
      </c>
    </row>
    <row r="72" spans="10:33" ht="12.75">
      <c r="J72" s="72"/>
      <c r="W72">
        <v>5</v>
      </c>
      <c r="X72" s="72">
        <v>368</v>
      </c>
      <c r="Y72" s="81">
        <v>64</v>
      </c>
      <c r="AA72" s="72">
        <v>368</v>
      </c>
      <c r="AB72">
        <v>92</v>
      </c>
      <c r="AD72">
        <v>5</v>
      </c>
      <c r="AE72">
        <v>99.5</v>
      </c>
      <c r="AF72">
        <v>101</v>
      </c>
      <c r="AG72">
        <f t="shared" si="62"/>
        <v>1.5</v>
      </c>
    </row>
    <row r="73" spans="10:33" ht="12.75">
      <c r="J73" s="72"/>
      <c r="W73">
        <v>6</v>
      </c>
      <c r="X73" s="72">
        <v>405</v>
      </c>
      <c r="Y73" s="81">
        <v>61</v>
      </c>
      <c r="AA73" s="72">
        <v>405</v>
      </c>
      <c r="AB73">
        <v>123</v>
      </c>
      <c r="AD73">
        <v>6</v>
      </c>
      <c r="AE73">
        <v>124.9</v>
      </c>
      <c r="AF73">
        <v>127.5</v>
      </c>
      <c r="AG73">
        <f t="shared" si="62"/>
        <v>2.5999999999999943</v>
      </c>
    </row>
    <row r="74" spans="10:33" ht="12.75">
      <c r="J74" s="72"/>
      <c r="W74">
        <v>7</v>
      </c>
      <c r="X74" s="72">
        <v>398</v>
      </c>
      <c r="Y74" s="81">
        <v>67</v>
      </c>
      <c r="AA74" s="72">
        <v>398</v>
      </c>
      <c r="AB74">
        <v>110.7</v>
      </c>
      <c r="AD74">
        <v>7</v>
      </c>
      <c r="AE74">
        <v>120.4</v>
      </c>
      <c r="AF74">
        <v>119.5</v>
      </c>
      <c r="AG74">
        <f t="shared" si="62"/>
        <v>-0.9000000000000057</v>
      </c>
    </row>
    <row r="75" spans="10:33" ht="12.75">
      <c r="J75" s="72"/>
      <c r="W75">
        <v>8</v>
      </c>
      <c r="X75" s="72">
        <v>406</v>
      </c>
      <c r="Y75" s="81">
        <v>51</v>
      </c>
      <c r="AA75" s="72">
        <v>406</v>
      </c>
      <c r="AB75">
        <v>133.7</v>
      </c>
      <c r="AD75">
        <v>8</v>
      </c>
      <c r="AE75">
        <v>139.3</v>
      </c>
      <c r="AF75">
        <v>137.9</v>
      </c>
      <c r="AG75">
        <f t="shared" si="62"/>
        <v>-1.4000000000000057</v>
      </c>
    </row>
    <row r="76" spans="10:33" ht="12.75">
      <c r="J76" s="72"/>
      <c r="W76">
        <v>9</v>
      </c>
      <c r="X76" s="72">
        <v>418</v>
      </c>
      <c r="Y76" s="81">
        <v>88</v>
      </c>
      <c r="AA76" s="72">
        <v>418</v>
      </c>
      <c r="AB76">
        <v>93.5</v>
      </c>
      <c r="AD76">
        <v>9</v>
      </c>
      <c r="AE76">
        <v>106</v>
      </c>
      <c r="AF76">
        <v>102.2</v>
      </c>
      <c r="AG76">
        <f t="shared" si="62"/>
        <v>-3.799999999999997</v>
      </c>
    </row>
    <row r="77" spans="10:33" ht="12.75">
      <c r="J77" s="72"/>
      <c r="W77">
        <v>10</v>
      </c>
      <c r="X77" s="72">
        <v>385</v>
      </c>
      <c r="Y77" s="81">
        <v>57</v>
      </c>
      <c r="AA77" s="72">
        <v>385</v>
      </c>
      <c r="AB77">
        <v>112.5</v>
      </c>
      <c r="AD77">
        <v>10</v>
      </c>
      <c r="AE77">
        <v>115.7</v>
      </c>
      <c r="AF77">
        <v>117.1</v>
      </c>
      <c r="AG77">
        <f t="shared" si="62"/>
        <v>1.3999999999999915</v>
      </c>
    </row>
    <row r="78" spans="10:33" ht="12.75">
      <c r="J78" s="72"/>
      <c r="W78">
        <v>11</v>
      </c>
      <c r="X78" s="72">
        <v>422</v>
      </c>
      <c r="Y78" s="81">
        <v>70</v>
      </c>
      <c r="AA78" s="72">
        <v>422</v>
      </c>
      <c r="AB78">
        <v>125</v>
      </c>
      <c r="AD78">
        <v>11</v>
      </c>
      <c r="AE78">
        <v>125.6</v>
      </c>
      <c r="AF78">
        <v>129.7</v>
      </c>
      <c r="AG78">
        <f t="shared" si="62"/>
        <v>4.099999999999994</v>
      </c>
    </row>
    <row r="79" ht="12.75">
      <c r="J79" s="72"/>
    </row>
    <row r="80" ht="12.75">
      <c r="J80" s="72"/>
    </row>
    <row r="81" ht="12.75">
      <c r="J81" s="72"/>
    </row>
    <row r="82" ht="12.75">
      <c r="J82" s="72"/>
    </row>
    <row r="83" ht="12.75">
      <c r="J83" s="72"/>
    </row>
    <row r="84" ht="12.75">
      <c r="J84" s="72"/>
    </row>
    <row r="85" ht="12.75">
      <c r="J85" s="72"/>
    </row>
    <row r="86" ht="12.75">
      <c r="J86" s="72"/>
    </row>
  </sheetData>
  <mergeCells count="1">
    <mergeCell ref="K25:L26"/>
  </mergeCells>
  <printOptions/>
  <pageMargins left="0.75" right="0.75" top="1" bottom="1" header="0.5" footer="0.5"/>
  <pageSetup horizontalDpi="600" verticalDpi="600" orientation="portrait" r:id="rId4"/>
  <headerFooter alignWithMargins="0">
    <oddFooter>&amp;C&amp;F</oddFooter>
  </headerFooter>
  <drawing r:id="rId3"/>
  <legacyDrawing r:id="rId2"/>
</worksheet>
</file>

<file path=xl/worksheets/sheet3.xml><?xml version="1.0" encoding="utf-8"?>
<worksheet xmlns="http://schemas.openxmlformats.org/spreadsheetml/2006/main" xmlns:r="http://schemas.openxmlformats.org/officeDocument/2006/relationships">
  <sheetPr codeName="Sheet1"/>
  <dimension ref="A1:AK1035"/>
  <sheetViews>
    <sheetView workbookViewId="0" topLeftCell="H1">
      <selection activeCell="B4" sqref="B4"/>
    </sheetView>
  </sheetViews>
  <sheetFormatPr defaultColWidth="9.140625" defaultRowHeight="12.75"/>
  <cols>
    <col min="1" max="1" width="19.28125" style="0" customWidth="1"/>
    <col min="2" max="2" width="13.00390625" style="0" customWidth="1"/>
    <col min="3" max="3" width="12.00390625" style="0" customWidth="1"/>
    <col min="4" max="4" width="12.28125" style="0" customWidth="1"/>
    <col min="5" max="5" width="9.421875" style="0" customWidth="1"/>
    <col min="6" max="6" width="11.28125" style="0" bestFit="1" customWidth="1"/>
    <col min="8" max="8" width="12.421875" style="0" bestFit="1" customWidth="1"/>
    <col min="9" max="9" width="7.57421875" style="0" customWidth="1"/>
    <col min="15" max="15" width="7.57421875" style="0" customWidth="1"/>
    <col min="20" max="20" width="7.8515625" style="0" customWidth="1"/>
    <col min="21" max="21" width="12.00390625" style="0" bestFit="1" customWidth="1"/>
    <col min="25" max="25" width="9.00390625" style="0" customWidth="1"/>
    <col min="37" max="37" width="12.421875" style="0" bestFit="1" customWidth="1"/>
  </cols>
  <sheetData>
    <row r="1" spans="1:26" ht="12.75">
      <c r="A1">
        <v>1</v>
      </c>
      <c r="B1">
        <f>A1+1</f>
        <v>2</v>
      </c>
      <c r="C1">
        <f aca="true" t="shared" si="0" ref="C1:Z1">B1+1</f>
        <v>3</v>
      </c>
      <c r="D1">
        <f t="shared" si="0"/>
        <v>4</v>
      </c>
      <c r="E1">
        <f t="shared" si="0"/>
        <v>5</v>
      </c>
      <c r="F1">
        <f t="shared" si="0"/>
        <v>6</v>
      </c>
      <c r="G1">
        <f t="shared" si="0"/>
        <v>7</v>
      </c>
      <c r="H1">
        <f t="shared" si="0"/>
        <v>8</v>
      </c>
      <c r="I1">
        <f t="shared" si="0"/>
        <v>9</v>
      </c>
      <c r="J1">
        <f t="shared" si="0"/>
        <v>10</v>
      </c>
      <c r="K1">
        <f t="shared" si="0"/>
        <v>11</v>
      </c>
      <c r="L1">
        <f t="shared" si="0"/>
        <v>12</v>
      </c>
      <c r="M1">
        <f t="shared" si="0"/>
        <v>13</v>
      </c>
      <c r="N1">
        <f t="shared" si="0"/>
        <v>14</v>
      </c>
      <c r="O1">
        <f t="shared" si="0"/>
        <v>15</v>
      </c>
      <c r="P1">
        <f t="shared" si="0"/>
        <v>16</v>
      </c>
      <c r="Q1">
        <f t="shared" si="0"/>
        <v>17</v>
      </c>
      <c r="R1">
        <f t="shared" si="0"/>
        <v>18</v>
      </c>
      <c r="S1">
        <f t="shared" si="0"/>
        <v>19</v>
      </c>
      <c r="T1">
        <f t="shared" si="0"/>
        <v>20</v>
      </c>
      <c r="U1">
        <f t="shared" si="0"/>
        <v>21</v>
      </c>
      <c r="V1">
        <f t="shared" si="0"/>
        <v>22</v>
      </c>
      <c r="W1">
        <f t="shared" si="0"/>
        <v>23</v>
      </c>
      <c r="X1">
        <f t="shared" si="0"/>
        <v>24</v>
      </c>
      <c r="Y1">
        <f t="shared" si="0"/>
        <v>25</v>
      </c>
      <c r="Z1">
        <f t="shared" si="0"/>
        <v>26</v>
      </c>
    </row>
    <row r="2" spans="1:3" ht="12.75">
      <c r="A2" s="6" t="s">
        <v>10</v>
      </c>
      <c r="B2" s="7">
        <f>'Input form'!C19</f>
        <v>115</v>
      </c>
      <c r="C2" t="s">
        <v>16</v>
      </c>
    </row>
    <row r="3" spans="1:19" ht="12.75">
      <c r="A3" s="6" t="s">
        <v>13</v>
      </c>
      <c r="B3" s="7">
        <f>'Input form'!C22</f>
        <v>14.7</v>
      </c>
      <c r="C3" t="s">
        <v>4</v>
      </c>
      <c r="G3" s="3"/>
      <c r="N3" t="s">
        <v>60</v>
      </c>
      <c r="P3" t="s">
        <v>114</v>
      </c>
      <c r="S3" t="s">
        <v>59</v>
      </c>
    </row>
    <row r="4" spans="1:20" ht="12.75">
      <c r="A4" s="6" t="s">
        <v>52</v>
      </c>
      <c r="B4" s="7">
        <f>'Input form'!C21/100*808.75</f>
        <v>485.25</v>
      </c>
      <c r="C4" t="s">
        <v>53</v>
      </c>
      <c r="G4" s="3"/>
      <c r="J4" t="s">
        <v>43</v>
      </c>
      <c r="K4">
        <f>SUM(K12:K30)</f>
        <v>3137.210507658454</v>
      </c>
      <c r="N4" t="s">
        <v>61</v>
      </c>
      <c r="O4">
        <f>K4*(1-P4/100)</f>
        <v>3134.0732971040475</v>
      </c>
      <c r="P4">
        <v>0.10000000149011612</v>
      </c>
      <c r="S4" t="s">
        <v>58</v>
      </c>
      <c r="T4">
        <f>SUM(T12:T30)</f>
        <v>3137.0455948942076</v>
      </c>
    </row>
    <row r="5" spans="1:15" ht="12.75">
      <c r="A5" s="10" t="s">
        <v>41</v>
      </c>
      <c r="B5" s="10">
        <f>B35</f>
        <v>0.043906898497618745</v>
      </c>
      <c r="F5">
        <v>0.03</v>
      </c>
      <c r="H5" s="2" t="s">
        <v>45</v>
      </c>
      <c r="L5" t="s">
        <v>45</v>
      </c>
      <c r="O5" t="s">
        <v>46</v>
      </c>
    </row>
    <row r="6" spans="1:37" ht="12.75">
      <c r="A6" s="9" t="s">
        <v>6</v>
      </c>
      <c r="B6" s="9">
        <f>B4/B11</f>
        <v>485.25</v>
      </c>
      <c r="C6" s="4" t="s">
        <v>5</v>
      </c>
      <c r="D6" s="4"/>
      <c r="E6" s="4" t="s">
        <v>71</v>
      </c>
      <c r="G6" t="s">
        <v>12</v>
      </c>
      <c r="H6" t="s">
        <v>19</v>
      </c>
      <c r="I6" t="s">
        <v>9</v>
      </c>
      <c r="J6" t="b">
        <v>1</v>
      </c>
      <c r="K6" t="s">
        <v>24</v>
      </c>
      <c r="L6" t="s">
        <v>44</v>
      </c>
      <c r="N6" t="s">
        <v>47</v>
      </c>
      <c r="O6" t="s">
        <v>24</v>
      </c>
      <c r="P6" t="s">
        <v>26</v>
      </c>
      <c r="Q6" t="s">
        <v>28</v>
      </c>
      <c r="S6" t="s">
        <v>54</v>
      </c>
      <c r="T6" t="s">
        <v>46</v>
      </c>
      <c r="AK6" t="s">
        <v>109</v>
      </c>
    </row>
    <row r="7" spans="1:20" ht="12.75">
      <c r="A7" s="4" t="s">
        <v>36</v>
      </c>
      <c r="B7" s="4">
        <f>0.082*14.7/1000</f>
        <v>0.0012054000000000001</v>
      </c>
      <c r="C7" s="4" t="s">
        <v>37</v>
      </c>
      <c r="D7" s="4"/>
      <c r="E7" s="4"/>
      <c r="H7" t="s">
        <v>20</v>
      </c>
      <c r="J7" t="s">
        <v>8</v>
      </c>
      <c r="K7" s="1" t="s">
        <v>42</v>
      </c>
      <c r="L7" t="s">
        <v>25</v>
      </c>
      <c r="N7" t="s">
        <v>48</v>
      </c>
      <c r="O7" t="s">
        <v>25</v>
      </c>
      <c r="P7" t="s">
        <v>22</v>
      </c>
      <c r="Q7" t="s">
        <v>29</v>
      </c>
      <c r="S7" t="s">
        <v>55</v>
      </c>
      <c r="T7" t="s">
        <v>57</v>
      </c>
    </row>
    <row r="8" spans="1:27" ht="12.75">
      <c r="A8" s="4"/>
      <c r="B8" s="4"/>
      <c r="C8" s="4"/>
      <c r="D8" s="4"/>
      <c r="E8" s="4"/>
      <c r="F8" t="s">
        <v>143</v>
      </c>
      <c r="H8" t="s">
        <v>11</v>
      </c>
      <c r="J8" t="s">
        <v>22</v>
      </c>
      <c r="N8" t="s">
        <v>49</v>
      </c>
      <c r="S8" t="s">
        <v>56</v>
      </c>
      <c r="W8" t="s">
        <v>66</v>
      </c>
      <c r="Y8" t="s">
        <v>144</v>
      </c>
      <c r="AA8" t="s">
        <v>81</v>
      </c>
    </row>
    <row r="9" spans="1:37" ht="12.75">
      <c r="A9" s="5" t="s">
        <v>10</v>
      </c>
      <c r="B9" s="5">
        <f>B2</f>
        <v>115</v>
      </c>
      <c r="C9" s="5" t="s">
        <v>16</v>
      </c>
      <c r="D9" s="5"/>
      <c r="E9" s="4"/>
      <c r="F9" t="s">
        <v>142</v>
      </c>
      <c r="J9" t="s">
        <v>4</v>
      </c>
      <c r="N9" t="s">
        <v>11</v>
      </c>
      <c r="O9">
        <f>SUM(O12:O30)</f>
        <v>1.0009483811462516</v>
      </c>
      <c r="P9" t="s">
        <v>4</v>
      </c>
      <c r="Q9" t="s">
        <v>11</v>
      </c>
      <c r="S9" t="s">
        <v>11</v>
      </c>
      <c r="U9" t="s">
        <v>65</v>
      </c>
      <c r="W9" t="s">
        <v>70</v>
      </c>
      <c r="X9">
        <f>SUM(W12:W30)</f>
        <v>0.16491276424602888</v>
      </c>
      <c r="Y9" t="s">
        <v>145</v>
      </c>
      <c r="AA9" t="s">
        <v>82</v>
      </c>
      <c r="AG9">
        <f>B9</f>
        <v>115</v>
      </c>
      <c r="AH9" t="s">
        <v>76</v>
      </c>
      <c r="AK9">
        <f>SUM(AK12:AK30)</f>
        <v>3018.1330160948473</v>
      </c>
    </row>
    <row r="10" spans="1:34" ht="12.75">
      <c r="A10" s="5" t="s">
        <v>13</v>
      </c>
      <c r="B10" s="5">
        <f>B3</f>
        <v>14.7</v>
      </c>
      <c r="C10" s="5" t="s">
        <v>7</v>
      </c>
      <c r="D10" s="5"/>
      <c r="E10" s="4">
        <v>0.03</v>
      </c>
      <c r="F10">
        <v>0.025</v>
      </c>
      <c r="H10">
        <f>SUM(H12:H30)</f>
        <v>485205.18431435875</v>
      </c>
      <c r="M10" t="s">
        <v>2</v>
      </c>
      <c r="N10">
        <f>SUM(N12:N30)</f>
        <v>19.222382378903202</v>
      </c>
      <c r="P10" t="s">
        <v>85</v>
      </c>
      <c r="S10">
        <f>SUM(S12:S30)</f>
        <v>485185.9621406189</v>
      </c>
      <c r="W10" t="s">
        <v>67</v>
      </c>
      <c r="X10" t="s">
        <v>44</v>
      </c>
      <c r="Z10" t="s">
        <v>122</v>
      </c>
      <c r="AG10">
        <f>((AG9+40)*5/9-40)+273.15</f>
        <v>319.26111111111106</v>
      </c>
      <c r="AH10" t="s">
        <v>77</v>
      </c>
    </row>
    <row r="11" spans="1:35" ht="12.75">
      <c r="A11" s="5" t="s">
        <v>14</v>
      </c>
      <c r="B11" s="5">
        <v>1</v>
      </c>
      <c r="C11" s="5" t="s">
        <v>3</v>
      </c>
      <c r="D11" s="5"/>
      <c r="E11" s="4"/>
      <c r="M11" t="s">
        <v>51</v>
      </c>
      <c r="P11">
        <f>SUM(P12:P30)</f>
        <v>0.15865325496372243</v>
      </c>
      <c r="Q11">
        <f>SUM(Q12:Q30)</f>
        <v>19.222173739752012</v>
      </c>
      <c r="R11" t="s">
        <v>50</v>
      </c>
      <c r="V11" t="s">
        <v>68</v>
      </c>
      <c r="W11" t="s">
        <v>59</v>
      </c>
      <c r="X11" t="s">
        <v>69</v>
      </c>
      <c r="AA11" t="s">
        <v>71</v>
      </c>
      <c r="AB11" t="s">
        <v>72</v>
      </c>
      <c r="AC11" t="s">
        <v>73</v>
      </c>
      <c r="AD11" t="s">
        <v>74</v>
      </c>
      <c r="AE11" t="s">
        <v>75</v>
      </c>
      <c r="AG11" t="s">
        <v>78</v>
      </c>
      <c r="AH11" t="s">
        <v>79</v>
      </c>
      <c r="AI11" t="s">
        <v>80</v>
      </c>
    </row>
    <row r="12" spans="1:37" ht="12.75">
      <c r="A12" s="5" t="s">
        <v>15</v>
      </c>
      <c r="B12" s="5">
        <f>B4*1000</f>
        <v>485250</v>
      </c>
      <c r="C12" s="5" t="s">
        <v>17</v>
      </c>
      <c r="D12" s="5"/>
      <c r="E12" s="15">
        <v>1</v>
      </c>
      <c r="F12">
        <v>2</v>
      </c>
      <c r="G12">
        <f>'Input form'!N5/100</f>
        <v>0</v>
      </c>
      <c r="H12">
        <f aca="true" t="shared" si="1" ref="H12:H30">$B$12*G12</f>
        <v>0</v>
      </c>
      <c r="I12">
        <f>E12*12+E12*F12+F12</f>
        <v>16</v>
      </c>
      <c r="J12">
        <f>AI12</f>
        <v>6589.412995772714</v>
      </c>
      <c r="K12">
        <f>H12/I12</f>
        <v>0</v>
      </c>
      <c r="L12">
        <f aca="true" t="shared" si="2" ref="L12:L30">K12/$K$4</f>
        <v>0</v>
      </c>
      <c r="M12">
        <f>EXP(U12)-1</f>
        <v>1.0000000494336803E-07</v>
      </c>
      <c r="N12">
        <f>H12*M12/100</f>
        <v>0</v>
      </c>
      <c r="O12">
        <f>(H12-N12)/I12/$O$4</f>
        <v>0</v>
      </c>
      <c r="P12">
        <f>J12*O12</f>
        <v>0</v>
      </c>
      <c r="Q12">
        <f>P12*$B$27*I12/($B$7*$B$15)</f>
        <v>0</v>
      </c>
      <c r="R12">
        <f>IF(N12&gt;0,(Q12-N12)/N12,0)</f>
        <v>0</v>
      </c>
      <c r="S12">
        <f>H12-Q12</f>
        <v>0</v>
      </c>
      <c r="T12">
        <f>S12/I12</f>
        <v>0</v>
      </c>
      <c r="U12">
        <v>1E-07</v>
      </c>
      <c r="V12">
        <f>E12</f>
        <v>1</v>
      </c>
      <c r="W12">
        <f>Q12/I12</f>
        <v>0</v>
      </c>
      <c r="X12">
        <f aca="true" t="shared" si="3" ref="X12:X30">W12/$X$9</f>
        <v>0</v>
      </c>
      <c r="Y12" s="19">
        <f>N12/$N$10*100</f>
        <v>0</v>
      </c>
      <c r="Z12">
        <f>N12/$B$33</f>
        <v>0</v>
      </c>
      <c r="AA12">
        <v>1</v>
      </c>
      <c r="AB12">
        <f>AA12*2+2</f>
        <v>4</v>
      </c>
      <c r="AC12" s="13">
        <v>4.22061</v>
      </c>
      <c r="AD12" s="14">
        <v>516.689</v>
      </c>
      <c r="AE12" s="14">
        <v>11.223</v>
      </c>
      <c r="AG12">
        <f>AC12-(AD12/($AG$10+AE12))</f>
        <v>2.6571793156537695</v>
      </c>
      <c r="AH12">
        <f>10^AG12</f>
        <v>454.12908309942895</v>
      </c>
      <c r="AI12">
        <f>AH12*14.51</f>
        <v>6589.412995772714</v>
      </c>
      <c r="AK12">
        <f>H12*$B$7*$B$15/(I12*$B$27)</f>
        <v>0</v>
      </c>
    </row>
    <row r="13" spans="1:37" ht="12.75">
      <c r="A13" s="5" t="s">
        <v>6</v>
      </c>
      <c r="B13" s="5">
        <f>B12/1000/B11</f>
        <v>485.25</v>
      </c>
      <c r="C13" s="5" t="s">
        <v>18</v>
      </c>
      <c r="E13" s="15">
        <v>2</v>
      </c>
      <c r="F13">
        <f aca="true" t="shared" si="4" ref="F13:F30">F12-$F$10</f>
        <v>1.975</v>
      </c>
      <c r="G13">
        <f>'Input form'!N6/100</f>
        <v>1.1546319456101628E-14</v>
      </c>
      <c r="H13">
        <f t="shared" si="1"/>
        <v>5.602851516073315E-09</v>
      </c>
      <c r="I13">
        <f aca="true" t="shared" si="5" ref="I13:I30">E13*12+E13*F13+F13</f>
        <v>29.925</v>
      </c>
      <c r="J13">
        <f>AI13</f>
        <v>830.5496693966315</v>
      </c>
      <c r="K13">
        <f>H13/I13</f>
        <v>1.8722979168164795E-10</v>
      </c>
      <c r="L13">
        <f t="shared" si="2"/>
        <v>5.968034061615847E-14</v>
      </c>
      <c r="M13">
        <f aca="true" t="shared" si="6" ref="M13:M30">EXP(U13)-1</f>
        <v>21.597385651209727</v>
      </c>
      <c r="N13">
        <f>H13*M13/100</f>
        <v>1.2100694493910048E-09</v>
      </c>
      <c r="O13">
        <f>(H13-N13)/I13/$O$4</f>
        <v>4.6837785081110205E-14</v>
      </c>
      <c r="P13">
        <f>J13*O13</f>
        <v>3.890110691438656E-11</v>
      </c>
      <c r="Q13">
        <f>P13*$B$27*I13/($B$7*$B$15)</f>
        <v>1.2100446698546478E-09</v>
      </c>
      <c r="R13">
        <f>IF(N13&gt;0,(Q13-N13)/N13,0)</f>
        <v>-2.0477780320314627E-05</v>
      </c>
      <c r="S13">
        <f>H13-Q13</f>
        <v>4.392806846218667E-09</v>
      </c>
      <c r="T13">
        <f>S13/I13</f>
        <v>1.4679387957288778E-10</v>
      </c>
      <c r="U13">
        <v>3.117834220436879</v>
      </c>
      <c r="V13">
        <f>E13</f>
        <v>2</v>
      </c>
      <c r="W13">
        <f>Q13/I13</f>
        <v>4.043591210876016E-11</v>
      </c>
      <c r="X13">
        <f t="shared" si="3"/>
        <v>2.451957693731634E-10</v>
      </c>
      <c r="Y13" s="19">
        <f aca="true" t="shared" si="7" ref="Y13:Y30">N13/$N$10*100</f>
        <v>6.295106535384869E-09</v>
      </c>
      <c r="Z13">
        <f aca="true" t="shared" si="8" ref="Z13:Z30">N13/$B$33</f>
        <v>2.7639860368083978E-12</v>
      </c>
      <c r="AA13">
        <f>AA12+1</f>
        <v>2</v>
      </c>
      <c r="AB13">
        <f aca="true" t="shared" si="9" ref="AB13:AB30">AA13*2+2</f>
        <v>6</v>
      </c>
      <c r="AC13" s="13">
        <v>3.93835</v>
      </c>
      <c r="AD13" s="14">
        <v>659.739</v>
      </c>
      <c r="AE13" s="14">
        <v>-16.719</v>
      </c>
      <c r="AG13">
        <f aca="true" t="shared" si="10" ref="AG13:AG30">AC13-(AD13/($AG$10+AE13))</f>
        <v>1.7576981972573877</v>
      </c>
      <c r="AH13">
        <f aca="true" t="shared" si="11" ref="AH13:AH30">10^AG13</f>
        <v>57.239811812310926</v>
      </c>
      <c r="AI13">
        <f aca="true" t="shared" si="12" ref="AI13:AI30">AH13*14.51</f>
        <v>830.5496693966315</v>
      </c>
      <c r="AK13">
        <f aca="true" t="shared" si="13" ref="AK13:AK30">H13*$B$7*$B$15/(I13*$B$27)</f>
        <v>1.8012320642541418E-10</v>
      </c>
    </row>
    <row r="14" spans="1:37" ht="12.75">
      <c r="A14" s="5" t="s">
        <v>21</v>
      </c>
      <c r="B14" s="5">
        <f>SUM(H12:H30)</f>
        <v>485205.18431435875</v>
      </c>
      <c r="C14" s="5"/>
      <c r="D14" s="5"/>
      <c r="E14" s="15">
        <v>3</v>
      </c>
      <c r="F14">
        <f t="shared" si="4"/>
        <v>1.9500000000000002</v>
      </c>
      <c r="G14">
        <f>'Input form'!N7/100</f>
        <v>2.588054215379998E-10</v>
      </c>
      <c r="H14">
        <f t="shared" si="1"/>
        <v>0.0001255853308013144</v>
      </c>
      <c r="I14">
        <f t="shared" si="5"/>
        <v>43.800000000000004</v>
      </c>
      <c r="J14">
        <f aca="true" t="shared" si="14" ref="J14:J30">AI14</f>
        <v>232.19049950232503</v>
      </c>
      <c r="K14">
        <f aca="true" t="shared" si="15" ref="K14:K30">H14/I14</f>
        <v>2.867244995463799E-06</v>
      </c>
      <c r="L14">
        <f t="shared" si="2"/>
        <v>9.139472752830502E-10</v>
      </c>
      <c r="M14">
        <f t="shared" si="6"/>
        <v>7.15033814105742</v>
      </c>
      <c r="N14">
        <f>H14*M14/100</f>
        <v>8.979775807859515E-06</v>
      </c>
      <c r="O14">
        <f aca="true" t="shared" si="16" ref="O14:O30">(H14-N14)/I14/$O$4</f>
        <v>8.49446401083072E-10</v>
      </c>
      <c r="P14">
        <f aca="true" t="shared" si="17" ref="P14:P30">J14*O14</f>
        <v>1.972333841679308E-07</v>
      </c>
      <c r="Q14">
        <f aca="true" t="shared" si="18" ref="Q14:Q30">P14*$B$27*I14/($B$7*$B$15)</f>
        <v>8.979658523470198E-06</v>
      </c>
      <c r="R14">
        <f aca="true" t="shared" si="19" ref="R14:R30">IF(N14&gt;0,(Q14-N14)/N14,0)</f>
        <v>-1.3060948494263247E-05</v>
      </c>
      <c r="S14">
        <f aca="true" t="shared" si="20" ref="S14:S30">H14-Q14</f>
        <v>0.0001166056722778442</v>
      </c>
      <c r="T14">
        <f aca="true" t="shared" si="21" ref="T14:T30">S14/I14</f>
        <v>2.6622299606813744E-06</v>
      </c>
      <c r="U14">
        <v>2.0980594160923944</v>
      </c>
      <c r="V14">
        <f aca="true" t="shared" si="22" ref="V14:V30">E14</f>
        <v>3</v>
      </c>
      <c r="W14">
        <f aca="true" t="shared" si="23" ref="W14:W30">Q14/I14</f>
        <v>2.050150347824246E-07</v>
      </c>
      <c r="X14">
        <f t="shared" si="3"/>
        <v>1.2431726296005094E-06</v>
      </c>
      <c r="Y14" s="19">
        <f t="shared" si="7"/>
        <v>4.67152074641639E-05</v>
      </c>
      <c r="Z14">
        <f t="shared" si="8"/>
        <v>2.0511198724242456E-08</v>
      </c>
      <c r="AA14">
        <f aca="true" t="shared" si="24" ref="AA14:AA30">AA13+1</f>
        <v>3</v>
      </c>
      <c r="AB14">
        <f t="shared" si="9"/>
        <v>8</v>
      </c>
      <c r="AC14" s="13">
        <v>3.98292</v>
      </c>
      <c r="AD14" s="14">
        <v>819.296</v>
      </c>
      <c r="AE14" s="14">
        <v>-24.417</v>
      </c>
      <c r="AG14">
        <f t="shared" si="10"/>
        <v>1.2041770333777126</v>
      </c>
      <c r="AH14">
        <f t="shared" si="11"/>
        <v>16.002101964322883</v>
      </c>
      <c r="AI14">
        <f t="shared" si="12"/>
        <v>232.19049950232503</v>
      </c>
      <c r="AK14">
        <f t="shared" si="13"/>
        <v>2.7584144465017004E-06</v>
      </c>
    </row>
    <row r="15" spans="1:37" ht="12.75">
      <c r="A15" s="5" t="s">
        <v>23</v>
      </c>
      <c r="B15" s="5">
        <f>(B9+40)*5/9-40+273.15</f>
        <v>319.26111111111106</v>
      </c>
      <c r="C15" s="5"/>
      <c r="D15" s="5"/>
      <c r="E15" s="15">
        <f aca="true" t="shared" si="25" ref="E15:E30">E14+1</f>
        <v>4</v>
      </c>
      <c r="F15">
        <f t="shared" si="4"/>
        <v>1.9250000000000003</v>
      </c>
      <c r="G15">
        <f>'Input form'!N8/100</f>
        <v>2.4200035653176855E-07</v>
      </c>
      <c r="H15">
        <f t="shared" si="1"/>
        <v>0.11743067300704069</v>
      </c>
      <c r="I15">
        <f t="shared" si="5"/>
        <v>57.625</v>
      </c>
      <c r="J15">
        <f t="shared" si="14"/>
        <v>62.90473795768727</v>
      </c>
      <c r="K15">
        <f t="shared" si="15"/>
        <v>0.0020378424816840032</v>
      </c>
      <c r="L15">
        <f t="shared" si="2"/>
        <v>6.495714829174803E-07</v>
      </c>
      <c r="M15">
        <f t="shared" si="6"/>
        <v>2.043696860558605</v>
      </c>
      <c r="N15">
        <f aca="true" t="shared" si="26" ref="N15:N30">H15*M15/100</f>
        <v>0.002399926977577732</v>
      </c>
      <c r="O15">
        <f t="shared" si="16"/>
        <v>6.369331440675703E-07</v>
      </c>
      <c r="P15">
        <f t="shared" si="17"/>
        <v>4.0066112524136383E-05</v>
      </c>
      <c r="Q15">
        <f t="shared" si="18"/>
        <v>0.0023999015681882975</v>
      </c>
      <c r="R15">
        <f t="shared" si="19"/>
        <v>-1.0587567735155106E-05</v>
      </c>
      <c r="S15">
        <f t="shared" si="20"/>
        <v>0.11503077143885239</v>
      </c>
      <c r="T15">
        <f t="shared" si="21"/>
        <v>0.001996195599806549</v>
      </c>
      <c r="U15">
        <v>1.1130728491529867</v>
      </c>
      <c r="V15">
        <f t="shared" si="22"/>
        <v>4</v>
      </c>
      <c r="W15">
        <f t="shared" si="23"/>
        <v>4.164688187745419E-05</v>
      </c>
      <c r="X15">
        <f t="shared" si="3"/>
        <v>0.0002525388623971055</v>
      </c>
      <c r="Y15" s="19">
        <f t="shared" si="7"/>
        <v>0.01248506522381784</v>
      </c>
      <c r="Z15">
        <f t="shared" si="8"/>
        <v>5.481804915183195E-06</v>
      </c>
      <c r="AA15">
        <f t="shared" si="24"/>
        <v>4</v>
      </c>
      <c r="AB15">
        <f t="shared" si="9"/>
        <v>10</v>
      </c>
      <c r="AC15" s="13">
        <v>3.85002</v>
      </c>
      <c r="AD15" s="14">
        <v>909.65</v>
      </c>
      <c r="AE15" s="14">
        <v>-36.146</v>
      </c>
      <c r="AG15">
        <f t="shared" si="10"/>
        <v>0.637015945112235</v>
      </c>
      <c r="AH15">
        <f t="shared" si="11"/>
        <v>4.33526795021966</v>
      </c>
      <c r="AI15">
        <f t="shared" si="12"/>
        <v>62.90473795768727</v>
      </c>
      <c r="AK15">
        <f t="shared" si="13"/>
        <v>0.0019604931389069374</v>
      </c>
    </row>
    <row r="16" spans="1:37" ht="12.75">
      <c r="A16" s="8"/>
      <c r="B16" s="8"/>
      <c r="C16" s="5"/>
      <c r="D16" s="5"/>
      <c r="E16" s="15">
        <f t="shared" si="25"/>
        <v>5</v>
      </c>
      <c r="F16">
        <f t="shared" si="4"/>
        <v>1.9000000000000004</v>
      </c>
      <c r="G16">
        <f>'Input form'!N9/100</f>
        <v>3.0504432214417676E-05</v>
      </c>
      <c r="H16">
        <f t="shared" si="1"/>
        <v>14.802275732046176</v>
      </c>
      <c r="I16">
        <f t="shared" si="5"/>
        <v>71.4</v>
      </c>
      <c r="J16">
        <f t="shared" si="14"/>
        <v>20.458589379137813</v>
      </c>
      <c r="K16">
        <f t="shared" si="15"/>
        <v>0.2073147861631117</v>
      </c>
      <c r="L16">
        <f t="shared" si="2"/>
        <v>6.608252320238687E-05</v>
      </c>
      <c r="M16">
        <f t="shared" si="6"/>
        <v>0.6739679255927018</v>
      </c>
      <c r="N16">
        <f t="shared" si="26"/>
        <v>0.09976259069178353</v>
      </c>
      <c r="O16">
        <f t="shared" si="16"/>
        <v>6.570285104360309E-05</v>
      </c>
      <c r="P16">
        <f t="shared" si="17"/>
        <v>0.001344187650539732</v>
      </c>
      <c r="Q16">
        <f t="shared" si="18"/>
        <v>0.09976159810457787</v>
      </c>
      <c r="R16">
        <f t="shared" si="19"/>
        <v>-9.949493079333773E-06</v>
      </c>
      <c r="S16">
        <f t="shared" si="20"/>
        <v>14.702514133941598</v>
      </c>
      <c r="T16">
        <f t="shared" si="21"/>
        <v>0.20591756490114282</v>
      </c>
      <c r="U16">
        <v>0.5151968115448341</v>
      </c>
      <c r="V16">
        <f t="shared" si="22"/>
        <v>5</v>
      </c>
      <c r="W16">
        <f t="shared" si="23"/>
        <v>0.0013972212619688775</v>
      </c>
      <c r="X16">
        <f t="shared" si="3"/>
        <v>0.008472487065248637</v>
      </c>
      <c r="Y16" s="19">
        <f t="shared" si="7"/>
        <v>0.5189918123846823</v>
      </c>
      <c r="Z16">
        <f t="shared" si="8"/>
        <v>0.00022787320827469433</v>
      </c>
      <c r="AA16">
        <f t="shared" si="24"/>
        <v>5</v>
      </c>
      <c r="AB16">
        <f t="shared" si="9"/>
        <v>12</v>
      </c>
      <c r="AC16" s="13">
        <v>3.9892</v>
      </c>
      <c r="AD16" s="14">
        <v>1070.617</v>
      </c>
      <c r="AE16" s="14">
        <v>-40.454</v>
      </c>
      <c r="AG16">
        <f t="shared" si="10"/>
        <v>0.1492082733423019</v>
      </c>
      <c r="AH16">
        <f t="shared" si="11"/>
        <v>1.4099648090377541</v>
      </c>
      <c r="AI16">
        <f t="shared" si="12"/>
        <v>20.458589379137813</v>
      </c>
      <c r="AK16">
        <f t="shared" si="13"/>
        <v>0.1994458450639776</v>
      </c>
    </row>
    <row r="17" spans="1:37" ht="12.75">
      <c r="A17" s="8"/>
      <c r="B17" s="8"/>
      <c r="C17" s="5"/>
      <c r="D17" s="5"/>
      <c r="E17" s="15">
        <f t="shared" si="25"/>
        <v>6</v>
      </c>
      <c r="F17">
        <f t="shared" si="4"/>
        <v>1.8750000000000004</v>
      </c>
      <c r="G17">
        <f>'Input form'!N10/100</f>
        <v>0.0009385294519096421</v>
      </c>
      <c r="H17">
        <f t="shared" si="1"/>
        <v>455.4214165391538</v>
      </c>
      <c r="I17">
        <f t="shared" si="5"/>
        <v>85.125</v>
      </c>
      <c r="J17">
        <f t="shared" si="14"/>
        <v>6.8073995214816625</v>
      </c>
      <c r="K17">
        <f t="shared" si="15"/>
        <v>5.350031324982718</v>
      </c>
      <c r="L17">
        <f t="shared" si="2"/>
        <v>0.0017053466166590985</v>
      </c>
      <c r="M17">
        <f t="shared" si="6"/>
        <v>0.2252693559068215</v>
      </c>
      <c r="N17">
        <f t="shared" si="26"/>
        <v>1.0259248916994745</v>
      </c>
      <c r="O17">
        <f t="shared" si="16"/>
        <v>0.0017032082015466983</v>
      </c>
      <c r="P17">
        <f t="shared" si="17"/>
        <v>0.011594418696192637</v>
      </c>
      <c r="Q17">
        <f t="shared" si="18"/>
        <v>1.0259150222799822</v>
      </c>
      <c r="R17">
        <f t="shared" si="19"/>
        <v>-9.62002147737781E-06</v>
      </c>
      <c r="S17">
        <f t="shared" si="20"/>
        <v>454.3955015168738</v>
      </c>
      <c r="T17">
        <f t="shared" si="21"/>
        <v>5.337979459816433</v>
      </c>
      <c r="U17">
        <v>0.20316070219902</v>
      </c>
      <c r="V17">
        <f t="shared" si="22"/>
        <v>6</v>
      </c>
      <c r="W17">
        <f t="shared" si="23"/>
        <v>0.012051865166284667</v>
      </c>
      <c r="X17">
        <f t="shared" si="3"/>
        <v>0.07308024470625461</v>
      </c>
      <c r="Y17" s="19">
        <f t="shared" si="7"/>
        <v>5.337137049283962</v>
      </c>
      <c r="Z17">
        <f t="shared" si="8"/>
        <v>0.002343371346907913</v>
      </c>
      <c r="AA17">
        <f t="shared" si="24"/>
        <v>6</v>
      </c>
      <c r="AB17">
        <f t="shared" si="9"/>
        <v>14</v>
      </c>
      <c r="AC17" s="13">
        <v>4.00266</v>
      </c>
      <c r="AD17" s="14">
        <v>1171.53</v>
      </c>
      <c r="AE17" s="14">
        <v>-48.784</v>
      </c>
      <c r="AG17">
        <f t="shared" si="10"/>
        <v>-0.3286861726480046</v>
      </c>
      <c r="AH17">
        <f t="shared" si="11"/>
        <v>0.4691522757740636</v>
      </c>
      <c r="AI17">
        <f t="shared" si="12"/>
        <v>6.8073995214816625</v>
      </c>
      <c r="AK17">
        <f t="shared" si="13"/>
        <v>5.146962927624468</v>
      </c>
    </row>
    <row r="18" spans="1:37" ht="12.75">
      <c r="A18" s="8"/>
      <c r="B18" s="8"/>
      <c r="C18" s="5"/>
      <c r="D18" s="5"/>
      <c r="E18" s="15">
        <f t="shared" si="25"/>
        <v>7</v>
      </c>
      <c r="F18">
        <f t="shared" si="4"/>
        <v>1.8500000000000005</v>
      </c>
      <c r="G18">
        <f>'Input form'!N11/100</f>
        <v>0.008949200610607777</v>
      </c>
      <c r="H18">
        <f t="shared" si="1"/>
        <v>4342.599596297424</v>
      </c>
      <c r="I18">
        <f t="shared" si="5"/>
        <v>98.8</v>
      </c>
      <c r="J18">
        <f t="shared" si="14"/>
        <v>2.330318609376001</v>
      </c>
      <c r="K18">
        <f t="shared" si="15"/>
        <v>43.9534372094881</v>
      </c>
      <c r="L18">
        <f t="shared" si="2"/>
        <v>0.014010356366648153</v>
      </c>
      <c r="M18">
        <f t="shared" si="6"/>
        <v>0.07722891947451127</v>
      </c>
      <c r="N18">
        <f t="shared" si="26"/>
        <v>3.353742745324989</v>
      </c>
      <c r="O18">
        <f t="shared" si="16"/>
        <v>0.014013549869890368</v>
      </c>
      <c r="P18">
        <f t="shared" si="17"/>
        <v>0.032656036045224164</v>
      </c>
      <c r="Q18">
        <f t="shared" si="18"/>
        <v>3.3537114688696996</v>
      </c>
      <c r="R18">
        <f t="shared" si="19"/>
        <v>-9.325836137198695E-06</v>
      </c>
      <c r="S18">
        <f t="shared" si="20"/>
        <v>4339.245884828554</v>
      </c>
      <c r="T18">
        <f t="shared" si="21"/>
        <v>43.91949276142262</v>
      </c>
      <c r="U18">
        <v>0.07439192848920884</v>
      </c>
      <c r="V18">
        <f t="shared" si="22"/>
        <v>7</v>
      </c>
      <c r="W18">
        <f t="shared" si="23"/>
        <v>0.03394444806548279</v>
      </c>
      <c r="X18">
        <f t="shared" si="3"/>
        <v>0.20583275176227103</v>
      </c>
      <c r="Y18" s="19">
        <f t="shared" si="7"/>
        <v>17.447071227787887</v>
      </c>
      <c r="Z18">
        <f t="shared" si="8"/>
        <v>0.00766046785479207</v>
      </c>
      <c r="AA18">
        <f t="shared" si="24"/>
        <v>7</v>
      </c>
      <c r="AB18">
        <f t="shared" si="9"/>
        <v>16</v>
      </c>
      <c r="AC18" s="13">
        <v>4.02832</v>
      </c>
      <c r="AD18" s="14">
        <v>1268.636</v>
      </c>
      <c r="AE18" s="14">
        <v>-56.199</v>
      </c>
      <c r="AG18">
        <f t="shared" si="10"/>
        <v>-0.7942521090794372</v>
      </c>
      <c r="AH18">
        <f t="shared" si="11"/>
        <v>0.1606008690128188</v>
      </c>
      <c r="AI18">
        <f t="shared" si="12"/>
        <v>2.330318609376001</v>
      </c>
      <c r="AK18">
        <f t="shared" si="13"/>
        <v>42.28511911743543</v>
      </c>
    </row>
    <row r="19" spans="1:37" ht="12.75">
      <c r="A19" s="8"/>
      <c r="B19" s="8"/>
      <c r="C19" s="5"/>
      <c r="D19" s="5"/>
      <c r="E19" s="15">
        <f t="shared" si="25"/>
        <v>8</v>
      </c>
      <c r="F19">
        <f t="shared" si="4"/>
        <v>1.8250000000000006</v>
      </c>
      <c r="G19">
        <f>'Input form'!N12/100</f>
        <v>0.04198632412494153</v>
      </c>
      <c r="H19">
        <f t="shared" si="1"/>
        <v>20373.863781627875</v>
      </c>
      <c r="I19">
        <f t="shared" si="5"/>
        <v>112.42500000000001</v>
      </c>
      <c r="J19">
        <f t="shared" si="14"/>
        <v>0.8112888829833657</v>
      </c>
      <c r="K19">
        <f t="shared" si="15"/>
        <v>181.22182594287634</v>
      </c>
      <c r="L19">
        <f t="shared" si="2"/>
        <v>0.05776527443742893</v>
      </c>
      <c r="M19">
        <f t="shared" si="6"/>
        <v>0.0269004031226745</v>
      </c>
      <c r="N19">
        <f t="shared" si="26"/>
        <v>5.480651488922474</v>
      </c>
      <c r="O19">
        <f t="shared" si="16"/>
        <v>0.057807542889491234</v>
      </c>
      <c r="P19">
        <f t="shared" si="17"/>
        <v>0.04689861689882834</v>
      </c>
      <c r="Q19">
        <f t="shared" si="18"/>
        <v>5.4806013829896685</v>
      </c>
      <c r="R19">
        <f t="shared" si="19"/>
        <v>-9.142331510550602E-06</v>
      </c>
      <c r="S19">
        <f t="shared" si="20"/>
        <v>20368.383180244884</v>
      </c>
      <c r="T19">
        <f t="shared" si="21"/>
        <v>181.17307698683462</v>
      </c>
      <c r="U19">
        <v>0.026544947784772066</v>
      </c>
      <c r="V19">
        <f t="shared" si="22"/>
        <v>8</v>
      </c>
      <c r="W19">
        <f t="shared" si="23"/>
        <v>0.04874895604171375</v>
      </c>
      <c r="X19">
        <f t="shared" si="3"/>
        <v>0.29560450499141777</v>
      </c>
      <c r="Y19" s="19">
        <f t="shared" si="7"/>
        <v>28.511822212721956</v>
      </c>
      <c r="Z19">
        <f t="shared" si="8"/>
        <v>0.012518656838761343</v>
      </c>
      <c r="AA19">
        <f t="shared" si="24"/>
        <v>8</v>
      </c>
      <c r="AB19">
        <f t="shared" si="9"/>
        <v>18</v>
      </c>
      <c r="AC19" s="13">
        <v>4.04867</v>
      </c>
      <c r="AD19" s="14">
        <v>1355.126</v>
      </c>
      <c r="AE19" s="14">
        <v>-63.633</v>
      </c>
      <c r="AG19">
        <f t="shared" si="10"/>
        <v>-1.2524918875162845</v>
      </c>
      <c r="AH19">
        <f t="shared" si="11"/>
        <v>0.055912397173216104</v>
      </c>
      <c r="AI19">
        <f t="shared" si="12"/>
        <v>0.8112888829833657</v>
      </c>
      <c r="AK19">
        <f t="shared" si="13"/>
        <v>174.34328196338396</v>
      </c>
    </row>
    <row r="20" spans="1:37" ht="12.75">
      <c r="A20" s="5"/>
      <c r="B20" s="5"/>
      <c r="C20" s="5"/>
      <c r="D20" s="5"/>
      <c r="E20" s="16">
        <f t="shared" si="25"/>
        <v>9</v>
      </c>
      <c r="F20">
        <f t="shared" si="4"/>
        <v>1.8000000000000007</v>
      </c>
      <c r="G20">
        <f>'Input form'!N13/100</f>
        <v>0.10486723408703716</v>
      </c>
      <c r="H20">
        <f t="shared" si="1"/>
        <v>50886.82534073478</v>
      </c>
      <c r="I20">
        <f t="shared" si="5"/>
        <v>126</v>
      </c>
      <c r="J20">
        <f t="shared" si="14"/>
        <v>0.2846320828864574</v>
      </c>
      <c r="K20">
        <f t="shared" si="15"/>
        <v>403.8636931804348</v>
      </c>
      <c r="L20">
        <f t="shared" si="2"/>
        <v>0.1287333738665404</v>
      </c>
      <c r="M20">
        <f t="shared" si="6"/>
        <v>0.009439413370908367</v>
      </c>
      <c r="N20">
        <f t="shared" si="26"/>
        <v>4.803417795244107</v>
      </c>
      <c r="O20">
        <f t="shared" si="16"/>
        <v>0.12885007226542025</v>
      </c>
      <c r="P20">
        <f t="shared" si="17"/>
        <v>0.03667486444897713</v>
      </c>
      <c r="Q20">
        <f t="shared" si="18"/>
        <v>4.8033512629636075</v>
      </c>
      <c r="R20">
        <f t="shared" si="19"/>
        <v>-1.3851029274406648E-05</v>
      </c>
      <c r="S20">
        <f t="shared" si="20"/>
        <v>50882.02198947182</v>
      </c>
      <c r="T20">
        <f t="shared" si="21"/>
        <v>403.82557134501445</v>
      </c>
      <c r="U20">
        <v>0.009395140497092731</v>
      </c>
      <c r="V20">
        <f t="shared" si="22"/>
        <v>9</v>
      </c>
      <c r="W20">
        <f t="shared" si="23"/>
        <v>0.03812183542034609</v>
      </c>
      <c r="X20">
        <f t="shared" si="3"/>
        <v>0.23116364336403433</v>
      </c>
      <c r="Y20" s="19">
        <f t="shared" si="7"/>
        <v>24.988670501716353</v>
      </c>
      <c r="Z20">
        <f t="shared" si="8"/>
        <v>0.010971750193092995</v>
      </c>
      <c r="AA20">
        <f t="shared" si="24"/>
        <v>9</v>
      </c>
      <c r="AB20">
        <f t="shared" si="9"/>
        <v>20</v>
      </c>
      <c r="AC20" s="13">
        <v>4.06245</v>
      </c>
      <c r="AD20" s="14">
        <v>1430.377</v>
      </c>
      <c r="AE20" s="14">
        <v>-71.355</v>
      </c>
      <c r="AG20">
        <f t="shared" si="10"/>
        <v>-1.707383561540997</v>
      </c>
      <c r="AH20">
        <f t="shared" si="11"/>
        <v>0.019616270357440208</v>
      </c>
      <c r="AI20">
        <f t="shared" si="12"/>
        <v>0.2846320828864574</v>
      </c>
      <c r="AK20">
        <f t="shared" si="13"/>
        <v>388.5344459398872</v>
      </c>
    </row>
    <row r="21" spans="1:37" ht="12.75">
      <c r="A21" s="5" t="s">
        <v>30</v>
      </c>
      <c r="B21" s="5">
        <v>6.75</v>
      </c>
      <c r="C21" s="5" t="s">
        <v>31</v>
      </c>
      <c r="D21" s="5"/>
      <c r="E21" s="16">
        <f t="shared" si="25"/>
        <v>10</v>
      </c>
      <c r="F21">
        <f t="shared" si="4"/>
        <v>1.7750000000000008</v>
      </c>
      <c r="G21">
        <f>'Input form'!N14/100</f>
        <v>0.17513182790992232</v>
      </c>
      <c r="H21">
        <f t="shared" si="1"/>
        <v>84982.71949328981</v>
      </c>
      <c r="I21">
        <f t="shared" si="5"/>
        <v>139.525</v>
      </c>
      <c r="J21">
        <f t="shared" si="14"/>
        <v>0.10007434535025055</v>
      </c>
      <c r="K21">
        <f t="shared" si="15"/>
        <v>609.0859666245462</v>
      </c>
      <c r="L21">
        <f t="shared" si="2"/>
        <v>0.19414889920127</v>
      </c>
      <c r="M21">
        <f t="shared" si="6"/>
        <v>0.003319017747714481</v>
      </c>
      <c r="N21">
        <f t="shared" si="26"/>
        <v>2.8205915424727026</v>
      </c>
      <c r="O21">
        <f t="shared" si="16"/>
        <v>0.19433679215990424</v>
      </c>
      <c r="P21">
        <f t="shared" si="17"/>
        <v>0.01944812725287012</v>
      </c>
      <c r="Q21">
        <f t="shared" si="18"/>
        <v>2.8205584465046623</v>
      </c>
      <c r="R21">
        <f t="shared" si="19"/>
        <v>-1.1733697538970545E-05</v>
      </c>
      <c r="S21">
        <f t="shared" si="20"/>
        <v>84979.89893484331</v>
      </c>
      <c r="T21">
        <f t="shared" si="21"/>
        <v>609.0657511904196</v>
      </c>
      <c r="U21">
        <v>0.0033135219653516383</v>
      </c>
      <c r="V21">
        <f t="shared" si="22"/>
        <v>10</v>
      </c>
      <c r="W21">
        <f t="shared" si="23"/>
        <v>0.02021543412653404</v>
      </c>
      <c r="X21">
        <f t="shared" si="3"/>
        <v>0.12258259219022721</v>
      </c>
      <c r="Y21" s="19">
        <f t="shared" si="7"/>
        <v>14.673475362597802</v>
      </c>
      <c r="Z21">
        <f t="shared" si="8"/>
        <v>0.0064426679335289104</v>
      </c>
      <c r="AA21">
        <f t="shared" si="24"/>
        <v>10</v>
      </c>
      <c r="AB21">
        <f t="shared" si="9"/>
        <v>22</v>
      </c>
      <c r="AC21" s="13">
        <v>4.07857</v>
      </c>
      <c r="AD21" s="14">
        <v>1501.268</v>
      </c>
      <c r="AE21" s="14">
        <v>-78.67</v>
      </c>
      <c r="AG21">
        <f t="shared" si="10"/>
        <v>-2.16134465464689</v>
      </c>
      <c r="AH21">
        <f t="shared" si="11"/>
        <v>0.006896922491402519</v>
      </c>
      <c r="AI21">
        <f t="shared" si="12"/>
        <v>0.10007434535025055</v>
      </c>
      <c r="AK21">
        <f t="shared" si="13"/>
        <v>585.9672027178235</v>
      </c>
    </row>
    <row r="22" spans="1:37" ht="12.75">
      <c r="A22" s="5" t="s">
        <v>30</v>
      </c>
      <c r="B22" s="5">
        <f>B21/2.205/0.003785</f>
        <v>808.7779365378912</v>
      </c>
      <c r="C22" s="5" t="s">
        <v>32</v>
      </c>
      <c r="D22" s="5"/>
      <c r="E22" s="16">
        <f t="shared" si="25"/>
        <v>11</v>
      </c>
      <c r="F22">
        <f t="shared" si="4"/>
        <v>1.7500000000000009</v>
      </c>
      <c r="G22">
        <f>'Input form'!N15/100</f>
        <v>0.20780756693057778</v>
      </c>
      <c r="H22">
        <f t="shared" si="1"/>
        <v>100838.62185306287</v>
      </c>
      <c r="I22">
        <f t="shared" si="5"/>
        <v>153</v>
      </c>
      <c r="J22">
        <f t="shared" si="14"/>
        <v>0.03524850731347853</v>
      </c>
      <c r="K22">
        <f t="shared" si="15"/>
        <v>659.0759598239404</v>
      </c>
      <c r="L22">
        <f t="shared" si="2"/>
        <v>0.2100834350181558</v>
      </c>
      <c r="M22">
        <f t="shared" si="6"/>
        <v>0.0011690587086552462</v>
      </c>
      <c r="N22">
        <f t="shared" si="26"/>
        <v>1.1788626904611637</v>
      </c>
      <c r="O22">
        <f t="shared" si="16"/>
        <v>0.21029127029288974</v>
      </c>
      <c r="P22">
        <f t="shared" si="17"/>
        <v>0.0074124533788796155</v>
      </c>
      <c r="Q22">
        <f t="shared" si="18"/>
        <v>1.1788503870015878</v>
      </c>
      <c r="R22">
        <f t="shared" si="19"/>
        <v>-1.0436719793888889E-05</v>
      </c>
      <c r="S22">
        <f t="shared" si="20"/>
        <v>100837.44300267586</v>
      </c>
      <c r="T22">
        <f t="shared" si="21"/>
        <v>659.06825491945</v>
      </c>
      <c r="U22">
        <v>0.0011683758916400076</v>
      </c>
      <c r="V22">
        <f t="shared" si="22"/>
        <v>11</v>
      </c>
      <c r="W22">
        <f t="shared" si="23"/>
        <v>0.007704904490206456</v>
      </c>
      <c r="X22">
        <f t="shared" si="3"/>
        <v>0.046721092363182504</v>
      </c>
      <c r="Y22" s="19">
        <f t="shared" si="7"/>
        <v>6.132760587235949</v>
      </c>
      <c r="Z22">
        <f t="shared" si="8"/>
        <v>0.0026927049661396554</v>
      </c>
      <c r="AA22">
        <f t="shared" si="24"/>
        <v>11</v>
      </c>
      <c r="AB22">
        <f t="shared" si="9"/>
        <v>24</v>
      </c>
      <c r="AC22" s="13">
        <v>4.10164</v>
      </c>
      <c r="AD22" s="14">
        <v>1572.477</v>
      </c>
      <c r="AE22" s="14">
        <v>-85.128</v>
      </c>
      <c r="AG22">
        <f t="shared" si="10"/>
        <v>-2.6145266820109</v>
      </c>
      <c r="AH22">
        <f t="shared" si="11"/>
        <v>0.0024292561897641994</v>
      </c>
      <c r="AI22">
        <f t="shared" si="12"/>
        <v>0.03524850731347853</v>
      </c>
      <c r="AK22">
        <f t="shared" si="13"/>
        <v>634.0597513629124</v>
      </c>
    </row>
    <row r="23" spans="1:37" ht="12.75">
      <c r="A23" s="5" t="s">
        <v>33</v>
      </c>
      <c r="B23" s="5">
        <f>1/B22</f>
        <v>0.0012364333333333335</v>
      </c>
      <c r="C23" s="5" t="s">
        <v>34</v>
      </c>
      <c r="D23" s="5"/>
      <c r="E23" s="16">
        <f t="shared" si="25"/>
        <v>12</v>
      </c>
      <c r="F23">
        <f t="shared" si="4"/>
        <v>1.725000000000001</v>
      </c>
      <c r="G23">
        <f>'Input form'!N16/100</f>
        <v>0.1764864931384991</v>
      </c>
      <c r="H23">
        <f t="shared" si="1"/>
        <v>85640.07079545669</v>
      </c>
      <c r="I23">
        <f t="shared" si="5"/>
        <v>166.425</v>
      </c>
      <c r="J23">
        <f t="shared" si="14"/>
        <v>0.012195453530065344</v>
      </c>
      <c r="K23">
        <f t="shared" si="15"/>
        <v>514.5865753069352</v>
      </c>
      <c r="L23">
        <f t="shared" si="2"/>
        <v>0.1640267919703646</v>
      </c>
      <c r="M23">
        <f t="shared" si="6"/>
        <v>0.0004044794854258793</v>
      </c>
      <c r="N23">
        <f t="shared" si="26"/>
        <v>0.34639651767182195</v>
      </c>
      <c r="O23">
        <f t="shared" si="16"/>
        <v>0.164190318836924</v>
      </c>
      <c r="P23">
        <f t="shared" si="17"/>
        <v>0.0020023754034623194</v>
      </c>
      <c r="Q23">
        <f t="shared" si="18"/>
        <v>0.34639319553355913</v>
      </c>
      <c r="R23">
        <f t="shared" si="19"/>
        <v>-9.59056483923814E-06</v>
      </c>
      <c r="S23">
        <f t="shared" si="20"/>
        <v>85639.72440226116</v>
      </c>
      <c r="T23">
        <f t="shared" si="21"/>
        <v>514.584493929765</v>
      </c>
      <c r="U23">
        <v>0.0004043977056503128</v>
      </c>
      <c r="V23">
        <f t="shared" si="22"/>
        <v>12</v>
      </c>
      <c r="W23">
        <f t="shared" si="23"/>
        <v>0.0020813771700979966</v>
      </c>
      <c r="X23">
        <f t="shared" si="3"/>
        <v>0.012621079875859982</v>
      </c>
      <c r="Y23" s="19">
        <f t="shared" si="7"/>
        <v>1.8020477943046038</v>
      </c>
      <c r="Z23">
        <f t="shared" si="8"/>
        <v>0.0007912232959238997</v>
      </c>
      <c r="AA23">
        <f t="shared" si="24"/>
        <v>12</v>
      </c>
      <c r="AB23">
        <f t="shared" si="9"/>
        <v>26</v>
      </c>
      <c r="AC23" s="13">
        <v>4.10549</v>
      </c>
      <c r="AD23" s="14">
        <v>1625.928</v>
      </c>
      <c r="AE23" s="14">
        <v>-92.839</v>
      </c>
      <c r="AG23">
        <f t="shared" si="10"/>
        <v>-3.075469456747208</v>
      </c>
      <c r="AH23">
        <f t="shared" si="11"/>
        <v>0.0008404861150975427</v>
      </c>
      <c r="AI23">
        <f t="shared" si="12"/>
        <v>0.012195453530065344</v>
      </c>
      <c r="AK23">
        <f t="shared" si="13"/>
        <v>495.05467636987856</v>
      </c>
    </row>
    <row r="24" spans="4:37" ht="12.75">
      <c r="D24" s="5"/>
      <c r="E24" s="16">
        <f t="shared" si="25"/>
        <v>13</v>
      </c>
      <c r="F24">
        <f t="shared" si="4"/>
        <v>1.700000000000001</v>
      </c>
      <c r="G24">
        <f>'Input form'!N17/100</f>
        <v>0.1285849303146127</v>
      </c>
      <c r="H24">
        <f t="shared" si="1"/>
        <v>62395.83743516582</v>
      </c>
      <c r="I24">
        <f t="shared" si="5"/>
        <v>179.8</v>
      </c>
      <c r="J24">
        <f t="shared" si="14"/>
        <v>0.004226939861049537</v>
      </c>
      <c r="K24">
        <f t="shared" si="15"/>
        <v>347.02912922784105</v>
      </c>
      <c r="L24">
        <f t="shared" si="2"/>
        <v>0.11061710024899034</v>
      </c>
      <c r="M24">
        <f t="shared" si="6"/>
        <v>0.0001401927641979661</v>
      </c>
      <c r="N24">
        <f t="shared" si="26"/>
        <v>0.08747444924482828</v>
      </c>
      <c r="O24">
        <f t="shared" si="16"/>
        <v>0.11072767284631609</v>
      </c>
      <c r="P24">
        <f t="shared" si="17"/>
        <v>0.0004680392140753459</v>
      </c>
      <c r="Q24">
        <f t="shared" si="18"/>
        <v>0.0874736429292065</v>
      </c>
      <c r="R24">
        <f t="shared" si="19"/>
        <v>-9.217727333474497E-06</v>
      </c>
      <c r="S24">
        <f t="shared" si="20"/>
        <v>62395.74996152289</v>
      </c>
      <c r="T24">
        <f t="shared" si="21"/>
        <v>347.02864272259666</v>
      </c>
      <c r="U24">
        <v>0.00014018293811083257</v>
      </c>
      <c r="V24">
        <f t="shared" si="22"/>
        <v>13</v>
      </c>
      <c r="W24">
        <f t="shared" si="23"/>
        <v>0.00048650524432261675</v>
      </c>
      <c r="X24">
        <f t="shared" si="3"/>
        <v>0.002950076342161197</v>
      </c>
      <c r="Y24" s="19">
        <f t="shared" si="7"/>
        <v>0.4550655975964381</v>
      </c>
      <c r="Z24">
        <f t="shared" si="8"/>
        <v>0.00019980519003425025</v>
      </c>
      <c r="AA24">
        <f t="shared" si="24"/>
        <v>13</v>
      </c>
      <c r="AB24">
        <f t="shared" si="9"/>
        <v>28</v>
      </c>
      <c r="AC24" s="13">
        <v>4.12829</v>
      </c>
      <c r="AD24" s="14">
        <v>1689.093</v>
      </c>
      <c r="AE24" s="14">
        <v>-98.866</v>
      </c>
      <c r="AG24">
        <f t="shared" si="10"/>
        <v>-3.5356413435063105</v>
      </c>
      <c r="AH24">
        <f t="shared" si="11"/>
        <v>0.000291312188907618</v>
      </c>
      <c r="AI24">
        <f t="shared" si="12"/>
        <v>0.004226939861049537</v>
      </c>
      <c r="AK24">
        <f t="shared" si="13"/>
        <v>333.85712240615123</v>
      </c>
    </row>
    <row r="25" spans="1:37" ht="12.75">
      <c r="A25" s="10" t="s">
        <v>27</v>
      </c>
      <c r="B25" s="10">
        <f>SUM(P12:P30)</f>
        <v>0.15865325496372243</v>
      </c>
      <c r="C25" t="s">
        <v>4</v>
      </c>
      <c r="D25" s="5"/>
      <c r="E25" s="16">
        <f t="shared" si="25"/>
        <v>14</v>
      </c>
      <c r="F25">
        <f t="shared" si="4"/>
        <v>1.6750000000000012</v>
      </c>
      <c r="G25">
        <f>'Input form'!N18/100</f>
        <v>0.08312966610894057</v>
      </c>
      <c r="H25">
        <f t="shared" si="1"/>
        <v>40338.67047936341</v>
      </c>
      <c r="I25">
        <f t="shared" si="5"/>
        <v>193.12500000000003</v>
      </c>
      <c r="J25">
        <f t="shared" si="14"/>
        <v>0.0014336219618242844</v>
      </c>
      <c r="K25">
        <f t="shared" si="15"/>
        <v>208.8733746504254</v>
      </c>
      <c r="L25">
        <f t="shared" si="2"/>
        <v>0.06657933031287848</v>
      </c>
      <c r="M25">
        <f t="shared" si="6"/>
        <v>4.7548478058212496E-05</v>
      </c>
      <c r="N25">
        <f t="shared" si="26"/>
        <v>0.019180423881854754</v>
      </c>
      <c r="O25">
        <f t="shared" si="16"/>
        <v>0.06664594460101435</v>
      </c>
      <c r="P25">
        <f t="shared" si="17"/>
        <v>9.554508984653877E-05</v>
      </c>
      <c r="Q25">
        <f t="shared" si="18"/>
        <v>0.019180156861665937</v>
      </c>
      <c r="R25">
        <f t="shared" si="19"/>
        <v>-1.3921495711584148E-05</v>
      </c>
      <c r="S25">
        <f>H25-Q25</f>
        <v>40338.651299206555</v>
      </c>
      <c r="T25">
        <f t="shared" si="21"/>
        <v>208.87327533569734</v>
      </c>
      <c r="U25">
        <v>4.754734766525375E-05</v>
      </c>
      <c r="V25">
        <f t="shared" si="22"/>
        <v>14</v>
      </c>
      <c r="W25">
        <f t="shared" si="23"/>
        <v>9.931472808629609E-05</v>
      </c>
      <c r="X25">
        <f t="shared" si="3"/>
        <v>0.000602225840676172</v>
      </c>
      <c r="Y25" s="19">
        <f t="shared" si="7"/>
        <v>0.09978172062015322</v>
      </c>
      <c r="Z25">
        <f t="shared" si="8"/>
        <v>4.381105879186818E-05</v>
      </c>
      <c r="AA25">
        <f t="shared" si="24"/>
        <v>14</v>
      </c>
      <c r="AB25">
        <f t="shared" si="9"/>
        <v>30</v>
      </c>
      <c r="AC25" s="13">
        <v>4.13735</v>
      </c>
      <c r="AD25" s="14">
        <v>1739.623</v>
      </c>
      <c r="AE25" s="14">
        <v>-105.616</v>
      </c>
      <c r="AG25">
        <f t="shared" si="10"/>
        <v>-4.005232767060225</v>
      </c>
      <c r="AH25">
        <f t="shared" si="11"/>
        <v>9.880234058058474E-05</v>
      </c>
      <c r="AI25">
        <f t="shared" si="12"/>
        <v>0.0014336219618242844</v>
      </c>
      <c r="AK25">
        <f t="shared" si="13"/>
        <v>200.94527500678302</v>
      </c>
    </row>
    <row r="26" spans="4:37" ht="12.75">
      <c r="D26" s="5"/>
      <c r="E26" s="16">
        <f t="shared" si="25"/>
        <v>15</v>
      </c>
      <c r="F26">
        <f t="shared" si="4"/>
        <v>1.6500000000000012</v>
      </c>
      <c r="G26">
        <f>'Input form'!N19/100</f>
        <v>0.04419714546410547</v>
      </c>
      <c r="H26">
        <f t="shared" si="1"/>
        <v>21446.664836457177</v>
      </c>
      <c r="I26">
        <f t="shared" si="5"/>
        <v>206.40000000000003</v>
      </c>
      <c r="J26">
        <f t="shared" si="14"/>
        <v>0.0004809377334245315</v>
      </c>
      <c r="K26">
        <f t="shared" si="15"/>
        <v>103.90825986655608</v>
      </c>
      <c r="L26">
        <f t="shared" si="2"/>
        <v>0.03312122652047055</v>
      </c>
      <c r="M26">
        <f t="shared" si="6"/>
        <v>1.5951061812291556E-05</v>
      </c>
      <c r="N26">
        <f t="shared" si="26"/>
        <v>0.003420970764738282</v>
      </c>
      <c r="O26">
        <f t="shared" si="16"/>
        <v>0.033154375613390664</v>
      </c>
      <c r="P26">
        <f t="shared" si="17"/>
        <v>1.594519026060967E-05</v>
      </c>
      <c r="Q26">
        <f t="shared" si="18"/>
        <v>0.003420933904949265</v>
      </c>
      <c r="R26">
        <f t="shared" si="19"/>
        <v>-1.0774657707384835E-05</v>
      </c>
      <c r="S26">
        <f t="shared" si="20"/>
        <v>21446.66141552327</v>
      </c>
      <c r="T26">
        <f t="shared" si="21"/>
        <v>103.90824329226389</v>
      </c>
      <c r="U26">
        <v>1.5950934595410907E-05</v>
      </c>
      <c r="V26">
        <f t="shared" si="22"/>
        <v>15</v>
      </c>
      <c r="W26">
        <f t="shared" si="23"/>
        <v>1.6574292175141785E-05</v>
      </c>
      <c r="X26">
        <f t="shared" si="3"/>
        <v>0.00010050339190491676</v>
      </c>
      <c r="Y26" s="19">
        <f t="shared" si="7"/>
        <v>0.01779680945527771</v>
      </c>
      <c r="Z26">
        <f t="shared" si="8"/>
        <v>7.8140270633434E-06</v>
      </c>
      <c r="AA26">
        <f t="shared" si="24"/>
        <v>15</v>
      </c>
      <c r="AB26">
        <f t="shared" si="9"/>
        <v>32</v>
      </c>
      <c r="AC26" s="13">
        <v>4.14935</v>
      </c>
      <c r="AD26" s="14">
        <v>1789.658</v>
      </c>
      <c r="AE26" s="14">
        <v>-111.859</v>
      </c>
      <c r="AG26">
        <f t="shared" si="10"/>
        <v>-4.479578560140018</v>
      </c>
      <c r="AH26">
        <f t="shared" si="11"/>
        <v>3.314526074600493E-05</v>
      </c>
      <c r="AI26">
        <f t="shared" si="12"/>
        <v>0.0004809377334245315</v>
      </c>
      <c r="AK26">
        <f t="shared" si="13"/>
        <v>99.96426729498845</v>
      </c>
    </row>
    <row r="27" spans="1:37" ht="12.75">
      <c r="A27" t="s">
        <v>35</v>
      </c>
      <c r="B27">
        <f>B11-B12*B23/1000</f>
        <v>0.40002072499999997</v>
      </c>
      <c r="C27" t="s">
        <v>3</v>
      </c>
      <c r="D27" s="5"/>
      <c r="E27" s="16">
        <f t="shared" si="25"/>
        <v>16</v>
      </c>
      <c r="F27">
        <f t="shared" si="4"/>
        <v>1.6250000000000013</v>
      </c>
      <c r="G27">
        <f>'Input form'!N20/100</f>
        <v>0.019083730028256585</v>
      </c>
      <c r="H27">
        <f t="shared" si="1"/>
        <v>9260.379996211508</v>
      </c>
      <c r="I27">
        <f t="shared" si="5"/>
        <v>219.62500000000003</v>
      </c>
      <c r="J27">
        <f t="shared" si="14"/>
        <v>0.00016112239065865991</v>
      </c>
      <c r="K27">
        <f t="shared" si="15"/>
        <v>42.16450766630168</v>
      </c>
      <c r="L27">
        <f t="shared" si="2"/>
        <v>0.01344012700562206</v>
      </c>
      <c r="M27">
        <f t="shared" si="6"/>
        <v>5.343872755192436E-06</v>
      </c>
      <c r="N27">
        <f t="shared" si="26"/>
        <v>0.000494862923644837</v>
      </c>
      <c r="O27">
        <f t="shared" si="16"/>
        <v>0.013453579867466718</v>
      </c>
      <c r="P27">
        <f t="shared" si="17"/>
        <v>2.1676729511634547E-06</v>
      </c>
      <c r="Q27">
        <f t="shared" si="18"/>
        <v>0.000494858253017027</v>
      </c>
      <c r="R27">
        <f t="shared" si="19"/>
        <v>-9.438225389111773E-06</v>
      </c>
      <c r="S27">
        <f t="shared" si="20"/>
        <v>9260.379501353254</v>
      </c>
      <c r="T27">
        <f t="shared" si="21"/>
        <v>42.16450541310531</v>
      </c>
      <c r="U27">
        <v>5.343858476656754E-06</v>
      </c>
      <c r="V27">
        <f t="shared" si="22"/>
        <v>16</v>
      </c>
      <c r="W27">
        <f t="shared" si="23"/>
        <v>2.2531963711646072E-06</v>
      </c>
      <c r="X27">
        <f t="shared" si="3"/>
        <v>1.3662959210380615E-05</v>
      </c>
      <c r="Y27" s="19">
        <f t="shared" si="7"/>
        <v>0.0025744099450854497</v>
      </c>
      <c r="Z27">
        <f t="shared" si="8"/>
        <v>1.1303435615012707E-06</v>
      </c>
      <c r="AA27">
        <f t="shared" si="24"/>
        <v>16</v>
      </c>
      <c r="AB27">
        <f t="shared" si="9"/>
        <v>34</v>
      </c>
      <c r="AC27" s="13">
        <v>4.17312</v>
      </c>
      <c r="AD27" s="14">
        <v>1845.672</v>
      </c>
      <c r="AE27" s="14">
        <v>-117.054</v>
      </c>
      <c r="AG27">
        <f t="shared" si="10"/>
        <v>-4.954511515322026</v>
      </c>
      <c r="AH27">
        <f t="shared" si="11"/>
        <v>1.1104230920651959E-05</v>
      </c>
      <c r="AI27">
        <f t="shared" si="12"/>
        <v>0.00016112239065865991</v>
      </c>
      <c r="AK27">
        <f t="shared" si="13"/>
        <v>40.56409105617592</v>
      </c>
    </row>
    <row r="28" spans="4:37" ht="12.75">
      <c r="D28" s="5"/>
      <c r="E28" s="16">
        <f t="shared" si="25"/>
        <v>17</v>
      </c>
      <c r="F28">
        <f t="shared" si="4"/>
        <v>1.6000000000000014</v>
      </c>
      <c r="G28">
        <f>'Input form'!N21/100</f>
        <v>0.006586876798144958</v>
      </c>
      <c r="H28">
        <f t="shared" si="1"/>
        <v>3196.281966299841</v>
      </c>
      <c r="I28">
        <f t="shared" si="5"/>
        <v>232.8</v>
      </c>
      <c r="J28">
        <f t="shared" si="14"/>
        <v>4.02080136075616E-05</v>
      </c>
      <c r="K28">
        <f t="shared" si="15"/>
        <v>13.72973353221581</v>
      </c>
      <c r="L28">
        <f t="shared" si="2"/>
        <v>0.00437641449265175</v>
      </c>
      <c r="M28">
        <f t="shared" si="6"/>
        <v>1.3335607704778596E-06</v>
      </c>
      <c r="N28">
        <f t="shared" si="26"/>
        <v>4.262436241643304E-05</v>
      </c>
      <c r="O28">
        <f t="shared" si="16"/>
        <v>0.004380795229584466</v>
      </c>
      <c r="P28">
        <f t="shared" si="17"/>
        <v>1.7614307420307315E-07</v>
      </c>
      <c r="Q28">
        <f t="shared" si="18"/>
        <v>4.262396361873785E-05</v>
      </c>
      <c r="R28">
        <f t="shared" si="19"/>
        <v>-9.35609760668998E-06</v>
      </c>
      <c r="S28">
        <f t="shared" si="20"/>
        <v>3196.2819236758774</v>
      </c>
      <c r="T28">
        <f t="shared" si="21"/>
        <v>13.729733349123183</v>
      </c>
      <c r="U28">
        <v>1.3335598812029426E-06</v>
      </c>
      <c r="V28">
        <f t="shared" si="22"/>
        <v>17</v>
      </c>
      <c r="W28">
        <f t="shared" si="23"/>
        <v>1.8309262722825538E-07</v>
      </c>
      <c r="X28">
        <f t="shared" si="3"/>
        <v>1.1102392714435643E-06</v>
      </c>
      <c r="Y28" s="19">
        <f t="shared" si="7"/>
        <v>0.00022174339047179603</v>
      </c>
      <c r="Z28">
        <f t="shared" si="8"/>
        <v>9.736064537962987E-08</v>
      </c>
      <c r="AA28">
        <f t="shared" si="24"/>
        <v>17</v>
      </c>
      <c r="AB28">
        <f t="shared" si="9"/>
        <v>36</v>
      </c>
      <c r="AC28" s="13">
        <v>3.9273</v>
      </c>
      <c r="AD28" s="14">
        <v>1718.004</v>
      </c>
      <c r="AE28" s="14">
        <v>-138.126</v>
      </c>
      <c r="AG28">
        <f t="shared" si="10"/>
        <v>-5.557354794211322</v>
      </c>
      <c r="AH28">
        <f t="shared" si="11"/>
        <v>2.7710553830159616E-06</v>
      </c>
      <c r="AI28">
        <f t="shared" si="12"/>
        <v>4.02080136075616E-05</v>
      </c>
      <c r="AK28">
        <f t="shared" si="13"/>
        <v>13.208601072388225</v>
      </c>
    </row>
    <row r="29" spans="1:37" ht="12.75">
      <c r="A29" t="s">
        <v>38</v>
      </c>
      <c r="B29">
        <f>N10</f>
        <v>19.222382378903202</v>
      </c>
      <c r="C29" t="s">
        <v>11</v>
      </c>
      <c r="D29" s="5"/>
      <c r="E29" s="16">
        <f t="shared" si="25"/>
        <v>18</v>
      </c>
      <c r="F29">
        <f t="shared" si="4"/>
        <v>1.5750000000000015</v>
      </c>
      <c r="G29">
        <f>'Input form'!N22/100</f>
        <v>0.0017359085887533876</v>
      </c>
      <c r="H29">
        <f t="shared" si="1"/>
        <v>842.3496426925814</v>
      </c>
      <c r="I29">
        <f t="shared" si="5"/>
        <v>245.925</v>
      </c>
      <c r="J29">
        <f t="shared" si="14"/>
        <v>3.272454559486028E-05</v>
      </c>
      <c r="K29">
        <f t="shared" si="15"/>
        <v>3.425229816783903</v>
      </c>
      <c r="L29">
        <f t="shared" si="2"/>
        <v>0.0010918074539219942</v>
      </c>
      <c r="M29">
        <f t="shared" si="6"/>
        <v>1.0853631087215376E-06</v>
      </c>
      <c r="N29">
        <f t="shared" si="26"/>
        <v>9.142552268232966E-06</v>
      </c>
      <c r="O29">
        <f t="shared" si="16"/>
        <v>0.0010929003424306348</v>
      </c>
      <c r="P29">
        <f t="shared" si="17"/>
        <v>3.576466708650972E-08</v>
      </c>
      <c r="Q29">
        <f t="shared" si="18"/>
        <v>9.142440689419313E-06</v>
      </c>
      <c r="R29">
        <f t="shared" si="19"/>
        <v>-1.2204339705054084E-05</v>
      </c>
      <c r="S29">
        <f t="shared" si="20"/>
        <v>842.3496335501407</v>
      </c>
      <c r="T29">
        <f t="shared" si="21"/>
        <v>3.4252297796081757</v>
      </c>
      <c r="U29">
        <v>1.0853625196659503E-06</v>
      </c>
      <c r="V29">
        <f t="shared" si="22"/>
        <v>18</v>
      </c>
      <c r="W29">
        <f t="shared" si="23"/>
        <v>3.7175727109563127E-08</v>
      </c>
      <c r="X29">
        <f t="shared" si="3"/>
        <v>2.2542662042885696E-07</v>
      </c>
      <c r="Y29" s="19">
        <f t="shared" si="7"/>
        <v>4.756201436439548E-05</v>
      </c>
      <c r="Z29">
        <f t="shared" si="8"/>
        <v>2.0883005370397966E-08</v>
      </c>
      <c r="AA29">
        <f t="shared" si="24"/>
        <v>18</v>
      </c>
      <c r="AB29">
        <f t="shared" si="9"/>
        <v>38</v>
      </c>
      <c r="AC29" s="13">
        <v>4.33209</v>
      </c>
      <c r="AD29" s="14">
        <v>2068.963</v>
      </c>
      <c r="AE29" s="14">
        <v>-111.927</v>
      </c>
      <c r="AG29">
        <f t="shared" si="10"/>
        <v>-5.646793787681401</v>
      </c>
      <c r="AH29">
        <f t="shared" si="11"/>
        <v>2.255309827350812E-06</v>
      </c>
      <c r="AI29">
        <f t="shared" si="12"/>
        <v>3.272454559486028E-05</v>
      </c>
      <c r="AK29">
        <f t="shared" si="13"/>
        <v>3.2952201239004237</v>
      </c>
    </row>
    <row r="30" spans="4:37" ht="12.75">
      <c r="D30" s="5"/>
      <c r="E30" s="16">
        <f t="shared" si="25"/>
        <v>19</v>
      </c>
      <c r="F30">
        <f t="shared" si="4"/>
        <v>1.5500000000000016</v>
      </c>
      <c r="G30">
        <f>'Input form'!N23/100</f>
        <v>0.0003914638828722561</v>
      </c>
      <c r="H30">
        <f t="shared" si="1"/>
        <v>189.95784916376226</v>
      </c>
      <c r="I30">
        <f t="shared" si="5"/>
        <v>259.00000000000006</v>
      </c>
      <c r="J30">
        <f t="shared" si="14"/>
        <v>1.1661794666754964E-05</v>
      </c>
      <c r="K30">
        <f t="shared" si="15"/>
        <v>0.733427989049275</v>
      </c>
      <c r="L30">
        <f t="shared" si="2"/>
        <v>0.00023378347970557124</v>
      </c>
      <c r="M30">
        <f t="shared" si="6"/>
        <v>3.867813205271631E-07</v>
      </c>
      <c r="N30">
        <f t="shared" si="26"/>
        <v>7.347214774405963E-07</v>
      </c>
      <c r="O30">
        <f t="shared" si="16"/>
        <v>0.00023401749630112863</v>
      </c>
      <c r="P30">
        <f t="shared" si="17"/>
        <v>2.729063990291851E-09</v>
      </c>
      <c r="Q30">
        <f t="shared" si="18"/>
        <v>7.347147653256494E-07</v>
      </c>
      <c r="R30">
        <f t="shared" si="19"/>
        <v>-9.13559104097644E-06</v>
      </c>
      <c r="S30">
        <f t="shared" si="20"/>
        <v>189.9578484290475</v>
      </c>
      <c r="T30">
        <f t="shared" si="21"/>
        <v>0.7334279862125384</v>
      </c>
      <c r="U30">
        <v>3.8678124568878654E-07</v>
      </c>
      <c r="V30">
        <f t="shared" si="22"/>
        <v>19</v>
      </c>
      <c r="W30">
        <f t="shared" si="23"/>
        <v>2.836736545658877E-09</v>
      </c>
      <c r="X30">
        <f t="shared" si="3"/>
        <v>1.7201437127248846E-08</v>
      </c>
      <c r="Y30" s="19">
        <f t="shared" si="7"/>
        <v>3.822218614519717E-06</v>
      </c>
      <c r="Z30">
        <f t="shared" si="8"/>
        <v>1.6782176474342616E-09</v>
      </c>
      <c r="AA30">
        <f t="shared" si="24"/>
        <v>19</v>
      </c>
      <c r="AB30">
        <f t="shared" si="9"/>
        <v>40</v>
      </c>
      <c r="AC30" s="13">
        <v>30.42816</v>
      </c>
      <c r="AD30" s="14">
        <v>28197.488</v>
      </c>
      <c r="AE30" s="14">
        <v>452.785</v>
      </c>
      <c r="AG30">
        <f t="shared" si="10"/>
        <v>-6.094902022058278</v>
      </c>
      <c r="AH30">
        <f t="shared" si="11"/>
        <v>8.03707420176083E-07</v>
      </c>
      <c r="AI30">
        <f t="shared" si="12"/>
        <v>1.1661794666754964E-05</v>
      </c>
      <c r="AK30">
        <f t="shared" si="13"/>
        <v>0.7055896387169242</v>
      </c>
    </row>
    <row r="31" spans="1:31" ht="12.75">
      <c r="A31" t="s">
        <v>39</v>
      </c>
      <c r="B31">
        <f>$B$7*B15*B29/(B25*B27)</f>
        <v>116.56091307902548</v>
      </c>
      <c r="D31" s="5"/>
      <c r="AC31" s="13"/>
      <c r="AD31" s="14"/>
      <c r="AE31" s="14"/>
    </row>
    <row r="32" spans="4:20" ht="12.75">
      <c r="D32" s="5"/>
      <c r="F32" t="s">
        <v>202</v>
      </c>
      <c r="G32">
        <f>'Equiv ratio'!U27</f>
        <v>2.0307958283582805</v>
      </c>
      <c r="P32" t="s">
        <v>89</v>
      </c>
      <c r="Q32">
        <f>'Input form'!C21</f>
        <v>60</v>
      </c>
      <c r="R32" t="s">
        <v>257</v>
      </c>
      <c r="S32" s="72">
        <f>'Input form'!C20</f>
        <v>0</v>
      </c>
      <c r="T32" t="s">
        <v>258</v>
      </c>
    </row>
    <row r="33" spans="1:23" ht="12.75">
      <c r="A33" t="s">
        <v>40</v>
      </c>
      <c r="B33">
        <f>(B40)*B27*28.9644/(B7*B15)</f>
        <v>437.7986839572764</v>
      </c>
      <c r="C33" t="s">
        <v>11</v>
      </c>
      <c r="D33" s="5"/>
      <c r="H33">
        <f aca="true" t="shared" si="27" ref="H33:H51">$B$12*G33</f>
        <v>0</v>
      </c>
      <c r="P33" t="s">
        <v>259</v>
      </c>
      <c r="Q33">
        <f>'Input form'!C19</f>
        <v>115</v>
      </c>
      <c r="R33" t="s">
        <v>194</v>
      </c>
      <c r="S33">
        <f>'Input form'!G20</f>
        <v>0.043906898497618745</v>
      </c>
      <c r="W33" s="91">
        <v>0.0004788</v>
      </c>
    </row>
    <row r="34" spans="4:25" ht="12.75">
      <c r="D34" s="5"/>
      <c r="H34">
        <f t="shared" si="27"/>
        <v>0</v>
      </c>
      <c r="U34" t="s">
        <v>7</v>
      </c>
      <c r="W34" t="s">
        <v>146</v>
      </c>
      <c r="Y34" t="s">
        <v>238</v>
      </c>
    </row>
    <row r="35" spans="1:25" ht="12.75">
      <c r="A35" t="s">
        <v>41</v>
      </c>
      <c r="B35">
        <f>B29/B33</f>
        <v>0.043906898497618745</v>
      </c>
      <c r="D35" s="5"/>
      <c r="H35">
        <f t="shared" si="27"/>
        <v>0</v>
      </c>
      <c r="U35" t="s">
        <v>236</v>
      </c>
      <c r="Y35" t="s">
        <v>237</v>
      </c>
    </row>
    <row r="36" spans="4:23" ht="12.75">
      <c r="D36" s="5"/>
      <c r="H36">
        <f t="shared" si="27"/>
        <v>0</v>
      </c>
      <c r="T36">
        <v>1</v>
      </c>
      <c r="U36">
        <f>P12</f>
        <v>0</v>
      </c>
      <c r="W36" s="72">
        <f>U36*144*$W$33*1000</f>
        <v>0</v>
      </c>
    </row>
    <row r="37" spans="1:23" ht="12.75">
      <c r="A37" t="s">
        <v>107</v>
      </c>
      <c r="B37">
        <f>B29/B12*100</f>
        <v>0.003961335884369542</v>
      </c>
      <c r="H37">
        <f t="shared" si="27"/>
        <v>0</v>
      </c>
      <c r="T37">
        <v>2</v>
      </c>
      <c r="U37">
        <f aca="true" t="shared" si="28" ref="U37:U54">P13</f>
        <v>3.890110691438656E-11</v>
      </c>
      <c r="W37" s="72">
        <f aca="true" t="shared" si="29" ref="W37:W54">U37*144*$W$33*1000</f>
        <v>2.6821223986475934E-09</v>
      </c>
    </row>
    <row r="38" spans="8:23" ht="12.75">
      <c r="H38">
        <f t="shared" si="27"/>
        <v>0</v>
      </c>
      <c r="T38">
        <v>3</v>
      </c>
      <c r="U38">
        <f t="shared" si="28"/>
        <v>1.972333841679308E-07</v>
      </c>
      <c r="W38" s="72">
        <f t="shared" si="29"/>
        <v>1.3598689584903158E-05</v>
      </c>
    </row>
    <row r="39" spans="8:23" ht="12.75">
      <c r="H39">
        <f t="shared" si="27"/>
        <v>0</v>
      </c>
      <c r="T39">
        <v>4</v>
      </c>
      <c r="U39">
        <f t="shared" si="28"/>
        <v>4.0066112524136383E-05</v>
      </c>
      <c r="W39" s="72">
        <f t="shared" si="29"/>
        <v>0.002762446273424136</v>
      </c>
    </row>
    <row r="40" spans="1:25" ht="12.75">
      <c r="A40" t="s">
        <v>266</v>
      </c>
      <c r="B40">
        <f>B3-B25-B48</f>
        <v>14.541346745036277</v>
      </c>
      <c r="C40" t="s">
        <v>4</v>
      </c>
      <c r="D40">
        <f>B40*B27/(B15*B7)</f>
        <v>15.11506138422603</v>
      </c>
      <c r="E40" t="s">
        <v>175</v>
      </c>
      <c r="H40">
        <f t="shared" si="27"/>
        <v>0</v>
      </c>
      <c r="T40">
        <v>5</v>
      </c>
      <c r="U40">
        <f t="shared" si="28"/>
        <v>0.001344187650539732</v>
      </c>
      <c r="W40" s="72">
        <f t="shared" si="29"/>
        <v>0.092677974779293</v>
      </c>
      <c r="Y40">
        <v>0.712</v>
      </c>
    </row>
    <row r="41" spans="4:25" ht="12.75">
      <c r="D41">
        <f>(B25*B27)/(B15*B7)</f>
        <v>0.16491276424602894</v>
      </c>
      <c r="E41" t="s">
        <v>176</v>
      </c>
      <c r="H41">
        <f t="shared" si="27"/>
        <v>0</v>
      </c>
      <c r="T41">
        <v>6</v>
      </c>
      <c r="U41">
        <f t="shared" si="28"/>
        <v>0.011594418696192637</v>
      </c>
      <c r="W41" s="72">
        <f t="shared" si="29"/>
        <v>0.7994027047301331</v>
      </c>
      <c r="Y41">
        <v>0.741</v>
      </c>
    </row>
    <row r="42" spans="1:25" ht="12.75">
      <c r="A42" t="s">
        <v>177</v>
      </c>
      <c r="D42">
        <f>X9/(X9+D40)*1000000</f>
        <v>10792.738432906284</v>
      </c>
      <c r="H42">
        <f t="shared" si="27"/>
        <v>0</v>
      </c>
      <c r="T42">
        <v>7</v>
      </c>
      <c r="U42">
        <f t="shared" si="28"/>
        <v>0.032656036045224164</v>
      </c>
      <c r="W42" s="72">
        <f t="shared" si="29"/>
        <v>2.2515422484172793</v>
      </c>
      <c r="Y42">
        <v>1.79</v>
      </c>
    </row>
    <row r="43" spans="6:25" ht="12.75">
      <c r="F43" s="121"/>
      <c r="H43">
        <f t="shared" si="27"/>
        <v>0</v>
      </c>
      <c r="T43">
        <v>8</v>
      </c>
      <c r="U43">
        <f t="shared" si="28"/>
        <v>0.04689861689882834</v>
      </c>
      <c r="W43" s="72">
        <f t="shared" si="29"/>
        <v>3.233528319046897</v>
      </c>
      <c r="Y43">
        <v>2.27</v>
      </c>
    </row>
    <row r="44" spans="1:25" ht="12.75">
      <c r="A44" t="s">
        <v>277</v>
      </c>
      <c r="B44">
        <f>(('Input form'!C24)+40)*5/9-40+273.15</f>
        <v>288.7055555555555</v>
      </c>
      <c r="C44" t="s">
        <v>278</v>
      </c>
      <c r="H44">
        <f t="shared" si="27"/>
        <v>0</v>
      </c>
      <c r="T44">
        <v>9</v>
      </c>
      <c r="U44">
        <f t="shared" si="28"/>
        <v>0.03667486444897713</v>
      </c>
      <c r="W44" s="72">
        <f t="shared" si="29"/>
        <v>2.5286292141365156</v>
      </c>
      <c r="Y44">
        <v>2.52</v>
      </c>
    </row>
    <row r="45" spans="4:25" ht="12.75">
      <c r="D45" t="s">
        <v>263</v>
      </c>
      <c r="H45">
        <f t="shared" si="27"/>
        <v>0</v>
      </c>
      <c r="T45">
        <v>10</v>
      </c>
      <c r="U45">
        <f t="shared" si="28"/>
        <v>0.01944812725287012</v>
      </c>
      <c r="W45" s="72">
        <f t="shared" si="29"/>
        <v>1.3408939193290867</v>
      </c>
      <c r="Y45">
        <v>1.88</v>
      </c>
    </row>
    <row r="46" spans="1:25" ht="12.75">
      <c r="A46" t="s">
        <v>264</v>
      </c>
      <c r="B46">
        <f>10^(D46-(E46/(B44+F46)))*14.5038</f>
        <v>0.2543140406278778</v>
      </c>
      <c r="C46" t="s">
        <v>4</v>
      </c>
      <c r="D46" s="121">
        <v>5.20389</v>
      </c>
      <c r="E46" s="121">
        <v>1733.926</v>
      </c>
      <c r="F46" s="121">
        <v>-39.57830911760995</v>
      </c>
      <c r="H46">
        <f t="shared" si="27"/>
        <v>0</v>
      </c>
      <c r="T46">
        <v>11</v>
      </c>
      <c r="U46">
        <f t="shared" si="28"/>
        <v>0.0074124533788796155</v>
      </c>
      <c r="W46" s="72">
        <f t="shared" si="29"/>
        <v>0.5110679056042886</v>
      </c>
      <c r="Y46">
        <v>0.626</v>
      </c>
    </row>
    <row r="47" spans="8:25" ht="12.75">
      <c r="H47">
        <f t="shared" si="27"/>
        <v>0</v>
      </c>
      <c r="T47">
        <v>12</v>
      </c>
      <c r="U47">
        <f t="shared" si="28"/>
        <v>0.0020023754034623194</v>
      </c>
      <c r="W47" s="72">
        <f t="shared" si="29"/>
        <v>0.13805817741759724</v>
      </c>
      <c r="Y47">
        <v>0.158</v>
      </c>
    </row>
    <row r="48" spans="1:25" ht="12.75">
      <c r="A48" t="s">
        <v>265</v>
      </c>
      <c r="B48">
        <f>B46*'Input form'!C23/100</f>
        <v>0</v>
      </c>
      <c r="C48" t="s">
        <v>4</v>
      </c>
      <c r="H48">
        <f t="shared" si="27"/>
        <v>0</v>
      </c>
      <c r="T48">
        <v>13</v>
      </c>
      <c r="U48">
        <f t="shared" si="28"/>
        <v>0.0004680392140753459</v>
      </c>
      <c r="W48" s="72">
        <f t="shared" si="29"/>
        <v>0.03226999330069568</v>
      </c>
      <c r="Y48">
        <v>0.037</v>
      </c>
    </row>
    <row r="49" spans="4:25" ht="12.75">
      <c r="D49" s="121">
        <v>5.20389</v>
      </c>
      <c r="E49" s="121">
        <v>1733.926</v>
      </c>
      <c r="F49" s="121">
        <v>-39.485</v>
      </c>
      <c r="H49">
        <f t="shared" si="27"/>
        <v>0</v>
      </c>
      <c r="T49">
        <v>14</v>
      </c>
      <c r="U49">
        <f t="shared" si="28"/>
        <v>9.554508984653877E-05</v>
      </c>
      <c r="W49" s="72">
        <f t="shared" si="29"/>
        <v>0.0065875664186672775</v>
      </c>
      <c r="Y49">
        <v>0.005</v>
      </c>
    </row>
    <row r="50" spans="8:23" ht="12.75">
      <c r="H50">
        <f t="shared" si="27"/>
        <v>0</v>
      </c>
      <c r="T50">
        <v>15</v>
      </c>
      <c r="U50">
        <f t="shared" si="28"/>
        <v>1.594519026060967E-05</v>
      </c>
      <c r="W50" s="72">
        <f t="shared" si="29"/>
        <v>0.0010993762219363068</v>
      </c>
    </row>
    <row r="51" spans="8:23" ht="12.75">
      <c r="H51">
        <f t="shared" si="27"/>
        <v>0</v>
      </c>
      <c r="T51">
        <v>16</v>
      </c>
      <c r="U51">
        <f t="shared" si="28"/>
        <v>2.1676729511634547E-06</v>
      </c>
      <c r="W51" s="72">
        <f t="shared" si="29"/>
        <v>0.00014945498049845693</v>
      </c>
    </row>
    <row r="52" spans="20:23" ht="12.75">
      <c r="T52">
        <v>17</v>
      </c>
      <c r="U52">
        <f t="shared" si="28"/>
        <v>1.7614307420307315E-07</v>
      </c>
      <c r="W52" s="72">
        <f t="shared" si="29"/>
        <v>1.2144571765694126E-05</v>
      </c>
    </row>
    <row r="53" spans="20:23" ht="12.75">
      <c r="T53">
        <v>18</v>
      </c>
      <c r="U53">
        <f t="shared" si="28"/>
        <v>3.576466708650972E-08</v>
      </c>
      <c r="W53" s="72">
        <f t="shared" si="29"/>
        <v>2.4658736545470028E-06</v>
      </c>
    </row>
    <row r="54" spans="20:23" ht="12.75">
      <c r="T54">
        <v>19</v>
      </c>
      <c r="U54">
        <f t="shared" si="28"/>
        <v>2.729063990291851E-09</v>
      </c>
      <c r="W54" s="72">
        <f t="shared" si="29"/>
        <v>1.8816132075145032E-07</v>
      </c>
    </row>
    <row r="55" ht="12.75">
      <c r="W55" s="72"/>
    </row>
    <row r="56" spans="21:25" ht="12.75">
      <c r="U56">
        <f>SUM(U36:U54)</f>
        <v>0.15865325496372243</v>
      </c>
      <c r="W56">
        <f>SUM(W36:W54)</f>
        <v>10.938697700634766</v>
      </c>
      <c r="Y56">
        <f>SUM(Y36:Y54)</f>
        <v>10.739</v>
      </c>
    </row>
    <row r="1035" spans="19:21" ht="12.75">
      <c r="S1035">
        <v>48.18104553222656</v>
      </c>
      <c r="T1035">
        <v>1.0002474784851074</v>
      </c>
      <c r="U1035">
        <v>47.69062805175781</v>
      </c>
    </row>
  </sheetData>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Sheet3"/>
  <dimension ref="A1:H126"/>
  <sheetViews>
    <sheetView workbookViewId="0" topLeftCell="A1">
      <selection activeCell="G15" sqref="G15"/>
    </sheetView>
  </sheetViews>
  <sheetFormatPr defaultColWidth="9.140625" defaultRowHeight="12.75"/>
  <sheetData>
    <row r="1" spans="1:7" ht="12.75">
      <c r="A1" s="182" t="s">
        <v>298</v>
      </c>
      <c r="B1" s="182"/>
      <c r="C1" s="182"/>
      <c r="D1" s="175"/>
      <c r="E1" s="175"/>
      <c r="F1" s="175"/>
      <c r="G1" s="168"/>
    </row>
    <row r="2" spans="1:7" ht="16.5" thickBot="1">
      <c r="A2" s="183" t="s">
        <v>28</v>
      </c>
      <c r="B2" s="184" t="s">
        <v>301</v>
      </c>
      <c r="C2" s="175" t="s">
        <v>302</v>
      </c>
      <c r="D2" s="175"/>
      <c r="E2" s="175"/>
      <c r="F2" s="175"/>
      <c r="G2" s="168"/>
    </row>
    <row r="3" spans="1:7" ht="13.5" thickBot="1">
      <c r="A3" s="175"/>
      <c r="B3" s="185" t="s">
        <v>295</v>
      </c>
      <c r="C3" s="185"/>
      <c r="D3" s="200">
        <v>416.76113569656013</v>
      </c>
      <c r="E3" s="202" t="s">
        <v>305</v>
      </c>
      <c r="F3" s="178">
        <f>(SUM(F17:F46))^0.5</f>
        <v>10.378783243138198</v>
      </c>
      <c r="G3" s="169"/>
    </row>
    <row r="4" spans="1:7" ht="13.5" thickBot="1">
      <c r="A4" s="186"/>
      <c r="B4" s="185" t="s">
        <v>296</v>
      </c>
      <c r="C4" s="185"/>
      <c r="D4" s="201">
        <v>61.901360863455196</v>
      </c>
      <c r="E4" s="187"/>
      <c r="F4" s="175"/>
      <c r="G4" s="170"/>
    </row>
    <row r="5" spans="1:6" ht="12.75">
      <c r="A5" s="186"/>
      <c r="B5" s="197" t="s">
        <v>294</v>
      </c>
      <c r="C5" s="198" t="s">
        <v>297</v>
      </c>
      <c r="D5" s="197" t="s">
        <v>299</v>
      </c>
      <c r="E5" s="175" t="s">
        <v>306</v>
      </c>
      <c r="F5" s="175" t="s">
        <v>307</v>
      </c>
    </row>
    <row r="6" spans="1:6" ht="13.5" thickBot="1">
      <c r="A6" s="182"/>
      <c r="B6" s="175"/>
      <c r="C6" s="199" t="s">
        <v>300</v>
      </c>
      <c r="D6" s="197" t="s">
        <v>300</v>
      </c>
      <c r="E6" s="175" t="s">
        <v>300</v>
      </c>
      <c r="F6" s="175" t="s">
        <v>308</v>
      </c>
    </row>
    <row r="7" spans="1:8" ht="12.75">
      <c r="A7" s="186"/>
      <c r="B7" s="175">
        <v>0.001</v>
      </c>
      <c r="C7" s="175"/>
      <c r="D7" s="175">
        <f>NORMINV(B7/100,$D$3,$D$4)</f>
        <v>152.7235184428386</v>
      </c>
      <c r="E7" s="188"/>
      <c r="F7" s="175"/>
      <c r="H7" s="19"/>
    </row>
    <row r="8" spans="1:8" ht="12.75">
      <c r="A8" s="175"/>
      <c r="B8" s="175">
        <v>0.01</v>
      </c>
      <c r="C8" s="175"/>
      <c r="D8" s="175">
        <f aca="true" t="shared" si="0" ref="D8:D71">NORMINV(B8/100,$D$3,$D$4)</f>
        <v>186.5209099526627</v>
      </c>
      <c r="E8" s="188"/>
      <c r="F8" s="175"/>
      <c r="H8" s="19"/>
    </row>
    <row r="9" spans="1:8" ht="12.75">
      <c r="A9" s="175"/>
      <c r="B9" s="175">
        <v>0.1</v>
      </c>
      <c r="C9" s="175"/>
      <c r="D9" s="175">
        <f t="shared" si="0"/>
        <v>225.47078225769448</v>
      </c>
      <c r="E9" s="188"/>
      <c r="F9" s="175"/>
      <c r="H9" s="19"/>
    </row>
    <row r="10" spans="1:8" ht="12.75">
      <c r="A10" s="175"/>
      <c r="B10" s="175">
        <v>0.2</v>
      </c>
      <c r="C10" s="175"/>
      <c r="D10" s="175">
        <f t="shared" si="0"/>
        <v>238.5996996685603</v>
      </c>
      <c r="E10" s="188"/>
      <c r="F10" s="175"/>
      <c r="H10" s="19"/>
    </row>
    <row r="11" spans="1:8" ht="12.75">
      <c r="A11" s="175"/>
      <c r="B11" s="175">
        <v>0.3</v>
      </c>
      <c r="C11" s="175"/>
      <c r="D11" s="175">
        <f t="shared" si="0"/>
        <v>246.670718536578</v>
      </c>
      <c r="E11" s="188"/>
      <c r="F11" s="175"/>
      <c r="H11" s="19"/>
    </row>
    <row r="12" spans="1:8" ht="12.75">
      <c r="A12" s="175"/>
      <c r="B12" s="175">
        <v>0.4</v>
      </c>
      <c r="C12" s="175"/>
      <c r="D12" s="175">
        <f t="shared" si="0"/>
        <v>252.59336910099947</v>
      </c>
      <c r="E12" s="188"/>
      <c r="F12" s="175"/>
      <c r="H12" s="19"/>
    </row>
    <row r="13" spans="1:8" ht="12.75">
      <c r="A13" s="189"/>
      <c r="B13" s="175">
        <v>0.5</v>
      </c>
      <c r="C13" s="190"/>
      <c r="D13" s="175">
        <f t="shared" si="0"/>
        <v>257.31347388542054</v>
      </c>
      <c r="E13" s="188"/>
      <c r="F13" s="175"/>
      <c r="H13" s="19"/>
    </row>
    <row r="14" spans="1:8" ht="12.75">
      <c r="A14" s="175"/>
      <c r="B14" s="175">
        <v>0.6</v>
      </c>
      <c r="C14" s="175"/>
      <c r="D14" s="175">
        <f t="shared" si="0"/>
        <v>261.2566530254593</v>
      </c>
      <c r="E14" s="188"/>
      <c r="F14" s="175"/>
      <c r="H14" s="19"/>
    </row>
    <row r="15" spans="1:8" ht="12.75">
      <c r="A15" s="175"/>
      <c r="B15" s="175">
        <v>0.7</v>
      </c>
      <c r="C15" s="175"/>
      <c r="D15" s="175">
        <f t="shared" si="0"/>
        <v>264.6526062768462</v>
      </c>
      <c r="E15" s="188"/>
      <c r="F15" s="175"/>
      <c r="H15" s="19"/>
    </row>
    <row r="16" spans="1:8" ht="13.5" thickBot="1">
      <c r="A16" s="175"/>
      <c r="B16" s="175">
        <v>0.8</v>
      </c>
      <c r="C16" s="175"/>
      <c r="D16" s="175">
        <f t="shared" si="0"/>
        <v>267.6454589765101</v>
      </c>
      <c r="E16" s="188"/>
      <c r="F16" s="175"/>
      <c r="H16" s="19"/>
    </row>
    <row r="17" spans="1:8" ht="12.75">
      <c r="A17" s="175"/>
      <c r="B17" s="189">
        <v>1</v>
      </c>
      <c r="C17" s="171">
        <v>271.5</v>
      </c>
      <c r="D17" s="175">
        <f t="shared" si="0"/>
        <v>272.7574045207066</v>
      </c>
      <c r="E17" s="188">
        <f>D17-C17</f>
        <v>1.2574045207065865</v>
      </c>
      <c r="F17" s="175">
        <f>E17*E17</f>
        <v>1.5810661286933605</v>
      </c>
      <c r="H17" s="19"/>
    </row>
    <row r="18" spans="1:8" ht="12.75">
      <c r="A18" s="175"/>
      <c r="B18" s="189">
        <v>2</v>
      </c>
      <c r="C18" s="172">
        <v>288.4</v>
      </c>
      <c r="D18" s="175">
        <f t="shared" si="0"/>
        <v>289.631328733334</v>
      </c>
      <c r="E18" s="188">
        <f aca="true" t="shared" si="1" ref="E18:E81">D18-C18</f>
        <v>1.23132873333401</v>
      </c>
      <c r="F18" s="175">
        <f aca="true" t="shared" si="2" ref="F18:F81">E18*E18</f>
        <v>1.5161704495339374</v>
      </c>
      <c r="H18" s="19"/>
    </row>
    <row r="19" spans="1:8" ht="12.75">
      <c r="A19" s="175"/>
      <c r="B19" s="189">
        <v>3</v>
      </c>
      <c r="C19" s="172">
        <v>302.7</v>
      </c>
      <c r="D19" s="175">
        <f t="shared" si="0"/>
        <v>300.33770190668025</v>
      </c>
      <c r="E19" s="188">
        <f t="shared" si="1"/>
        <v>-2.362298093319737</v>
      </c>
      <c r="F19" s="175">
        <f t="shared" si="2"/>
        <v>5.580452281702064</v>
      </c>
      <c r="H19" s="19"/>
    </row>
    <row r="20" spans="1:8" ht="12.75">
      <c r="A20" s="175"/>
      <c r="B20" s="189">
        <v>4</v>
      </c>
      <c r="C20" s="172">
        <v>309.6</v>
      </c>
      <c r="D20" s="175">
        <f t="shared" si="0"/>
        <v>308.39126809717925</v>
      </c>
      <c r="E20" s="188">
        <f t="shared" si="1"/>
        <v>-1.208731902820773</v>
      </c>
      <c r="F20" s="175">
        <f t="shared" si="2"/>
        <v>1.4610328128967267</v>
      </c>
      <c r="H20" s="19"/>
    </row>
    <row r="21" spans="1:8" ht="12.75">
      <c r="A21" s="175"/>
      <c r="B21" s="189">
        <v>5</v>
      </c>
      <c r="C21" s="172">
        <v>317.8</v>
      </c>
      <c r="D21" s="175">
        <f t="shared" si="0"/>
        <v>314.94249654707374</v>
      </c>
      <c r="E21" s="188">
        <f t="shared" si="1"/>
        <v>-2.8575034529262666</v>
      </c>
      <c r="F21" s="175">
        <f t="shared" si="2"/>
        <v>8.165325983485536</v>
      </c>
      <c r="H21" s="19"/>
    </row>
    <row r="22" spans="1:8" ht="12.75">
      <c r="A22" s="175"/>
      <c r="B22" s="189">
        <v>6</v>
      </c>
      <c r="C22" s="172">
        <v>322</v>
      </c>
      <c r="D22" s="175">
        <f t="shared" si="0"/>
        <v>320.5186270143088</v>
      </c>
      <c r="E22" s="188">
        <f t="shared" si="1"/>
        <v>-1.4813729856912232</v>
      </c>
      <c r="F22" s="175">
        <f t="shared" si="2"/>
        <v>2.194465922735729</v>
      </c>
      <c r="H22" s="19"/>
    </row>
    <row r="23" spans="1:8" ht="12.75">
      <c r="A23" s="175"/>
      <c r="B23" s="189">
        <v>7</v>
      </c>
      <c r="C23" s="172">
        <v>328</v>
      </c>
      <c r="D23" s="175">
        <f t="shared" si="0"/>
        <v>325.40762867794336</v>
      </c>
      <c r="E23" s="188">
        <f t="shared" si="1"/>
        <v>-2.5923713220566356</v>
      </c>
      <c r="F23" s="175">
        <f t="shared" si="2"/>
        <v>6.7203890714216685</v>
      </c>
      <c r="H23" s="19"/>
    </row>
    <row r="24" spans="1:8" ht="12.75">
      <c r="A24" s="175"/>
      <c r="B24" s="189">
        <v>8</v>
      </c>
      <c r="C24" s="172">
        <v>330.7</v>
      </c>
      <c r="D24" s="175">
        <f t="shared" si="0"/>
        <v>329.7851542923596</v>
      </c>
      <c r="E24" s="188">
        <f t="shared" si="1"/>
        <v>-0.9148457076403815</v>
      </c>
      <c r="F24" s="175">
        <f t="shared" si="2"/>
        <v>0.8369426687880305</v>
      </c>
      <c r="H24" s="19"/>
    </row>
    <row r="25" spans="1:8" ht="12.75">
      <c r="A25" s="175"/>
      <c r="B25" s="189">
        <v>9</v>
      </c>
      <c r="C25" s="172">
        <v>334.1</v>
      </c>
      <c r="D25" s="175">
        <f t="shared" si="0"/>
        <v>333.7666167250201</v>
      </c>
      <c r="E25" s="188">
        <f t="shared" si="1"/>
        <v>-0.3333832749798944</v>
      </c>
      <c r="F25" s="175">
        <f t="shared" si="2"/>
        <v>0.11114440803631988</v>
      </c>
      <c r="H25" s="19"/>
    </row>
    <row r="26" spans="1:8" ht="12.75">
      <c r="A26" s="175"/>
      <c r="B26" s="189">
        <v>10</v>
      </c>
      <c r="C26" s="172">
        <v>337</v>
      </c>
      <c r="D26" s="175">
        <f t="shared" si="0"/>
        <v>337.43139750915526</v>
      </c>
      <c r="E26" s="188">
        <f t="shared" si="1"/>
        <v>0.43139750915526065</v>
      </c>
      <c r="F26" s="175">
        <f t="shared" si="2"/>
        <v>0.1861038109053632</v>
      </c>
      <c r="H26" s="19"/>
    </row>
    <row r="27" spans="1:8" ht="12.75">
      <c r="A27" s="175"/>
      <c r="B27" s="189">
        <v>11</v>
      </c>
      <c r="C27" s="172">
        <v>343.3</v>
      </c>
      <c r="D27" s="175">
        <f t="shared" si="0"/>
        <v>340.83734382589563</v>
      </c>
      <c r="E27" s="188">
        <f t="shared" si="1"/>
        <v>-2.4626561741043815</v>
      </c>
      <c r="F27" s="175">
        <f t="shared" si="2"/>
        <v>6.06467543185443</v>
      </c>
      <c r="H27" s="19"/>
    </row>
    <row r="28" spans="1:8" ht="12.75">
      <c r="A28" s="175"/>
      <c r="B28" s="189">
        <v>12</v>
      </c>
      <c r="C28" s="172">
        <v>344.7</v>
      </c>
      <c r="D28" s="175">
        <f t="shared" si="0"/>
        <v>344.0278058742394</v>
      </c>
      <c r="E28" s="188">
        <f t="shared" si="1"/>
        <v>-0.6721941257605977</v>
      </c>
      <c r="F28" s="175">
        <f t="shared" si="2"/>
        <v>0.4518449427070542</v>
      </c>
      <c r="H28" s="19"/>
    </row>
    <row r="29" spans="1:8" ht="12.75">
      <c r="A29" s="186"/>
      <c r="B29" s="189">
        <v>13</v>
      </c>
      <c r="C29" s="172">
        <v>345.3</v>
      </c>
      <c r="D29" s="175">
        <f t="shared" si="0"/>
        <v>347.0360000404319</v>
      </c>
      <c r="E29" s="188">
        <f t="shared" si="1"/>
        <v>1.7360000404318612</v>
      </c>
      <c r="F29" s="175">
        <f t="shared" si="2"/>
        <v>3.0136961403794236</v>
      </c>
      <c r="H29" s="19"/>
    </row>
    <row r="30" spans="1:8" ht="12.75">
      <c r="A30" s="175"/>
      <c r="B30" s="189">
        <v>14</v>
      </c>
      <c r="C30" s="172">
        <v>346</v>
      </c>
      <c r="D30" s="175">
        <f t="shared" si="0"/>
        <v>349.8878238459525</v>
      </c>
      <c r="E30" s="188">
        <f t="shared" si="1"/>
        <v>3.8878238459524823</v>
      </c>
      <c r="F30" s="175">
        <f t="shared" si="2"/>
        <v>15.11517425715675</v>
      </c>
      <c r="H30" s="19"/>
    </row>
    <row r="31" spans="1:8" ht="12.75">
      <c r="A31" s="186"/>
      <c r="B31" s="189">
        <v>15</v>
      </c>
      <c r="C31" s="172">
        <v>350.9</v>
      </c>
      <c r="D31" s="175">
        <f t="shared" si="0"/>
        <v>352.6045301481023</v>
      </c>
      <c r="E31" s="188">
        <f t="shared" si="1"/>
        <v>1.7045301481023216</v>
      </c>
      <c r="F31" s="175">
        <f t="shared" si="2"/>
        <v>2.9054230257897227</v>
      </c>
      <c r="H31" s="19"/>
    </row>
    <row r="32" spans="1:8" ht="12.75">
      <c r="A32" s="186"/>
      <c r="B32" s="189">
        <v>16</v>
      </c>
      <c r="C32" s="172">
        <v>354.1</v>
      </c>
      <c r="D32" s="175">
        <f t="shared" si="0"/>
        <v>355.2028678874033</v>
      </c>
      <c r="E32" s="188">
        <f t="shared" si="1"/>
        <v>1.1028678874032494</v>
      </c>
      <c r="F32" s="175">
        <f t="shared" si="2"/>
        <v>1.2163175770653063</v>
      </c>
      <c r="H32" s="19"/>
    </row>
    <row r="33" spans="1:8" ht="12.75">
      <c r="A33" s="186"/>
      <c r="B33" s="189">
        <v>17</v>
      </c>
      <c r="C33" s="172">
        <v>355.5</v>
      </c>
      <c r="D33" s="175">
        <f t="shared" si="0"/>
        <v>357.6970525511892</v>
      </c>
      <c r="E33" s="188">
        <f t="shared" si="1"/>
        <v>2.197052551189188</v>
      </c>
      <c r="F33" s="175">
        <f t="shared" si="2"/>
        <v>4.827039912686919</v>
      </c>
      <c r="H33" s="19"/>
    </row>
    <row r="34" spans="1:8" ht="12.75">
      <c r="A34" s="191"/>
      <c r="B34" s="189">
        <v>18</v>
      </c>
      <c r="C34" s="172">
        <v>357.8</v>
      </c>
      <c r="D34" s="175">
        <f t="shared" si="0"/>
        <v>360.0987661736057</v>
      </c>
      <c r="E34" s="188">
        <f t="shared" si="1"/>
        <v>2.2987661736057134</v>
      </c>
      <c r="F34" s="175">
        <f t="shared" si="2"/>
        <v>5.284325920913853</v>
      </c>
      <c r="H34" s="19"/>
    </row>
    <row r="35" spans="1:8" ht="12.75">
      <c r="A35" s="191"/>
      <c r="B35" s="189">
        <v>19</v>
      </c>
      <c r="C35" s="172">
        <v>359.8</v>
      </c>
      <c r="D35" s="175">
        <f t="shared" si="0"/>
        <v>362.41814256740565</v>
      </c>
      <c r="E35" s="188">
        <f t="shared" si="1"/>
        <v>2.6181425674056413</v>
      </c>
      <c r="F35" s="175">
        <f t="shared" si="2"/>
        <v>6.854670503261403</v>
      </c>
      <c r="H35" s="19"/>
    </row>
    <row r="36" spans="1:8" ht="12.75">
      <c r="A36" s="175"/>
      <c r="B36" s="189">
        <v>20</v>
      </c>
      <c r="C36" s="172">
        <v>361.5</v>
      </c>
      <c r="D36" s="175">
        <f t="shared" si="0"/>
        <v>364.6636265765497</v>
      </c>
      <c r="E36" s="188">
        <f t="shared" si="1"/>
        <v>3.1636265765496887</v>
      </c>
      <c r="F36" s="175">
        <f t="shared" si="2"/>
        <v>10.008533115851503</v>
      </c>
      <c r="H36" s="19"/>
    </row>
    <row r="37" spans="1:8" ht="12.75">
      <c r="A37" s="192"/>
      <c r="B37" s="189">
        <v>21</v>
      </c>
      <c r="C37" s="172">
        <v>364.5</v>
      </c>
      <c r="D37" s="175">
        <f t="shared" si="0"/>
        <v>366.8425370658037</v>
      </c>
      <c r="E37" s="188">
        <f t="shared" si="1"/>
        <v>2.342537065803697</v>
      </c>
      <c r="F37" s="175">
        <f t="shared" si="2"/>
        <v>5.487479904664194</v>
      </c>
      <c r="H37" s="19"/>
    </row>
    <row r="38" spans="1:8" ht="12.75">
      <c r="A38" s="191"/>
      <c r="B38" s="189">
        <v>22</v>
      </c>
      <c r="C38" s="172">
        <v>368</v>
      </c>
      <c r="D38" s="175">
        <f t="shared" si="0"/>
        <v>368.96134841553754</v>
      </c>
      <c r="E38" s="188">
        <f t="shared" si="1"/>
        <v>0.9613484155375431</v>
      </c>
      <c r="F38" s="175">
        <f t="shared" si="2"/>
        <v>0.9241907760565446</v>
      </c>
      <c r="H38" s="19"/>
    </row>
    <row r="39" spans="1:8" ht="12.75">
      <c r="A39" s="182"/>
      <c r="B39" s="189">
        <v>23</v>
      </c>
      <c r="C39" s="172">
        <v>369.4</v>
      </c>
      <c r="D39" s="175">
        <f t="shared" si="0"/>
        <v>371.02554977432567</v>
      </c>
      <c r="E39" s="188">
        <f t="shared" si="1"/>
        <v>1.625549774325691</v>
      </c>
      <c r="F39" s="175">
        <f t="shared" si="2"/>
        <v>2.642412068810305</v>
      </c>
      <c r="H39" s="19"/>
    </row>
    <row r="40" spans="1:8" ht="12.75">
      <c r="A40" s="175"/>
      <c r="B40" s="189">
        <v>24</v>
      </c>
      <c r="C40" s="172">
        <v>370.9</v>
      </c>
      <c r="D40" s="175">
        <f t="shared" si="0"/>
        <v>373.0400673011452</v>
      </c>
      <c r="E40" s="188">
        <f t="shared" si="1"/>
        <v>2.1400673011452227</v>
      </c>
      <c r="F40" s="175">
        <f t="shared" si="2"/>
        <v>4.579888053430997</v>
      </c>
      <c r="H40" s="19"/>
    </row>
    <row r="41" spans="1:8" ht="12.75">
      <c r="A41" s="186"/>
      <c r="B41" s="189">
        <v>25</v>
      </c>
      <c r="C41" s="172">
        <v>372.6</v>
      </c>
      <c r="D41" s="175">
        <f t="shared" si="0"/>
        <v>375.0092641653757</v>
      </c>
      <c r="E41" s="188">
        <f t="shared" si="1"/>
        <v>2.4092641653757028</v>
      </c>
      <c r="F41" s="175">
        <f t="shared" si="2"/>
        <v>5.804553818563481</v>
      </c>
      <c r="H41" s="19"/>
    </row>
    <row r="42" spans="1:8" ht="12.75">
      <c r="A42" s="182"/>
      <c r="B42" s="189">
        <v>26</v>
      </c>
      <c r="C42" s="172">
        <v>375.3</v>
      </c>
      <c r="D42" s="175">
        <f t="shared" si="0"/>
        <v>376.93722204159826</v>
      </c>
      <c r="E42" s="188">
        <f t="shared" si="1"/>
        <v>1.6372220415982497</v>
      </c>
      <c r="F42" s="175">
        <f t="shared" si="2"/>
        <v>2.6804960134951408</v>
      </c>
      <c r="H42" s="19"/>
    </row>
    <row r="43" spans="1:8" ht="12.75">
      <c r="A43" s="186"/>
      <c r="B43" s="189">
        <v>27</v>
      </c>
      <c r="C43" s="172">
        <v>378</v>
      </c>
      <c r="D43" s="175">
        <f t="shared" si="0"/>
        <v>378.82717811999777</v>
      </c>
      <c r="E43" s="188">
        <f t="shared" si="1"/>
        <v>0.8271781199977681</v>
      </c>
      <c r="F43" s="175">
        <f t="shared" si="2"/>
        <v>0.6842236422030421</v>
      </c>
      <c r="H43" s="19"/>
    </row>
    <row r="44" spans="1:8" ht="12.75">
      <c r="A44" s="175"/>
      <c r="B44" s="189">
        <v>28</v>
      </c>
      <c r="C44" s="172">
        <v>380.1</v>
      </c>
      <c r="D44" s="175">
        <f t="shared" si="0"/>
        <v>380.6825103381585</v>
      </c>
      <c r="E44" s="188">
        <f t="shared" si="1"/>
        <v>0.5825103381584995</v>
      </c>
      <c r="F44" s="175">
        <f t="shared" si="2"/>
        <v>0.33931829406152947</v>
      </c>
      <c r="H44" s="19"/>
    </row>
    <row r="45" spans="1:8" ht="12.75">
      <c r="A45" s="191"/>
      <c r="B45" s="189">
        <v>29</v>
      </c>
      <c r="C45" s="172">
        <v>383.2</v>
      </c>
      <c r="D45" s="175">
        <f t="shared" si="0"/>
        <v>382.505892896668</v>
      </c>
      <c r="E45" s="188">
        <f t="shared" si="1"/>
        <v>-0.6941071033319872</v>
      </c>
      <c r="F45" s="175">
        <f t="shared" si="2"/>
        <v>0.481784670895922</v>
      </c>
      <c r="H45" s="19"/>
    </row>
    <row r="46" spans="1:8" ht="12.75">
      <c r="A46" s="193"/>
      <c r="B46" s="189">
        <v>30</v>
      </c>
      <c r="C46" s="172">
        <v>384.3</v>
      </c>
      <c r="D46" s="175">
        <f t="shared" si="0"/>
        <v>384.29999999611385</v>
      </c>
      <c r="E46" s="188">
        <f t="shared" si="1"/>
        <v>-3.886157173838001E-09</v>
      </c>
      <c r="F46" s="175">
        <f t="shared" si="2"/>
        <v>1.5102217579772557E-17</v>
      </c>
      <c r="H46" s="19"/>
    </row>
    <row r="47" spans="1:8" ht="12.75">
      <c r="A47" s="175">
        <f>NORMINV(B47/100,D$3,D$4)</f>
        <v>386.0673650896842</v>
      </c>
      <c r="B47" s="189">
        <v>31</v>
      </c>
      <c r="C47" s="172">
        <v>384.8</v>
      </c>
      <c r="D47" s="175">
        <f t="shared" si="0"/>
        <v>386.0673650896842</v>
      </c>
      <c r="E47" s="188">
        <f t="shared" si="1"/>
        <v>1.2673650896841764</v>
      </c>
      <c r="F47" s="175">
        <f t="shared" si="2"/>
        <v>1.6062142705501805</v>
      </c>
      <c r="H47" s="19"/>
    </row>
    <row r="48" spans="1:8" ht="12.75">
      <c r="A48" s="182"/>
      <c r="B48" s="189">
        <v>32</v>
      </c>
      <c r="C48" s="172">
        <v>385.3</v>
      </c>
      <c r="D48" s="175">
        <f t="shared" si="0"/>
        <v>387.8099586409699</v>
      </c>
      <c r="E48" s="188">
        <f t="shared" si="1"/>
        <v>2.5099586409698986</v>
      </c>
      <c r="F48" s="175">
        <f t="shared" si="2"/>
        <v>6.29989237937946</v>
      </c>
      <c r="H48" s="19"/>
    </row>
    <row r="49" spans="1:8" ht="12.75">
      <c r="A49" s="193"/>
      <c r="B49" s="189">
        <v>33</v>
      </c>
      <c r="C49" s="172">
        <v>385.7</v>
      </c>
      <c r="D49" s="175">
        <f t="shared" si="0"/>
        <v>389.52989186096113</v>
      </c>
      <c r="E49" s="188">
        <f t="shared" si="1"/>
        <v>3.8298918609611405</v>
      </c>
      <c r="F49" s="175">
        <f t="shared" si="2"/>
        <v>14.668071666656388</v>
      </c>
      <c r="H49" s="19"/>
    </row>
    <row r="50" spans="1:8" ht="12.75">
      <c r="A50" s="191"/>
      <c r="B50" s="189">
        <v>34</v>
      </c>
      <c r="C50" s="172">
        <v>386.9</v>
      </c>
      <c r="D50" s="175">
        <f t="shared" si="0"/>
        <v>391.2291352132487</v>
      </c>
      <c r="E50" s="188">
        <f t="shared" si="1"/>
        <v>4.329135213248719</v>
      </c>
      <c r="F50" s="175">
        <f t="shared" si="2"/>
        <v>18.74141169459003</v>
      </c>
      <c r="H50" s="19"/>
    </row>
    <row r="51" spans="1:8" ht="12.75">
      <c r="A51" s="175"/>
      <c r="B51" s="189">
        <v>35</v>
      </c>
      <c r="C51" s="172">
        <v>389.8</v>
      </c>
      <c r="D51" s="175">
        <f t="shared" si="0"/>
        <v>392.90923691922535</v>
      </c>
      <c r="E51" s="188">
        <f t="shared" si="1"/>
        <v>3.1092369192253386</v>
      </c>
      <c r="F51" s="175">
        <f t="shared" si="2"/>
        <v>9.667354219873875</v>
      </c>
      <c r="H51" s="19"/>
    </row>
    <row r="52" spans="1:8" ht="12.75">
      <c r="A52" s="191"/>
      <c r="B52" s="189">
        <v>36</v>
      </c>
      <c r="C52" s="172">
        <v>391.9</v>
      </c>
      <c r="D52" s="175">
        <f t="shared" si="0"/>
        <v>394.5720266950826</v>
      </c>
      <c r="E52" s="188">
        <f t="shared" si="1"/>
        <v>2.67202669508265</v>
      </c>
      <c r="F52" s="175">
        <f t="shared" si="2"/>
        <v>7.1397266592343085</v>
      </c>
      <c r="H52" s="19"/>
    </row>
    <row r="53" spans="1:8" ht="12.75">
      <c r="A53" s="191"/>
      <c r="B53" s="189">
        <v>37</v>
      </c>
      <c r="C53" s="172">
        <v>393.9</v>
      </c>
      <c r="D53" s="175">
        <f t="shared" si="0"/>
        <v>396.218912014814</v>
      </c>
      <c r="E53" s="188">
        <f t="shared" si="1"/>
        <v>2.318912014814032</v>
      </c>
      <c r="F53" s="175">
        <f t="shared" si="2"/>
        <v>5.377352932448873</v>
      </c>
      <c r="H53" s="19"/>
    </row>
    <row r="54" spans="1:8" ht="12.75">
      <c r="A54" s="175"/>
      <c r="B54" s="189">
        <v>38</v>
      </c>
      <c r="C54" s="172">
        <v>395.2</v>
      </c>
      <c r="D54" s="175">
        <f t="shared" si="0"/>
        <v>397.85144109981223</v>
      </c>
      <c r="E54" s="188">
        <f t="shared" si="1"/>
        <v>2.6514410998122457</v>
      </c>
      <c r="F54" s="175">
        <f t="shared" si="2"/>
        <v>7.030139905773571</v>
      </c>
      <c r="H54" s="19"/>
    </row>
    <row r="55" spans="1:8" ht="12.75">
      <c r="A55" s="191"/>
      <c r="B55" s="189">
        <v>39</v>
      </c>
      <c r="C55" s="172">
        <v>396.7</v>
      </c>
      <c r="D55" s="175">
        <f t="shared" si="0"/>
        <v>399.47088067667136</v>
      </c>
      <c r="E55" s="188">
        <f t="shared" si="1"/>
        <v>2.770880676671368</v>
      </c>
      <c r="F55" s="175">
        <f t="shared" si="2"/>
        <v>7.677779724350778</v>
      </c>
      <c r="H55" s="19"/>
    </row>
    <row r="56" spans="1:8" ht="12.75">
      <c r="A56" s="175"/>
      <c r="B56" s="189">
        <v>40</v>
      </c>
      <c r="C56" s="172">
        <v>398.8</v>
      </c>
      <c r="D56" s="175">
        <f t="shared" si="0"/>
        <v>401.0786382193849</v>
      </c>
      <c r="E56" s="188">
        <f t="shared" si="1"/>
        <v>2.278638219384902</v>
      </c>
      <c r="F56" s="175">
        <f t="shared" si="2"/>
        <v>5.192192134841598</v>
      </c>
      <c r="H56" s="19"/>
    </row>
    <row r="57" spans="1:8" ht="12.75">
      <c r="A57" s="182"/>
      <c r="B57" s="189">
        <v>41</v>
      </c>
      <c r="C57" s="172">
        <v>401.4</v>
      </c>
      <c r="D57" s="175">
        <f t="shared" si="0"/>
        <v>402.675769333448</v>
      </c>
      <c r="E57" s="188">
        <f t="shared" si="1"/>
        <v>1.275769333448011</v>
      </c>
      <c r="F57" s="175">
        <f t="shared" si="2"/>
        <v>1.6275873921663822</v>
      </c>
      <c r="H57" s="19"/>
    </row>
    <row r="58" spans="1:8" ht="12.75">
      <c r="A58" s="191"/>
      <c r="B58" s="189">
        <v>42</v>
      </c>
      <c r="C58" s="172">
        <v>403.5</v>
      </c>
      <c r="D58" s="175">
        <f t="shared" si="0"/>
        <v>404.26361111915423</v>
      </c>
      <c r="E58" s="188">
        <f t="shared" si="1"/>
        <v>0.7636111191542341</v>
      </c>
      <c r="F58" s="175">
        <f t="shared" si="2"/>
        <v>0.5831019412959819</v>
      </c>
      <c r="H58" s="19"/>
    </row>
    <row r="59" spans="1:8" ht="12.75">
      <c r="A59" s="191"/>
      <c r="B59" s="189">
        <v>43</v>
      </c>
      <c r="C59" s="172">
        <v>405.4</v>
      </c>
      <c r="D59" s="175">
        <f t="shared" si="0"/>
        <v>405.8433599293982</v>
      </c>
      <c r="E59" s="188">
        <f t="shared" si="1"/>
        <v>0.4433599293982411</v>
      </c>
      <c r="F59" s="175">
        <f t="shared" si="2"/>
        <v>0.19656802699601333</v>
      </c>
      <c r="H59" s="19"/>
    </row>
    <row r="60" spans="1:8" ht="12.75">
      <c r="A60" s="182"/>
      <c r="B60" s="189">
        <v>44</v>
      </c>
      <c r="C60" s="173">
        <v>407.3</v>
      </c>
      <c r="D60" s="175">
        <f t="shared" si="0"/>
        <v>407.41593062227565</v>
      </c>
      <c r="E60" s="188">
        <f t="shared" si="1"/>
        <v>0.11593062227564133</v>
      </c>
      <c r="F60" s="175">
        <f t="shared" si="2"/>
        <v>0.013439909181217425</v>
      </c>
      <c r="H60" s="19"/>
    </row>
    <row r="61" spans="1:8" ht="12.75">
      <c r="A61" s="182"/>
      <c r="B61" s="189">
        <v>45</v>
      </c>
      <c r="C61" s="172">
        <v>408.7</v>
      </c>
      <c r="D61" s="175">
        <f t="shared" si="0"/>
        <v>408.9825195506809</v>
      </c>
      <c r="E61" s="188">
        <f t="shared" si="1"/>
        <v>0.2825195506808882</v>
      </c>
      <c r="F61" s="175">
        <f t="shared" si="2"/>
        <v>0.07981729651693095</v>
      </c>
      <c r="H61" s="19"/>
    </row>
    <row r="62" spans="1:8" ht="12.75">
      <c r="A62" s="193"/>
      <c r="B62" s="189">
        <v>46</v>
      </c>
      <c r="C62" s="172">
        <v>410.3</v>
      </c>
      <c r="D62" s="175">
        <f t="shared" si="0"/>
        <v>410.5441823201091</v>
      </c>
      <c r="E62" s="188">
        <f t="shared" si="1"/>
        <v>0.2441823201090756</v>
      </c>
      <c r="F62" s="175">
        <f t="shared" si="2"/>
        <v>0.05962500545385106</v>
      </c>
      <c r="H62" s="19"/>
    </row>
    <row r="63" spans="1:8" ht="12.75">
      <c r="A63" s="193"/>
      <c r="B63" s="189">
        <v>47</v>
      </c>
      <c r="C63" s="172">
        <v>412.3</v>
      </c>
      <c r="D63" s="175">
        <f t="shared" si="0"/>
        <v>412.10183378865594</v>
      </c>
      <c r="E63" s="188">
        <f t="shared" si="1"/>
        <v>-0.19816621134407342</v>
      </c>
      <c r="F63" s="175">
        <f t="shared" si="2"/>
        <v>0.039269847318463974</v>
      </c>
      <c r="H63" s="19"/>
    </row>
    <row r="64" spans="1:8" ht="12.75">
      <c r="A64" s="193"/>
      <c r="B64" s="189">
        <v>48</v>
      </c>
      <c r="C64" s="173">
        <v>414.5</v>
      </c>
      <c r="D64" s="175">
        <f t="shared" si="0"/>
        <v>413.65652956181657</v>
      </c>
      <c r="E64" s="188">
        <f t="shared" si="1"/>
        <v>-0.8434704381834308</v>
      </c>
      <c r="F64" s="175">
        <f t="shared" si="2"/>
        <v>0.7114423800893488</v>
      </c>
      <c r="H64" s="19"/>
    </row>
    <row r="65" spans="1:8" ht="12.75">
      <c r="A65" s="191"/>
      <c r="B65" s="189">
        <v>49</v>
      </c>
      <c r="C65" s="173">
        <v>416.4</v>
      </c>
      <c r="D65" s="175">
        <f t="shared" si="0"/>
        <v>415.20932524508606</v>
      </c>
      <c r="E65" s="188">
        <f t="shared" si="1"/>
        <v>-1.190674754913914</v>
      </c>
      <c r="F65" s="175">
        <f t="shared" si="2"/>
        <v>1.4177063719893093</v>
      </c>
      <c r="H65" s="19"/>
    </row>
    <row r="66" spans="1:8" ht="12.75">
      <c r="A66" s="186"/>
      <c r="B66" s="189">
        <v>50</v>
      </c>
      <c r="C66" s="172">
        <v>418.7</v>
      </c>
      <c r="D66" s="175">
        <f t="shared" si="0"/>
        <v>416.76113569656013</v>
      </c>
      <c r="E66" s="188">
        <f t="shared" si="1"/>
        <v>-1.938864303439857</v>
      </c>
      <c r="F66" s="175">
        <f t="shared" si="2"/>
        <v>3.7591947871533216</v>
      </c>
      <c r="H66" s="19"/>
    </row>
    <row r="67" spans="1:8" ht="12.75">
      <c r="A67" s="186"/>
      <c r="B67" s="189">
        <v>51</v>
      </c>
      <c r="C67" s="172">
        <v>420.3</v>
      </c>
      <c r="D67" s="175">
        <f t="shared" si="0"/>
        <v>418.3129461480342</v>
      </c>
      <c r="E67" s="188">
        <f t="shared" si="1"/>
        <v>-1.9870538519658112</v>
      </c>
      <c r="F67" s="175">
        <f t="shared" si="2"/>
        <v>3.948383010612168</v>
      </c>
      <c r="H67" s="19"/>
    </row>
    <row r="68" spans="1:8" ht="12.75">
      <c r="A68" s="191"/>
      <c r="B68" s="189">
        <v>52</v>
      </c>
      <c r="C68" s="172">
        <v>420.9</v>
      </c>
      <c r="D68" s="175">
        <f t="shared" si="0"/>
        <v>419.8657418313037</v>
      </c>
      <c r="E68" s="188">
        <f t="shared" si="1"/>
        <v>-1.034258168696283</v>
      </c>
      <c r="F68" s="175">
        <f t="shared" si="2"/>
        <v>1.0696899595149891</v>
      </c>
      <c r="H68" s="19"/>
    </row>
    <row r="69" spans="1:8" ht="12.75">
      <c r="A69" s="191"/>
      <c r="B69" s="189">
        <v>53</v>
      </c>
      <c r="C69" s="172">
        <v>421.4</v>
      </c>
      <c r="D69" s="175">
        <f t="shared" si="0"/>
        <v>421.4204376044643</v>
      </c>
      <c r="E69" s="188">
        <f t="shared" si="1"/>
        <v>0.02043760446434817</v>
      </c>
      <c r="F69" s="175">
        <f t="shared" si="2"/>
        <v>0.00041769567624114424</v>
      </c>
      <c r="H69" s="19"/>
    </row>
    <row r="70" spans="1:8" ht="12.75">
      <c r="A70" s="175"/>
      <c r="B70" s="189">
        <v>54</v>
      </c>
      <c r="C70" s="172">
        <v>421.8</v>
      </c>
      <c r="D70" s="175">
        <f t="shared" si="0"/>
        <v>422.9780890730112</v>
      </c>
      <c r="E70" s="188">
        <f t="shared" si="1"/>
        <v>1.178089073011165</v>
      </c>
      <c r="F70" s="175">
        <f t="shared" si="2"/>
        <v>1.3878938639483063</v>
      </c>
      <c r="H70" s="19"/>
    </row>
    <row r="71" spans="1:8" ht="12.75">
      <c r="A71" s="191"/>
      <c r="B71" s="189">
        <v>55</v>
      </c>
      <c r="C71" s="172">
        <v>423.5</v>
      </c>
      <c r="D71" s="175">
        <f t="shared" si="0"/>
        <v>424.5397518424394</v>
      </c>
      <c r="E71" s="188">
        <f t="shared" si="1"/>
        <v>1.0397518424393866</v>
      </c>
      <c r="F71" s="175">
        <f t="shared" si="2"/>
        <v>1.081083893856099</v>
      </c>
      <c r="H71" s="19"/>
    </row>
    <row r="72" spans="1:8" ht="12.75">
      <c r="A72" s="182"/>
      <c r="B72" s="189">
        <v>56</v>
      </c>
      <c r="C72" s="172">
        <v>425.6</v>
      </c>
      <c r="D72" s="175">
        <f aca="true" t="shared" si="3" ref="D72:D126">NORMINV(B72/100,$D$3,$D$4)</f>
        <v>426.1063407708446</v>
      </c>
      <c r="E72" s="188">
        <f t="shared" si="1"/>
        <v>0.506340770844588</v>
      </c>
      <c r="F72" s="175">
        <f t="shared" si="2"/>
        <v>0.2563809762194915</v>
      </c>
      <c r="H72" s="19"/>
    </row>
    <row r="73" spans="1:8" ht="12.75">
      <c r="A73" s="175"/>
      <c r="B73" s="189">
        <v>57</v>
      </c>
      <c r="C73" s="172">
        <v>426.6</v>
      </c>
      <c r="D73" s="175">
        <f t="shared" si="3"/>
        <v>427.67891146372205</v>
      </c>
      <c r="E73" s="188">
        <f t="shared" si="1"/>
        <v>1.0789114637220223</v>
      </c>
      <c r="F73" s="175">
        <f t="shared" si="2"/>
        <v>1.1640499465507965</v>
      </c>
      <c r="H73" s="19"/>
    </row>
    <row r="74" spans="1:8" ht="12.75">
      <c r="A74" s="191"/>
      <c r="B74" s="189">
        <v>58</v>
      </c>
      <c r="C74" s="172">
        <v>428.2</v>
      </c>
      <c r="D74" s="175">
        <f t="shared" si="3"/>
        <v>429.25866027396603</v>
      </c>
      <c r="E74" s="188">
        <f t="shared" si="1"/>
        <v>1.0586602739660407</v>
      </c>
      <c r="F74" s="175">
        <f t="shared" si="2"/>
        <v>1.1207615756738523</v>
      </c>
      <c r="H74" s="19"/>
    </row>
    <row r="75" spans="1:8" ht="12.75">
      <c r="A75" s="193"/>
      <c r="B75" s="189">
        <v>59</v>
      </c>
      <c r="C75" s="172">
        <v>430.4</v>
      </c>
      <c r="D75" s="175">
        <f t="shared" si="3"/>
        <v>430.8465020596723</v>
      </c>
      <c r="E75" s="188">
        <f t="shared" si="1"/>
        <v>0.44650205967229795</v>
      </c>
      <c r="F75" s="175">
        <f t="shared" si="2"/>
        <v>0.19936408929160432</v>
      </c>
      <c r="H75" s="19"/>
    </row>
    <row r="76" spans="1:8" ht="12.75">
      <c r="A76" s="186"/>
      <c r="B76" s="189">
        <v>60</v>
      </c>
      <c r="C76" s="172">
        <v>432.4</v>
      </c>
      <c r="D76" s="175">
        <f t="shared" si="3"/>
        <v>432.44363317373535</v>
      </c>
      <c r="E76" s="188">
        <f t="shared" si="1"/>
        <v>0.043633173735372566</v>
      </c>
      <c r="F76" s="175">
        <f t="shared" si="2"/>
        <v>0.0019038538502212062</v>
      </c>
      <c r="H76" s="19"/>
    </row>
    <row r="77" spans="1:8" ht="12.75">
      <c r="A77" s="191"/>
      <c r="B77" s="189">
        <v>61</v>
      </c>
      <c r="C77" s="172">
        <v>434</v>
      </c>
      <c r="D77" s="175">
        <f t="shared" si="3"/>
        <v>434.0513907164489</v>
      </c>
      <c r="E77" s="188">
        <f t="shared" si="1"/>
        <v>0.051390716448906915</v>
      </c>
      <c r="F77" s="175">
        <f t="shared" si="2"/>
        <v>0.002641005737131952</v>
      </c>
      <c r="H77" s="19"/>
    </row>
    <row r="78" spans="1:8" ht="12.75">
      <c r="A78" s="191"/>
      <c r="B78" s="189">
        <v>62</v>
      </c>
      <c r="C78" s="172">
        <v>436.6</v>
      </c>
      <c r="D78" s="175">
        <f t="shared" si="3"/>
        <v>435.67083029330803</v>
      </c>
      <c r="E78" s="188">
        <f t="shared" si="1"/>
        <v>-0.9291697066919937</v>
      </c>
      <c r="F78" s="175">
        <f t="shared" si="2"/>
        <v>0.8633563438340857</v>
      </c>
      <c r="H78" s="19"/>
    </row>
    <row r="79" spans="1:8" ht="12.75">
      <c r="A79" s="191"/>
      <c r="B79" s="189">
        <v>63</v>
      </c>
      <c r="C79" s="172">
        <v>438.7</v>
      </c>
      <c r="D79" s="175">
        <f t="shared" si="3"/>
        <v>437.30335937830625</v>
      </c>
      <c r="E79" s="188">
        <f t="shared" si="1"/>
        <v>-1.3966406216937344</v>
      </c>
      <c r="F79" s="175">
        <f t="shared" si="2"/>
        <v>1.950605026165061</v>
      </c>
      <c r="H79" s="19"/>
    </row>
    <row r="80" spans="1:8" ht="12.75">
      <c r="A80" s="191"/>
      <c r="B80" s="189">
        <v>64</v>
      </c>
      <c r="C80" s="172">
        <v>440.3</v>
      </c>
      <c r="D80" s="175">
        <f t="shared" si="3"/>
        <v>438.95024469803764</v>
      </c>
      <c r="E80" s="188">
        <f t="shared" si="1"/>
        <v>-1.3497553019623751</v>
      </c>
      <c r="F80" s="175">
        <f t="shared" si="2"/>
        <v>1.8218393751755424</v>
      </c>
      <c r="H80" s="19"/>
    </row>
    <row r="81" spans="1:8" ht="12.75">
      <c r="A81" s="175"/>
      <c r="B81" s="189">
        <v>65</v>
      </c>
      <c r="C81" s="172">
        <v>441.6</v>
      </c>
      <c r="D81" s="175">
        <f t="shared" si="3"/>
        <v>440.6130344738949</v>
      </c>
      <c r="E81" s="188">
        <f t="shared" si="1"/>
        <v>-0.9869655261051093</v>
      </c>
      <c r="F81" s="175">
        <f t="shared" si="2"/>
        <v>0.9741009497199353</v>
      </c>
      <c r="H81" s="19"/>
    </row>
    <row r="82" spans="1:8" ht="12.75">
      <c r="A82" s="186"/>
      <c r="B82" s="189">
        <v>66</v>
      </c>
      <c r="C82" s="172">
        <v>443.3</v>
      </c>
      <c r="D82" s="175">
        <f t="shared" si="3"/>
        <v>442.29313617987157</v>
      </c>
      <c r="E82" s="188">
        <f aca="true" t="shared" si="4" ref="E82:E115">D82-C82</f>
        <v>-1.0068638201284443</v>
      </c>
      <c r="F82" s="175">
        <f aca="true" t="shared" si="5" ref="F82:F115">E82*E82</f>
        <v>1.0137747522836442</v>
      </c>
      <c r="H82" s="19"/>
    </row>
    <row r="83" spans="1:8" ht="12.75">
      <c r="A83" s="182"/>
      <c r="B83" s="189">
        <v>67</v>
      </c>
      <c r="C83" s="172">
        <v>445.1</v>
      </c>
      <c r="D83" s="175">
        <f t="shared" si="3"/>
        <v>443.99237953215913</v>
      </c>
      <c r="E83" s="188">
        <f t="shared" si="4"/>
        <v>-1.1076204678408885</v>
      </c>
      <c r="F83" s="175">
        <f t="shared" si="5"/>
        <v>1.2268231007800687</v>
      </c>
      <c r="H83" s="19"/>
    </row>
    <row r="84" spans="1:8" ht="12.75">
      <c r="A84" s="194"/>
      <c r="B84" s="189">
        <v>68</v>
      </c>
      <c r="C84" s="172">
        <v>446.3</v>
      </c>
      <c r="D84" s="175">
        <f t="shared" si="3"/>
        <v>445.71231275215035</v>
      </c>
      <c r="E84" s="188">
        <f t="shared" si="4"/>
        <v>-0.587687247849658</v>
      </c>
      <c r="F84" s="175">
        <f t="shared" si="5"/>
        <v>0.3453763012851053</v>
      </c>
      <c r="H84" s="19"/>
    </row>
    <row r="85" spans="1:8" ht="12.75">
      <c r="A85" s="195"/>
      <c r="B85" s="189">
        <v>69</v>
      </c>
      <c r="C85" s="172">
        <v>447.9</v>
      </c>
      <c r="D85" s="175">
        <f t="shared" si="3"/>
        <v>447.4549063034361</v>
      </c>
      <c r="E85" s="188">
        <f t="shared" si="4"/>
        <v>-0.44509369656390163</v>
      </c>
      <c r="F85" s="175">
        <f t="shared" si="5"/>
        <v>0.19810839872091854</v>
      </c>
      <c r="H85" s="19"/>
    </row>
    <row r="86" spans="1:8" ht="12.75">
      <c r="A86" s="186"/>
      <c r="B86" s="189">
        <v>70</v>
      </c>
      <c r="C86" s="172">
        <v>450.5</v>
      </c>
      <c r="D86" s="175">
        <f t="shared" si="3"/>
        <v>449.2222713970064</v>
      </c>
      <c r="E86" s="188">
        <f t="shared" si="4"/>
        <v>-1.2777286029935908</v>
      </c>
      <c r="F86" s="175">
        <f t="shared" si="5"/>
        <v>1.632590382907953</v>
      </c>
      <c r="H86" s="19"/>
    </row>
    <row r="87" spans="1:8" ht="12.75">
      <c r="A87" s="195"/>
      <c r="B87" s="189">
        <v>71</v>
      </c>
      <c r="C87" s="172">
        <v>452.7</v>
      </c>
      <c r="D87" s="175">
        <f t="shared" si="3"/>
        <v>451.01637849645226</v>
      </c>
      <c r="E87" s="188">
        <f t="shared" si="4"/>
        <v>-1.6836215035477267</v>
      </c>
      <c r="F87" s="175">
        <f t="shared" si="5"/>
        <v>2.834581367208308</v>
      </c>
      <c r="H87" s="19"/>
    </row>
    <row r="88" spans="1:8" ht="12.75">
      <c r="A88" s="182"/>
      <c r="B88" s="189">
        <v>72</v>
      </c>
      <c r="C88" s="172">
        <v>454</v>
      </c>
      <c r="D88" s="175">
        <f t="shared" si="3"/>
        <v>452.83976105496174</v>
      </c>
      <c r="E88" s="188">
        <f t="shared" si="4"/>
        <v>-1.1602389450382589</v>
      </c>
      <c r="F88" s="175">
        <f t="shared" si="5"/>
        <v>1.3461544095834919</v>
      </c>
      <c r="H88" s="19"/>
    </row>
    <row r="89" spans="1:8" ht="12.75">
      <c r="A89" s="195"/>
      <c r="B89" s="189">
        <v>73</v>
      </c>
      <c r="C89" s="172">
        <v>454.6</v>
      </c>
      <c r="D89" s="175">
        <f t="shared" si="3"/>
        <v>454.6950932731225</v>
      </c>
      <c r="E89" s="188">
        <f t="shared" si="4"/>
        <v>0.09509327312247251</v>
      </c>
      <c r="F89" s="175">
        <f t="shared" si="5"/>
        <v>0.009042730593145153</v>
      </c>
      <c r="H89" s="19"/>
    </row>
    <row r="90" spans="1:8" ht="12.75">
      <c r="A90" s="195"/>
      <c r="B90" s="189">
        <v>74</v>
      </c>
      <c r="C90" s="172">
        <v>455.1</v>
      </c>
      <c r="D90" s="175">
        <f t="shared" si="3"/>
        <v>456.585049351522</v>
      </c>
      <c r="E90" s="188">
        <f t="shared" si="4"/>
        <v>1.4850493515219796</v>
      </c>
      <c r="F90" s="175">
        <f t="shared" si="5"/>
        <v>2.205371576455852</v>
      </c>
      <c r="H90" s="19"/>
    </row>
    <row r="91" spans="1:8" ht="12.75">
      <c r="A91" s="186"/>
      <c r="B91" s="189">
        <v>75</v>
      </c>
      <c r="C91" s="172">
        <v>456</v>
      </c>
      <c r="D91" s="175">
        <f t="shared" si="3"/>
        <v>458.51300722774454</v>
      </c>
      <c r="E91" s="188">
        <f t="shared" si="4"/>
        <v>2.513007227744538</v>
      </c>
      <c r="F91" s="175">
        <f t="shared" si="5"/>
        <v>6.3152053266962875</v>
      </c>
      <c r="H91" s="19"/>
    </row>
    <row r="92" spans="1:8" ht="12.75">
      <c r="A92" s="186"/>
      <c r="B92" s="189">
        <v>76</v>
      </c>
      <c r="C92" s="172">
        <v>458.8</v>
      </c>
      <c r="D92" s="175">
        <f t="shared" si="3"/>
        <v>460.48220409197506</v>
      </c>
      <c r="E92" s="188">
        <f t="shared" si="4"/>
        <v>1.682204091975052</v>
      </c>
      <c r="F92" s="175">
        <f t="shared" si="5"/>
        <v>2.8298106070576092</v>
      </c>
      <c r="H92" s="19"/>
    </row>
    <row r="93" spans="1:8" ht="12.75">
      <c r="A93" s="195"/>
      <c r="B93" s="189">
        <v>77</v>
      </c>
      <c r="C93" s="172">
        <v>460.8</v>
      </c>
      <c r="D93" s="175">
        <f t="shared" si="3"/>
        <v>462.4967216187946</v>
      </c>
      <c r="E93" s="188">
        <f t="shared" si="4"/>
        <v>1.6967216187945837</v>
      </c>
      <c r="F93" s="175">
        <f t="shared" si="5"/>
        <v>2.8788642516849126</v>
      </c>
      <c r="H93" s="19"/>
    </row>
    <row r="94" spans="1:8" ht="12.75">
      <c r="A94" s="195"/>
      <c r="B94" s="189">
        <v>78</v>
      </c>
      <c r="C94" s="172">
        <v>463.7</v>
      </c>
      <c r="D94" s="175">
        <f t="shared" si="3"/>
        <v>464.5609229775827</v>
      </c>
      <c r="E94" s="188">
        <f t="shared" si="4"/>
        <v>0.8609229775827316</v>
      </c>
      <c r="F94" s="175">
        <f t="shared" si="5"/>
        <v>0.7411883733299166</v>
      </c>
      <c r="H94" s="19"/>
    </row>
    <row r="95" spans="1:8" ht="12.75">
      <c r="A95" s="186"/>
      <c r="B95" s="189">
        <v>79</v>
      </c>
      <c r="C95" s="172">
        <v>466.7</v>
      </c>
      <c r="D95" s="175">
        <f t="shared" si="3"/>
        <v>466.67973432731657</v>
      </c>
      <c r="E95" s="188">
        <f t="shared" si="4"/>
        <v>-0.020265672683422054</v>
      </c>
      <c r="F95" s="175">
        <f t="shared" si="5"/>
        <v>0.0004106974893115988</v>
      </c>
      <c r="H95" s="19"/>
    </row>
    <row r="96" spans="1:8" ht="12.75">
      <c r="A96" s="182"/>
      <c r="B96" s="189">
        <v>80</v>
      </c>
      <c r="C96" s="173">
        <v>469.7</v>
      </c>
      <c r="D96" s="175">
        <f t="shared" si="3"/>
        <v>468.8586448165706</v>
      </c>
      <c r="E96" s="188">
        <f t="shared" si="4"/>
        <v>-0.841355183429414</v>
      </c>
      <c r="F96" s="175">
        <f t="shared" si="5"/>
        <v>0.7078785446835428</v>
      </c>
      <c r="H96" s="19"/>
    </row>
    <row r="97" spans="1:8" ht="12.75">
      <c r="A97" s="175"/>
      <c r="B97" s="189">
        <v>81</v>
      </c>
      <c r="C97" s="173">
        <v>472.6</v>
      </c>
      <c r="D97" s="175">
        <f t="shared" si="3"/>
        <v>471.1041288257146</v>
      </c>
      <c r="E97" s="188">
        <f t="shared" si="4"/>
        <v>-1.495871174285412</v>
      </c>
      <c r="F97" s="175">
        <f t="shared" si="5"/>
        <v>2.2376305700580175</v>
      </c>
      <c r="H97" s="19"/>
    </row>
    <row r="98" spans="1:8" ht="12.75">
      <c r="A98" s="182"/>
      <c r="B98" s="189">
        <v>82</v>
      </c>
      <c r="C98" s="172">
        <v>475</v>
      </c>
      <c r="D98" s="175">
        <f t="shared" si="3"/>
        <v>473.42350521951454</v>
      </c>
      <c r="E98" s="188">
        <f t="shared" si="4"/>
        <v>-1.5764947804854614</v>
      </c>
      <c r="F98" s="175">
        <f t="shared" si="5"/>
        <v>2.4853357928979034</v>
      </c>
      <c r="H98" s="19"/>
    </row>
    <row r="99" spans="1:8" ht="12.75">
      <c r="A99" s="182"/>
      <c r="B99" s="189">
        <v>83</v>
      </c>
      <c r="C99" s="172">
        <v>477.3</v>
      </c>
      <c r="D99" s="175">
        <f t="shared" si="3"/>
        <v>475.8252188419311</v>
      </c>
      <c r="E99" s="188">
        <f t="shared" si="4"/>
        <v>-1.4747811580689358</v>
      </c>
      <c r="F99" s="175">
        <f t="shared" si="5"/>
        <v>2.1749794641951516</v>
      </c>
      <c r="H99" s="19"/>
    </row>
    <row r="100" spans="1:8" ht="12.75">
      <c r="A100" s="186"/>
      <c r="B100" s="189">
        <v>84</v>
      </c>
      <c r="C100" s="172">
        <v>480</v>
      </c>
      <c r="D100" s="175">
        <f t="shared" si="3"/>
        <v>478.319403505717</v>
      </c>
      <c r="E100" s="188">
        <f t="shared" si="4"/>
        <v>-1.6805964942830087</v>
      </c>
      <c r="F100" s="175">
        <f t="shared" si="5"/>
        <v>2.824404576596339</v>
      </c>
      <c r="H100" s="19"/>
    </row>
    <row r="101" spans="1:8" ht="12.75">
      <c r="A101" s="182"/>
      <c r="B101" s="189">
        <v>85</v>
      </c>
      <c r="C101" s="172">
        <v>481.9</v>
      </c>
      <c r="D101" s="175">
        <f t="shared" si="3"/>
        <v>480.91774124501796</v>
      </c>
      <c r="E101" s="188">
        <f t="shared" si="4"/>
        <v>-0.9822587549820128</v>
      </c>
      <c r="F101" s="175">
        <f t="shared" si="5"/>
        <v>0.9648322617388138</v>
      </c>
      <c r="H101" s="19"/>
    </row>
    <row r="102" spans="1:8" ht="12.75">
      <c r="A102" s="182"/>
      <c r="B102" s="189">
        <v>86</v>
      </c>
      <c r="C102" s="172">
        <v>485.2</v>
      </c>
      <c r="D102" s="175">
        <f t="shared" si="3"/>
        <v>483.6344475471678</v>
      </c>
      <c r="E102" s="188">
        <f t="shared" si="4"/>
        <v>-1.5655524528322076</v>
      </c>
      <c r="F102" s="175">
        <f t="shared" si="5"/>
        <v>2.4509544825689416</v>
      </c>
      <c r="H102" s="19"/>
    </row>
    <row r="103" spans="1:8" ht="12.75">
      <c r="A103" s="182"/>
      <c r="B103" s="189">
        <v>87</v>
      </c>
      <c r="C103" s="172">
        <v>487.1</v>
      </c>
      <c r="D103" s="175">
        <f t="shared" si="3"/>
        <v>486.4862713526884</v>
      </c>
      <c r="E103" s="188">
        <f t="shared" si="4"/>
        <v>-0.6137286473116319</v>
      </c>
      <c r="F103" s="175">
        <f t="shared" si="5"/>
        <v>0.3766628525309655</v>
      </c>
      <c r="H103" s="19"/>
    </row>
    <row r="104" spans="1:8" ht="12.75">
      <c r="A104" s="182"/>
      <c r="B104" s="189">
        <v>88</v>
      </c>
      <c r="C104" s="172">
        <v>487.9</v>
      </c>
      <c r="D104" s="175">
        <f t="shared" si="3"/>
        <v>489.4944655188809</v>
      </c>
      <c r="E104" s="188">
        <f t="shared" si="4"/>
        <v>1.5944655188808952</v>
      </c>
      <c r="F104" s="175">
        <f t="shared" si="5"/>
        <v>2.5423202909001223</v>
      </c>
      <c r="H104" s="19"/>
    </row>
    <row r="105" spans="1:8" ht="12.75">
      <c r="A105" s="182"/>
      <c r="B105" s="189">
        <v>89</v>
      </c>
      <c r="C105" s="172">
        <v>489.9</v>
      </c>
      <c r="D105" s="175">
        <f t="shared" si="3"/>
        <v>492.68492756722463</v>
      </c>
      <c r="E105" s="188">
        <f t="shared" si="4"/>
        <v>2.7849275672246563</v>
      </c>
      <c r="F105" s="175">
        <f t="shared" si="5"/>
        <v>7.755821554687842</v>
      </c>
      <c r="H105" s="19"/>
    </row>
    <row r="106" spans="1:8" ht="12.75">
      <c r="A106" s="196"/>
      <c r="B106" s="189">
        <v>90</v>
      </c>
      <c r="C106" s="172">
        <v>493.9</v>
      </c>
      <c r="D106" s="175">
        <f t="shared" si="3"/>
        <v>496.090873883965</v>
      </c>
      <c r="E106" s="188">
        <f t="shared" si="4"/>
        <v>2.1908738839650255</v>
      </c>
      <c r="F106" s="175">
        <f t="shared" si="5"/>
        <v>4.799928375439996</v>
      </c>
      <c r="H106" s="19"/>
    </row>
    <row r="107" spans="1:8" ht="12.75">
      <c r="A107" s="175"/>
      <c r="B107" s="189">
        <v>91</v>
      </c>
      <c r="C107" s="172">
        <v>499</v>
      </c>
      <c r="D107" s="175">
        <f t="shared" si="3"/>
        <v>499.75565466810014</v>
      </c>
      <c r="E107" s="188">
        <f t="shared" si="4"/>
        <v>0.755654668100135</v>
      </c>
      <c r="F107" s="175">
        <f t="shared" si="5"/>
        <v>0.5710139774215253</v>
      </c>
      <c r="H107" s="19"/>
    </row>
    <row r="108" spans="1:8" ht="12.75">
      <c r="A108" s="175"/>
      <c r="B108" s="189">
        <v>92</v>
      </c>
      <c r="C108" s="172">
        <v>503.6</v>
      </c>
      <c r="D108" s="175">
        <f t="shared" si="3"/>
        <v>503.73711710076066</v>
      </c>
      <c r="E108" s="188">
        <f t="shared" si="4"/>
        <v>0.13711710076063355</v>
      </c>
      <c r="F108" s="175">
        <f t="shared" si="5"/>
        <v>0.018801099321001734</v>
      </c>
      <c r="H108" s="19"/>
    </row>
    <row r="109" spans="1:8" ht="12.75">
      <c r="A109" s="175"/>
      <c r="B109" s="189">
        <v>93</v>
      </c>
      <c r="C109" s="172">
        <v>507.9</v>
      </c>
      <c r="D109" s="175">
        <f t="shared" si="3"/>
        <v>508.1146427151769</v>
      </c>
      <c r="E109" s="188">
        <f t="shared" si="4"/>
        <v>0.21464271517692168</v>
      </c>
      <c r="F109" s="175">
        <f t="shared" si="5"/>
        <v>0.046071495178521125</v>
      </c>
      <c r="H109" s="19"/>
    </row>
    <row r="110" spans="1:8" ht="12.75">
      <c r="A110" s="175"/>
      <c r="B110" s="189">
        <v>94</v>
      </c>
      <c r="C110" s="172">
        <v>513.5</v>
      </c>
      <c r="D110" s="175">
        <f t="shared" si="3"/>
        <v>513.0036443788115</v>
      </c>
      <c r="E110" s="188">
        <f t="shared" si="4"/>
        <v>-0.4963556211885134</v>
      </c>
      <c r="F110" s="175">
        <f t="shared" si="5"/>
        <v>0.24636890268543502</v>
      </c>
      <c r="H110" s="19"/>
    </row>
    <row r="111" spans="1:8" ht="12.75">
      <c r="A111" s="175"/>
      <c r="B111" s="189">
        <v>95</v>
      </c>
      <c r="C111" s="172">
        <v>518.6</v>
      </c>
      <c r="D111" s="175">
        <f t="shared" si="3"/>
        <v>518.5797748460466</v>
      </c>
      <c r="E111" s="188">
        <f t="shared" si="4"/>
        <v>-0.02022515395344726</v>
      </c>
      <c r="F111" s="175">
        <f t="shared" si="5"/>
        <v>0.0004090568524406434</v>
      </c>
      <c r="H111" s="19"/>
    </row>
    <row r="112" spans="1:8" ht="12.75">
      <c r="A112" s="175"/>
      <c r="B112" s="189">
        <v>96</v>
      </c>
      <c r="C112" s="172">
        <v>525.6</v>
      </c>
      <c r="D112" s="175">
        <f t="shared" si="3"/>
        <v>525.131003295941</v>
      </c>
      <c r="E112" s="188">
        <f t="shared" si="4"/>
        <v>-0.46899670405900906</v>
      </c>
      <c r="F112" s="175">
        <f t="shared" si="5"/>
        <v>0.21995790841821372</v>
      </c>
      <c r="H112" s="19"/>
    </row>
    <row r="113" spans="1:8" ht="12.75">
      <c r="A113" s="175"/>
      <c r="B113" s="189">
        <v>97</v>
      </c>
      <c r="C113" s="172">
        <v>536.2</v>
      </c>
      <c r="D113" s="175">
        <f t="shared" si="3"/>
        <v>533.18456948644</v>
      </c>
      <c r="E113" s="188">
        <f t="shared" si="4"/>
        <v>-3.0154305135600907</v>
      </c>
      <c r="F113" s="175">
        <f t="shared" si="5"/>
        <v>9.092821182109272</v>
      </c>
      <c r="H113" s="19"/>
    </row>
    <row r="114" spans="1:8" ht="12.75">
      <c r="A114" s="175"/>
      <c r="B114" s="189">
        <v>98</v>
      </c>
      <c r="C114" s="172">
        <v>548.5</v>
      </c>
      <c r="D114" s="175">
        <f t="shared" si="3"/>
        <v>543.8909426597863</v>
      </c>
      <c r="E114" s="188">
        <f t="shared" si="4"/>
        <v>-4.609057340213667</v>
      </c>
      <c r="F114" s="175">
        <f t="shared" si="5"/>
        <v>21.243409565377483</v>
      </c>
      <c r="H114" s="19"/>
    </row>
    <row r="115" spans="1:8" ht="12.75">
      <c r="A115" s="175"/>
      <c r="B115" s="189">
        <v>99</v>
      </c>
      <c r="C115" s="172">
        <v>571.5</v>
      </c>
      <c r="D115" s="175">
        <f t="shared" si="3"/>
        <v>560.7648668724137</v>
      </c>
      <c r="E115" s="188">
        <f t="shared" si="4"/>
        <v>-10.735133127586323</v>
      </c>
      <c r="F115" s="175">
        <f t="shared" si="5"/>
        <v>115.24308326700131</v>
      </c>
      <c r="H115" s="19"/>
    </row>
    <row r="116" spans="1:8" ht="13.5" thickBot="1">
      <c r="A116" s="175"/>
      <c r="B116" s="175">
        <v>99.1</v>
      </c>
      <c r="C116" s="174">
        <v>589.6</v>
      </c>
      <c r="D116" s="175">
        <f t="shared" si="3"/>
        <v>563.1958559538939</v>
      </c>
      <c r="E116" s="175"/>
      <c r="F116" s="175"/>
      <c r="H116" s="19"/>
    </row>
    <row r="117" spans="1:8" ht="12.75">
      <c r="A117" s="175"/>
      <c r="B117" s="175">
        <v>99.2</v>
      </c>
      <c r="C117" s="175"/>
      <c r="D117" s="175">
        <f t="shared" si="3"/>
        <v>565.8768124166102</v>
      </c>
      <c r="E117" s="175"/>
      <c r="F117" s="175"/>
      <c r="H117" s="19"/>
    </row>
    <row r="118" spans="1:8" ht="12.75">
      <c r="A118" s="175"/>
      <c r="B118" s="175">
        <v>99.3</v>
      </c>
      <c r="C118" s="175"/>
      <c r="D118" s="175">
        <f t="shared" si="3"/>
        <v>568.8696651162741</v>
      </c>
      <c r="E118" s="175"/>
      <c r="F118" s="175"/>
      <c r="H118" s="19"/>
    </row>
    <row r="119" spans="1:8" ht="12.75">
      <c r="A119" s="175"/>
      <c r="B119" s="175">
        <v>99.4</v>
      </c>
      <c r="C119" s="175"/>
      <c r="D119" s="175">
        <f t="shared" si="3"/>
        <v>572.265618367661</v>
      </c>
      <c r="E119" s="175"/>
      <c r="F119" s="175"/>
      <c r="H119" s="19"/>
    </row>
    <row r="120" spans="1:8" ht="12.75">
      <c r="A120" s="189"/>
      <c r="B120" s="175">
        <v>99.5</v>
      </c>
      <c r="C120" s="190"/>
      <c r="D120" s="175">
        <f t="shared" si="3"/>
        <v>576.2087975076997</v>
      </c>
      <c r="E120" s="175"/>
      <c r="F120" s="175"/>
      <c r="H120" s="19"/>
    </row>
    <row r="121" spans="1:8" ht="12.75">
      <c r="A121" s="175"/>
      <c r="B121" s="175">
        <v>99.6</v>
      </c>
      <c r="C121" s="175"/>
      <c r="D121" s="175">
        <f t="shared" si="3"/>
        <v>580.9289022921208</v>
      </c>
      <c r="E121" s="175"/>
      <c r="F121" s="175"/>
      <c r="H121" s="19"/>
    </row>
    <row r="122" spans="1:8" ht="12.75">
      <c r="A122" s="175"/>
      <c r="B122" s="175">
        <v>99.7</v>
      </c>
      <c r="C122" s="175"/>
      <c r="D122" s="175">
        <f t="shared" si="3"/>
        <v>586.8515528565423</v>
      </c>
      <c r="E122" s="175"/>
      <c r="F122" s="175"/>
      <c r="H122" s="19"/>
    </row>
    <row r="123" spans="1:8" ht="12.75">
      <c r="A123" s="175"/>
      <c r="B123" s="175">
        <v>99.8000000000001</v>
      </c>
      <c r="C123" s="175"/>
      <c r="D123" s="175">
        <f t="shared" si="3"/>
        <v>594.9225717245599</v>
      </c>
      <c r="E123" s="175"/>
      <c r="F123" s="175"/>
      <c r="H123" s="19"/>
    </row>
    <row r="124" spans="1:8" ht="12.75">
      <c r="A124" s="175"/>
      <c r="B124" s="175">
        <v>99.9000000000001</v>
      </c>
      <c r="C124" s="175"/>
      <c r="D124" s="175">
        <f t="shared" si="3"/>
        <v>608.0514891354258</v>
      </c>
      <c r="E124" s="175"/>
      <c r="F124" s="175"/>
      <c r="H124" s="19"/>
    </row>
    <row r="125" spans="1:8" ht="12.75">
      <c r="A125" s="175"/>
      <c r="B125" s="175">
        <v>99.99</v>
      </c>
      <c r="C125" s="175"/>
      <c r="D125" s="175">
        <f t="shared" si="3"/>
        <v>647.0013614404576</v>
      </c>
      <c r="E125" s="175"/>
      <c r="F125" s="175"/>
      <c r="H125" s="19"/>
    </row>
    <row r="126" spans="1:8" ht="12.75">
      <c r="A126" s="175"/>
      <c r="B126" s="175">
        <v>99.999</v>
      </c>
      <c r="C126" s="175"/>
      <c r="D126" s="175">
        <f t="shared" si="3"/>
        <v>680.7987529502816</v>
      </c>
      <c r="E126" s="175"/>
      <c r="F126" s="175"/>
      <c r="H126" s="19"/>
    </row>
  </sheetData>
  <printOptions/>
  <pageMargins left="0.75" right="0.75" top="1" bottom="1" header="0.5" footer="0.5"/>
  <pageSetup horizontalDpi="600" verticalDpi="600" orientation="portrait" r:id="rId4"/>
  <drawing r:id="rId3"/>
  <legacyDrawing r:id="rId2"/>
</worksheet>
</file>

<file path=xl/worksheets/sheet5.xml><?xml version="1.0" encoding="utf-8"?>
<worksheet xmlns="http://schemas.openxmlformats.org/spreadsheetml/2006/main" xmlns:r="http://schemas.openxmlformats.org/officeDocument/2006/relationships">
  <sheetPr codeName="Sheet7"/>
  <dimension ref="B2:W29"/>
  <sheetViews>
    <sheetView workbookViewId="0" topLeftCell="K2">
      <selection activeCell="S30" sqref="S30"/>
    </sheetView>
  </sheetViews>
  <sheetFormatPr defaultColWidth="9.140625" defaultRowHeight="12.75"/>
  <cols>
    <col min="3" max="3" width="13.28125" style="0" customWidth="1"/>
    <col min="9" max="9" width="11.8515625" style="0" customWidth="1"/>
    <col min="10" max="10" width="10.421875" style="0" customWidth="1"/>
    <col min="11" max="11" width="10.140625" style="0" customWidth="1"/>
    <col min="18" max="18" width="12.421875" style="0" bestFit="1" customWidth="1"/>
  </cols>
  <sheetData>
    <row r="2" ht="12.75">
      <c r="B2" t="s">
        <v>179</v>
      </c>
    </row>
    <row r="3" spans="12:21" ht="12.75">
      <c r="L3" t="s">
        <v>181</v>
      </c>
      <c r="R3" t="s">
        <v>190</v>
      </c>
      <c r="S3" t="s">
        <v>192</v>
      </c>
      <c r="T3" t="s">
        <v>200</v>
      </c>
      <c r="U3" t="s">
        <v>199</v>
      </c>
    </row>
    <row r="4" spans="6:19" ht="12.75">
      <c r="F4" t="s">
        <v>185</v>
      </c>
      <c r="G4" t="s">
        <v>184</v>
      </c>
      <c r="H4" t="s">
        <v>186</v>
      </c>
      <c r="I4" t="s">
        <v>187</v>
      </c>
      <c r="J4" t="s">
        <v>180</v>
      </c>
      <c r="K4" t="s">
        <v>188</v>
      </c>
      <c r="L4" t="s">
        <v>71</v>
      </c>
      <c r="M4" t="s">
        <v>72</v>
      </c>
      <c r="N4" t="s">
        <v>182</v>
      </c>
      <c r="O4" t="s">
        <v>183</v>
      </c>
      <c r="P4" t="s">
        <v>189</v>
      </c>
      <c r="Q4" t="s">
        <v>122</v>
      </c>
      <c r="R4" t="s">
        <v>191</v>
      </c>
      <c r="S4" t="s">
        <v>193</v>
      </c>
    </row>
    <row r="5" spans="6:21" ht="12.75">
      <c r="F5">
        <v>1</v>
      </c>
      <c r="G5">
        <f>F5*12+F5*2+2</f>
        <v>16</v>
      </c>
      <c r="H5">
        <f>(G5-2)/14</f>
        <v>1</v>
      </c>
      <c r="I5">
        <f>H5*Sheet1!F12+Sheet1!F12</f>
        <v>4</v>
      </c>
      <c r="J5">
        <f>H5+I5/4</f>
        <v>2</v>
      </c>
      <c r="K5">
        <f>J5*3.78</f>
        <v>7.56</v>
      </c>
      <c r="L5">
        <f>12*H5</f>
        <v>12</v>
      </c>
      <c r="M5">
        <f>I5</f>
        <v>4</v>
      </c>
      <c r="N5">
        <f>J5*32</f>
        <v>64</v>
      </c>
      <c r="O5">
        <f>K5*28</f>
        <v>211.67999999999998</v>
      </c>
      <c r="P5">
        <f>SUM(L5:O5)</f>
        <v>291.67999999999995</v>
      </c>
      <c r="Q5">
        <f>(L5+M5)/(N5+O5)</f>
        <v>0.05803830528148579</v>
      </c>
      <c r="R5">
        <f>Sheet1!Q12</f>
        <v>0</v>
      </c>
      <c r="S5">
        <f>R5/Q5</f>
        <v>0</v>
      </c>
      <c r="T5">
        <f>S5*L5/(L5+M5)</f>
        <v>0</v>
      </c>
      <c r="U5">
        <f>S5-T5</f>
        <v>0</v>
      </c>
    </row>
    <row r="6" spans="6:21" ht="12.75">
      <c r="F6">
        <v>2</v>
      </c>
      <c r="G6">
        <f aca="true" t="shared" si="0" ref="G6:G23">F6*12+F6*2+2</f>
        <v>30</v>
      </c>
      <c r="H6">
        <f aca="true" t="shared" si="1" ref="H6:H23">(G6-2)/14</f>
        <v>2</v>
      </c>
      <c r="I6">
        <f>H6*Sheet1!F13+Sheet1!F13</f>
        <v>5.925000000000001</v>
      </c>
      <c r="J6">
        <f aca="true" t="shared" si="2" ref="J6:J23">H6+I6/4</f>
        <v>3.48125</v>
      </c>
      <c r="K6">
        <f aca="true" t="shared" si="3" ref="K6:K23">J6*3.78</f>
        <v>13.159125</v>
      </c>
      <c r="L6">
        <f aca="true" t="shared" si="4" ref="L6:L23">12*H6</f>
        <v>24</v>
      </c>
      <c r="M6">
        <f aca="true" t="shared" si="5" ref="M6:M23">I6</f>
        <v>5.925000000000001</v>
      </c>
      <c r="N6">
        <f aca="true" t="shared" si="6" ref="N6:N23">J6*32</f>
        <v>111.4</v>
      </c>
      <c r="O6">
        <f aca="true" t="shared" si="7" ref="O6:O23">K6*28</f>
        <v>368.4555</v>
      </c>
      <c r="P6">
        <f aca="true" t="shared" si="8" ref="P6:P23">SUM(L6:O6)</f>
        <v>509.78049999999996</v>
      </c>
      <c r="Q6">
        <f aca="true" t="shared" si="9" ref="Q6:Q23">(L6+M6)/(N6+O6)</f>
        <v>0.06236252371807763</v>
      </c>
      <c r="R6">
        <f>Sheet1!Q13</f>
        <v>1.2100446698546478E-09</v>
      </c>
      <c r="S6">
        <f aca="true" t="shared" si="10" ref="S6:S23">R6/Q6</f>
        <v>1.9403394822905162E-08</v>
      </c>
      <c r="T6">
        <f aca="true" t="shared" si="11" ref="T6:T23">S6*L6/(L6+M6)</f>
        <v>1.5561619908094366E-08</v>
      </c>
      <c r="U6">
        <f aca="true" t="shared" si="12" ref="U6:U23">S6-T6</f>
        <v>3.841774914810796E-09</v>
      </c>
    </row>
    <row r="7" spans="6:23" ht="12.75">
      <c r="F7">
        <v>3</v>
      </c>
      <c r="G7">
        <f t="shared" si="0"/>
        <v>44</v>
      </c>
      <c r="H7">
        <f t="shared" si="1"/>
        <v>3</v>
      </c>
      <c r="I7">
        <f>H7*Sheet1!F14+Sheet1!F14</f>
        <v>7.800000000000001</v>
      </c>
      <c r="J7">
        <f t="shared" si="2"/>
        <v>4.95</v>
      </c>
      <c r="K7">
        <f t="shared" si="3"/>
        <v>18.711</v>
      </c>
      <c r="L7">
        <f t="shared" si="4"/>
        <v>36</v>
      </c>
      <c r="M7">
        <f t="shared" si="5"/>
        <v>7.800000000000001</v>
      </c>
      <c r="N7">
        <f t="shared" si="6"/>
        <v>158.4</v>
      </c>
      <c r="O7">
        <f t="shared" si="7"/>
        <v>523.9079999999999</v>
      </c>
      <c r="P7">
        <f t="shared" si="8"/>
        <v>726.108</v>
      </c>
      <c r="Q7">
        <f t="shared" si="9"/>
        <v>0.06419388311437065</v>
      </c>
      <c r="R7">
        <f>Sheet1!Q14</f>
        <v>8.979658523470198E-06</v>
      </c>
      <c r="S7">
        <f t="shared" si="10"/>
        <v>0.00013988339835232656</v>
      </c>
      <c r="T7">
        <f t="shared" si="11"/>
        <v>0.00011497265617999444</v>
      </c>
      <c r="U7">
        <f t="shared" si="12"/>
        <v>2.4910742172332126E-05</v>
      </c>
      <c r="W7">
        <f>U7/(T7/12)</f>
        <v>2.5999999999999996</v>
      </c>
    </row>
    <row r="8" spans="6:21" ht="12.75">
      <c r="F8">
        <v>4</v>
      </c>
      <c r="G8">
        <f t="shared" si="0"/>
        <v>58</v>
      </c>
      <c r="H8">
        <f t="shared" si="1"/>
        <v>4</v>
      </c>
      <c r="I8">
        <f>H8*Sheet1!F15+Sheet1!F15</f>
        <v>9.625000000000002</v>
      </c>
      <c r="J8">
        <f t="shared" si="2"/>
        <v>6.40625</v>
      </c>
      <c r="K8">
        <f t="shared" si="3"/>
        <v>24.215625</v>
      </c>
      <c r="L8">
        <f t="shared" si="4"/>
        <v>48</v>
      </c>
      <c r="M8">
        <f t="shared" si="5"/>
        <v>9.625000000000002</v>
      </c>
      <c r="N8">
        <f t="shared" si="6"/>
        <v>205</v>
      </c>
      <c r="O8">
        <f t="shared" si="7"/>
        <v>678.0375</v>
      </c>
      <c r="P8">
        <f t="shared" si="8"/>
        <v>940.6625</v>
      </c>
      <c r="Q8">
        <f t="shared" si="9"/>
        <v>0.06525770423113401</v>
      </c>
      <c r="R8">
        <f>Sheet1!Q15</f>
        <v>0.0023999015681882975</v>
      </c>
      <c r="S8">
        <f t="shared" si="10"/>
        <v>0.03677575845586245</v>
      </c>
      <c r="T8">
        <f t="shared" si="11"/>
        <v>0.030633169733299742</v>
      </c>
      <c r="U8">
        <f t="shared" si="12"/>
        <v>0.0061425887225627085</v>
      </c>
    </row>
    <row r="9" spans="6:21" ht="12.75">
      <c r="F9">
        <v>5</v>
      </c>
      <c r="G9">
        <f t="shared" si="0"/>
        <v>72</v>
      </c>
      <c r="H9">
        <f t="shared" si="1"/>
        <v>5</v>
      </c>
      <c r="I9">
        <f>H9*Sheet1!F16+Sheet1!F16</f>
        <v>11.400000000000002</v>
      </c>
      <c r="J9">
        <f t="shared" si="2"/>
        <v>7.8500000000000005</v>
      </c>
      <c r="K9">
        <f t="shared" si="3"/>
        <v>29.673000000000002</v>
      </c>
      <c r="L9">
        <f t="shared" si="4"/>
        <v>60</v>
      </c>
      <c r="M9">
        <f t="shared" si="5"/>
        <v>11.400000000000002</v>
      </c>
      <c r="N9">
        <f t="shared" si="6"/>
        <v>251.20000000000002</v>
      </c>
      <c r="O9">
        <f t="shared" si="7"/>
        <v>830.844</v>
      </c>
      <c r="P9">
        <f t="shared" si="8"/>
        <v>1153.444</v>
      </c>
      <c r="Q9">
        <f t="shared" si="9"/>
        <v>0.06598622606844085</v>
      </c>
      <c r="R9">
        <f>Sheet1!Q16</f>
        <v>0.09976159810457787</v>
      </c>
      <c r="S9">
        <f t="shared" si="10"/>
        <v>1.5118548831858523</v>
      </c>
      <c r="T9">
        <f t="shared" si="11"/>
        <v>1.2704662883914724</v>
      </c>
      <c r="U9">
        <f t="shared" si="12"/>
        <v>0.2413885947943799</v>
      </c>
    </row>
    <row r="10" spans="6:21" ht="12.75">
      <c r="F10">
        <v>6</v>
      </c>
      <c r="G10">
        <f t="shared" si="0"/>
        <v>86</v>
      </c>
      <c r="H10">
        <f t="shared" si="1"/>
        <v>6</v>
      </c>
      <c r="I10">
        <f>H10*Sheet1!F17+Sheet1!F17</f>
        <v>13.125000000000004</v>
      </c>
      <c r="J10">
        <f t="shared" si="2"/>
        <v>9.28125</v>
      </c>
      <c r="K10">
        <f t="shared" si="3"/>
        <v>35.083124999999995</v>
      </c>
      <c r="L10">
        <f t="shared" si="4"/>
        <v>72</v>
      </c>
      <c r="M10">
        <f t="shared" si="5"/>
        <v>13.125000000000004</v>
      </c>
      <c r="N10">
        <f t="shared" si="6"/>
        <v>297</v>
      </c>
      <c r="O10">
        <f t="shared" si="7"/>
        <v>982.3274999999999</v>
      </c>
      <c r="P10">
        <f t="shared" si="8"/>
        <v>1364.4524999999999</v>
      </c>
      <c r="Q10">
        <f t="shared" si="9"/>
        <v>0.06653886514594583</v>
      </c>
      <c r="R10">
        <f>Sheet1!Q17</f>
        <v>1.0259150222799822</v>
      </c>
      <c r="S10">
        <f t="shared" si="10"/>
        <v>15.418282533520044</v>
      </c>
      <c r="T10">
        <f t="shared" si="11"/>
        <v>13.041014301479509</v>
      </c>
      <c r="U10">
        <f t="shared" si="12"/>
        <v>2.377268232040535</v>
      </c>
    </row>
    <row r="11" spans="6:21" ht="12.75">
      <c r="F11">
        <v>7</v>
      </c>
      <c r="G11">
        <f t="shared" si="0"/>
        <v>100</v>
      </c>
      <c r="H11">
        <f t="shared" si="1"/>
        <v>7</v>
      </c>
      <c r="I11">
        <f>H11*Sheet1!F18+Sheet1!F18</f>
        <v>14.800000000000004</v>
      </c>
      <c r="J11">
        <f t="shared" si="2"/>
        <v>10.700000000000001</v>
      </c>
      <c r="K11">
        <f t="shared" si="3"/>
        <v>40.446000000000005</v>
      </c>
      <c r="L11">
        <f t="shared" si="4"/>
        <v>84</v>
      </c>
      <c r="M11">
        <f t="shared" si="5"/>
        <v>14.800000000000004</v>
      </c>
      <c r="N11">
        <f t="shared" si="6"/>
        <v>342.40000000000003</v>
      </c>
      <c r="O11">
        <f t="shared" si="7"/>
        <v>1132.488</v>
      </c>
      <c r="P11">
        <f t="shared" si="8"/>
        <v>1573.688</v>
      </c>
      <c r="Q11">
        <f t="shared" si="9"/>
        <v>0.06698813740433172</v>
      </c>
      <c r="R11">
        <f>Sheet1!Q18</f>
        <v>3.3537114688696996</v>
      </c>
      <c r="S11">
        <f t="shared" si="10"/>
        <v>50.064259118403776</v>
      </c>
      <c r="T11">
        <f t="shared" si="11"/>
        <v>42.56475471605179</v>
      </c>
      <c r="U11">
        <f t="shared" si="12"/>
        <v>7.499504402351988</v>
      </c>
    </row>
    <row r="12" spans="6:21" ht="12.75">
      <c r="F12">
        <v>8</v>
      </c>
      <c r="G12">
        <f t="shared" si="0"/>
        <v>114</v>
      </c>
      <c r="H12">
        <f t="shared" si="1"/>
        <v>8</v>
      </c>
      <c r="I12">
        <f>H12*Sheet1!F19+Sheet1!F19</f>
        <v>16.425000000000004</v>
      </c>
      <c r="J12">
        <f t="shared" si="2"/>
        <v>12.106250000000001</v>
      </c>
      <c r="K12">
        <f t="shared" si="3"/>
        <v>45.761625</v>
      </c>
      <c r="L12">
        <f t="shared" si="4"/>
        <v>96</v>
      </c>
      <c r="M12">
        <f t="shared" si="5"/>
        <v>16.425000000000004</v>
      </c>
      <c r="N12">
        <f t="shared" si="6"/>
        <v>387.40000000000003</v>
      </c>
      <c r="O12">
        <f t="shared" si="7"/>
        <v>1281.3255000000001</v>
      </c>
      <c r="P12">
        <f t="shared" si="8"/>
        <v>1781.1505000000002</v>
      </c>
      <c r="Q12">
        <f t="shared" si="9"/>
        <v>0.06737177564554506</v>
      </c>
      <c r="R12">
        <f>Sheet1!Q19</f>
        <v>5.4806013829896685</v>
      </c>
      <c r="S12">
        <f t="shared" si="10"/>
        <v>81.3486260451868</v>
      </c>
      <c r="T12">
        <f t="shared" si="11"/>
        <v>69.46380342751108</v>
      </c>
      <c r="U12">
        <f t="shared" si="12"/>
        <v>11.884822617675724</v>
      </c>
    </row>
    <row r="13" spans="6:21" ht="12.75">
      <c r="F13">
        <v>9</v>
      </c>
      <c r="G13">
        <f t="shared" si="0"/>
        <v>128</v>
      </c>
      <c r="H13">
        <f t="shared" si="1"/>
        <v>9</v>
      </c>
      <c r="I13">
        <f>H13*Sheet1!F20+Sheet1!F20</f>
        <v>18.000000000000007</v>
      </c>
      <c r="J13">
        <f t="shared" si="2"/>
        <v>13.500000000000002</v>
      </c>
      <c r="K13">
        <f t="shared" si="3"/>
        <v>51.03</v>
      </c>
      <c r="L13">
        <f t="shared" si="4"/>
        <v>108</v>
      </c>
      <c r="M13">
        <f t="shared" si="5"/>
        <v>18.000000000000007</v>
      </c>
      <c r="N13">
        <f t="shared" si="6"/>
        <v>432.00000000000006</v>
      </c>
      <c r="O13">
        <f t="shared" si="7"/>
        <v>1428.8400000000001</v>
      </c>
      <c r="P13">
        <f t="shared" si="8"/>
        <v>1986.8400000000001</v>
      </c>
      <c r="Q13">
        <f t="shared" si="9"/>
        <v>0.0677113561617334</v>
      </c>
      <c r="R13">
        <f>Sheet1!Q20</f>
        <v>4.8033512629636075</v>
      </c>
      <c r="S13">
        <f t="shared" si="10"/>
        <v>70.93863622359683</v>
      </c>
      <c r="T13">
        <f t="shared" si="11"/>
        <v>60.80454533451157</v>
      </c>
      <c r="U13">
        <f t="shared" si="12"/>
        <v>10.134090889085257</v>
      </c>
    </row>
    <row r="14" spans="6:21" ht="12.75">
      <c r="F14">
        <v>10</v>
      </c>
      <c r="G14">
        <f t="shared" si="0"/>
        <v>142</v>
      </c>
      <c r="H14">
        <f t="shared" si="1"/>
        <v>10</v>
      </c>
      <c r="I14">
        <f>H14*Sheet1!F21+Sheet1!F21</f>
        <v>19.52500000000001</v>
      </c>
      <c r="J14">
        <f t="shared" si="2"/>
        <v>14.881250000000001</v>
      </c>
      <c r="K14">
        <f t="shared" si="3"/>
        <v>56.251125</v>
      </c>
      <c r="L14">
        <f t="shared" si="4"/>
        <v>120</v>
      </c>
      <c r="M14">
        <f t="shared" si="5"/>
        <v>19.52500000000001</v>
      </c>
      <c r="N14">
        <f t="shared" si="6"/>
        <v>476.20000000000005</v>
      </c>
      <c r="O14">
        <f t="shared" si="7"/>
        <v>1575.0315</v>
      </c>
      <c r="P14">
        <f t="shared" si="8"/>
        <v>2190.7565</v>
      </c>
      <c r="Q14">
        <f t="shared" si="9"/>
        <v>0.06802011377067875</v>
      </c>
      <c r="R14">
        <f>Sheet1!Q21</f>
        <v>2.8205584465046623</v>
      </c>
      <c r="S14">
        <f t="shared" si="10"/>
        <v>41.4665352665216</v>
      </c>
      <c r="T14">
        <f t="shared" si="11"/>
        <v>35.66374651125312</v>
      </c>
      <c r="U14">
        <f t="shared" si="12"/>
        <v>5.80278875526848</v>
      </c>
    </row>
    <row r="15" spans="6:21" ht="12.75">
      <c r="F15">
        <v>11</v>
      </c>
      <c r="G15">
        <f t="shared" si="0"/>
        <v>156</v>
      </c>
      <c r="H15">
        <f t="shared" si="1"/>
        <v>11</v>
      </c>
      <c r="I15">
        <f>H15*Sheet1!F22+Sheet1!F22</f>
        <v>21.00000000000001</v>
      </c>
      <c r="J15">
        <f t="shared" si="2"/>
        <v>16.250000000000004</v>
      </c>
      <c r="K15">
        <f t="shared" si="3"/>
        <v>61.42500000000001</v>
      </c>
      <c r="L15">
        <f t="shared" si="4"/>
        <v>132</v>
      </c>
      <c r="M15">
        <f t="shared" si="5"/>
        <v>21.00000000000001</v>
      </c>
      <c r="N15">
        <f t="shared" si="6"/>
        <v>520.0000000000001</v>
      </c>
      <c r="O15">
        <f t="shared" si="7"/>
        <v>1719.9000000000003</v>
      </c>
      <c r="P15">
        <f t="shared" si="8"/>
        <v>2392.9000000000005</v>
      </c>
      <c r="Q15">
        <f t="shared" si="9"/>
        <v>0.0683066208312871</v>
      </c>
      <c r="R15">
        <f>Sheet1!Q22</f>
        <v>1.1788503870015878</v>
      </c>
      <c r="S15">
        <f t="shared" si="10"/>
        <v>17.258215567613448</v>
      </c>
      <c r="T15">
        <f t="shared" si="11"/>
        <v>14.889440881862582</v>
      </c>
      <c r="U15">
        <f t="shared" si="12"/>
        <v>2.368774685750866</v>
      </c>
    </row>
    <row r="16" spans="6:21" ht="12.75">
      <c r="F16">
        <v>12</v>
      </c>
      <c r="G16">
        <f t="shared" si="0"/>
        <v>170</v>
      </c>
      <c r="H16">
        <f t="shared" si="1"/>
        <v>12</v>
      </c>
      <c r="I16">
        <f>H16*Sheet1!F23+Sheet1!F23</f>
        <v>22.42500000000001</v>
      </c>
      <c r="J16">
        <f t="shared" si="2"/>
        <v>17.606250000000003</v>
      </c>
      <c r="K16">
        <f t="shared" si="3"/>
        <v>66.551625</v>
      </c>
      <c r="L16">
        <f t="shared" si="4"/>
        <v>144</v>
      </c>
      <c r="M16">
        <f t="shared" si="5"/>
        <v>22.42500000000001</v>
      </c>
      <c r="N16">
        <f t="shared" si="6"/>
        <v>563.4000000000001</v>
      </c>
      <c r="O16">
        <f t="shared" si="7"/>
        <v>1863.4455</v>
      </c>
      <c r="P16">
        <f t="shared" si="8"/>
        <v>2593.2705</v>
      </c>
      <c r="Q16">
        <f t="shared" si="9"/>
        <v>0.06857667700725077</v>
      </c>
      <c r="R16">
        <f>Sheet1!Q23</f>
        <v>0.34639319553355913</v>
      </c>
      <c r="S16">
        <f t="shared" si="10"/>
        <v>5.051180819055058</v>
      </c>
      <c r="T16">
        <f t="shared" si="11"/>
        <v>4.370557536090901</v>
      </c>
      <c r="U16">
        <f t="shared" si="12"/>
        <v>0.6806232829641568</v>
      </c>
    </row>
    <row r="17" spans="6:21" ht="12.75">
      <c r="F17">
        <v>13</v>
      </c>
      <c r="G17">
        <f t="shared" si="0"/>
        <v>184</v>
      </c>
      <c r="H17">
        <f t="shared" si="1"/>
        <v>13</v>
      </c>
      <c r="I17">
        <f>H17*Sheet1!F24+Sheet1!F24</f>
        <v>23.80000000000002</v>
      </c>
      <c r="J17">
        <f t="shared" si="2"/>
        <v>18.950000000000003</v>
      </c>
      <c r="K17">
        <f t="shared" si="3"/>
        <v>71.631</v>
      </c>
      <c r="L17">
        <f t="shared" si="4"/>
        <v>156</v>
      </c>
      <c r="M17">
        <f t="shared" si="5"/>
        <v>23.80000000000002</v>
      </c>
      <c r="N17">
        <f t="shared" si="6"/>
        <v>606.4000000000001</v>
      </c>
      <c r="O17">
        <f t="shared" si="7"/>
        <v>2005.6680000000001</v>
      </c>
      <c r="P17">
        <f t="shared" si="8"/>
        <v>2791.8680000000004</v>
      </c>
      <c r="Q17">
        <f t="shared" si="9"/>
        <v>0.06883434887606295</v>
      </c>
      <c r="R17">
        <f>Sheet1!Q24</f>
        <v>0.0874736429292065</v>
      </c>
      <c r="S17">
        <f t="shared" si="10"/>
        <v>1.270784780527289</v>
      </c>
      <c r="T17">
        <f t="shared" si="11"/>
        <v>1.1025718896677257</v>
      </c>
      <c r="U17">
        <f t="shared" si="12"/>
        <v>0.16821289085956326</v>
      </c>
    </row>
    <row r="18" spans="6:21" ht="12.75">
      <c r="F18">
        <v>14</v>
      </c>
      <c r="G18">
        <f t="shared" si="0"/>
        <v>198</v>
      </c>
      <c r="H18">
        <f t="shared" si="1"/>
        <v>14</v>
      </c>
      <c r="I18">
        <f>H18*Sheet1!F25+Sheet1!F25</f>
        <v>25.125000000000018</v>
      </c>
      <c r="J18">
        <f t="shared" si="2"/>
        <v>20.281250000000004</v>
      </c>
      <c r="K18">
        <f t="shared" si="3"/>
        <v>76.66312500000001</v>
      </c>
      <c r="L18">
        <f t="shared" si="4"/>
        <v>168</v>
      </c>
      <c r="M18">
        <f t="shared" si="5"/>
        <v>25.125000000000018</v>
      </c>
      <c r="N18">
        <f t="shared" si="6"/>
        <v>649.0000000000001</v>
      </c>
      <c r="O18">
        <f t="shared" si="7"/>
        <v>2146.5675</v>
      </c>
      <c r="P18">
        <f t="shared" si="8"/>
        <v>2988.6925</v>
      </c>
      <c r="Q18">
        <f t="shared" si="9"/>
        <v>0.06908257446833246</v>
      </c>
      <c r="R18">
        <f>Sheet1!Q25</f>
        <v>0.019180156861665937</v>
      </c>
      <c r="S18">
        <f t="shared" si="10"/>
        <v>0.27764102610938657</v>
      </c>
      <c r="T18">
        <f t="shared" si="11"/>
        <v>0.24152073727573817</v>
      </c>
      <c r="U18">
        <f t="shared" si="12"/>
        <v>0.0361202888336484</v>
      </c>
    </row>
    <row r="19" spans="6:21" ht="12.75">
      <c r="F19">
        <v>15</v>
      </c>
      <c r="G19">
        <f t="shared" si="0"/>
        <v>212</v>
      </c>
      <c r="H19">
        <f t="shared" si="1"/>
        <v>15</v>
      </c>
      <c r="I19">
        <f>H19*Sheet1!F26+Sheet1!F26</f>
        <v>26.40000000000002</v>
      </c>
      <c r="J19">
        <f t="shared" si="2"/>
        <v>21.600000000000005</v>
      </c>
      <c r="K19">
        <f t="shared" si="3"/>
        <v>81.64800000000001</v>
      </c>
      <c r="L19">
        <f t="shared" si="4"/>
        <v>180</v>
      </c>
      <c r="M19">
        <f t="shared" si="5"/>
        <v>26.40000000000002</v>
      </c>
      <c r="N19">
        <f t="shared" si="6"/>
        <v>691.2000000000002</v>
      </c>
      <c r="O19">
        <f t="shared" si="7"/>
        <v>2286.1440000000002</v>
      </c>
      <c r="P19">
        <f t="shared" si="8"/>
        <v>3183.7440000000006</v>
      </c>
      <c r="Q19">
        <f t="shared" si="9"/>
        <v>0.06932353130844135</v>
      </c>
      <c r="R19">
        <f>Sheet1!Q26</f>
        <v>0.003420933904949265</v>
      </c>
      <c r="S19">
        <f t="shared" si="10"/>
        <v>0.04934736936190535</v>
      </c>
      <c r="T19">
        <f t="shared" si="11"/>
        <v>0.043035496536545356</v>
      </c>
      <c r="U19">
        <f t="shared" si="12"/>
        <v>0.006311872825359992</v>
      </c>
    </row>
    <row r="20" spans="6:21" ht="12.75">
      <c r="F20">
        <v>16</v>
      </c>
      <c r="G20">
        <f t="shared" si="0"/>
        <v>226</v>
      </c>
      <c r="H20">
        <f t="shared" si="1"/>
        <v>16</v>
      </c>
      <c r="I20">
        <f>H20*Sheet1!F27+Sheet1!F27</f>
        <v>27.62500000000002</v>
      </c>
      <c r="J20">
        <f t="shared" si="2"/>
        <v>22.906250000000007</v>
      </c>
      <c r="K20">
        <f t="shared" si="3"/>
        <v>86.58562500000002</v>
      </c>
      <c r="L20">
        <f t="shared" si="4"/>
        <v>192</v>
      </c>
      <c r="M20">
        <f t="shared" si="5"/>
        <v>27.62500000000002</v>
      </c>
      <c r="N20">
        <f t="shared" si="6"/>
        <v>733.0000000000002</v>
      </c>
      <c r="O20">
        <f t="shared" si="7"/>
        <v>2424.3975000000005</v>
      </c>
      <c r="P20">
        <f t="shared" si="8"/>
        <v>3377.022500000001</v>
      </c>
      <c r="Q20">
        <f t="shared" si="9"/>
        <v>0.06955886929029366</v>
      </c>
      <c r="R20">
        <f>Sheet1!Q27</f>
        <v>0.000494858253017027</v>
      </c>
      <c r="S20">
        <f t="shared" si="10"/>
        <v>0.007114236589324205</v>
      </c>
      <c r="T20">
        <f t="shared" si="11"/>
        <v>0.006219389528287979</v>
      </c>
      <c r="U20">
        <f t="shared" si="12"/>
        <v>0.0008948470610362263</v>
      </c>
    </row>
    <row r="21" spans="6:21" ht="12.75">
      <c r="F21">
        <v>17</v>
      </c>
      <c r="G21">
        <f t="shared" si="0"/>
        <v>240</v>
      </c>
      <c r="H21">
        <f t="shared" si="1"/>
        <v>17</v>
      </c>
      <c r="I21">
        <f>H21*Sheet1!F28+Sheet1!F28</f>
        <v>28.800000000000026</v>
      </c>
      <c r="J21">
        <f t="shared" si="2"/>
        <v>24.200000000000006</v>
      </c>
      <c r="K21">
        <f t="shared" si="3"/>
        <v>91.47600000000001</v>
      </c>
      <c r="L21">
        <f t="shared" si="4"/>
        <v>204</v>
      </c>
      <c r="M21">
        <f t="shared" si="5"/>
        <v>28.800000000000026</v>
      </c>
      <c r="N21">
        <f t="shared" si="6"/>
        <v>774.4000000000002</v>
      </c>
      <c r="O21">
        <f t="shared" si="7"/>
        <v>2561.3280000000004</v>
      </c>
      <c r="P21">
        <f t="shared" si="8"/>
        <v>3568.5280000000007</v>
      </c>
      <c r="Q21">
        <f t="shared" si="9"/>
        <v>0.06978986296244777</v>
      </c>
      <c r="R21">
        <f>Sheet1!Q28</f>
        <v>4.262396361873785E-05</v>
      </c>
      <c r="S21">
        <f t="shared" si="10"/>
        <v>0.0006107472032388539</v>
      </c>
      <c r="T21">
        <f t="shared" si="11"/>
        <v>0.0005351908481989957</v>
      </c>
      <c r="U21">
        <f t="shared" si="12"/>
        <v>7.555635503985825E-05</v>
      </c>
    </row>
    <row r="22" spans="6:21" ht="12.75">
      <c r="F22">
        <v>18</v>
      </c>
      <c r="G22">
        <f t="shared" si="0"/>
        <v>254</v>
      </c>
      <c r="H22">
        <f t="shared" si="1"/>
        <v>18</v>
      </c>
      <c r="I22">
        <f>H22*Sheet1!F29+Sheet1!F29</f>
        <v>29.92500000000003</v>
      </c>
      <c r="J22">
        <f t="shared" si="2"/>
        <v>25.481250000000006</v>
      </c>
      <c r="K22">
        <f t="shared" si="3"/>
        <v>96.31912500000001</v>
      </c>
      <c r="L22">
        <f t="shared" si="4"/>
        <v>216</v>
      </c>
      <c r="M22">
        <f t="shared" si="5"/>
        <v>29.92500000000003</v>
      </c>
      <c r="N22">
        <f t="shared" si="6"/>
        <v>815.4000000000002</v>
      </c>
      <c r="O22">
        <f t="shared" si="7"/>
        <v>2696.9355000000005</v>
      </c>
      <c r="P22">
        <f t="shared" si="8"/>
        <v>3758.260500000001</v>
      </c>
      <c r="Q22">
        <f t="shared" si="9"/>
        <v>0.07001751398748782</v>
      </c>
      <c r="R22">
        <f>Sheet1!Q29</f>
        <v>9.142440689419313E-06</v>
      </c>
      <c r="S22">
        <f t="shared" si="10"/>
        <v>0.00013057362606523097</v>
      </c>
      <c r="T22">
        <f t="shared" si="11"/>
        <v>0.0001146849780627829</v>
      </c>
      <c r="U22">
        <f t="shared" si="12"/>
        <v>1.5888648002448068E-05</v>
      </c>
    </row>
    <row r="23" spans="6:21" ht="12.75">
      <c r="F23">
        <v>19</v>
      </c>
      <c r="G23">
        <f t="shared" si="0"/>
        <v>268</v>
      </c>
      <c r="H23">
        <f t="shared" si="1"/>
        <v>19</v>
      </c>
      <c r="I23">
        <f>H23*Sheet1!F30+Sheet1!F30</f>
        <v>31.000000000000032</v>
      </c>
      <c r="J23">
        <f t="shared" si="2"/>
        <v>26.750000000000007</v>
      </c>
      <c r="K23">
        <f t="shared" si="3"/>
        <v>101.11500000000002</v>
      </c>
      <c r="L23">
        <f t="shared" si="4"/>
        <v>228</v>
      </c>
      <c r="M23">
        <f t="shared" si="5"/>
        <v>31.000000000000032</v>
      </c>
      <c r="N23">
        <f t="shared" si="6"/>
        <v>856.0000000000002</v>
      </c>
      <c r="O23">
        <f t="shared" si="7"/>
        <v>2831.2200000000007</v>
      </c>
      <c r="P23">
        <f t="shared" si="8"/>
        <v>3946.220000000001</v>
      </c>
      <c r="Q23">
        <f t="shared" si="9"/>
        <v>0.07024262181263932</v>
      </c>
      <c r="R23">
        <f>Sheet1!Q30</f>
        <v>7.347147653256494E-07</v>
      </c>
      <c r="S23">
        <f t="shared" si="10"/>
        <v>1.0459671725884328E-05</v>
      </c>
      <c r="T23">
        <f t="shared" si="11"/>
        <v>9.207741905411685E-06</v>
      </c>
      <c r="U23">
        <f t="shared" si="12"/>
        <v>1.2519298204726435E-06</v>
      </c>
    </row>
    <row r="25" spans="18:21" ht="12.75">
      <c r="R25">
        <f>SUM(R5:R23)</f>
        <v>19.222173739752012</v>
      </c>
      <c r="S25">
        <f>SUM(S5:S23)</f>
        <v>284.7001453114299</v>
      </c>
      <c r="T25">
        <f>SUM(T5:T23)</f>
        <v>243.4930837516796</v>
      </c>
      <c r="U25">
        <f>SUM(U5:U23)</f>
        <v>41.207061559750365</v>
      </c>
    </row>
    <row r="27" spans="15:21" ht="12.75">
      <c r="O27" t="s">
        <v>196</v>
      </c>
      <c r="Q27" t="s">
        <v>194</v>
      </c>
      <c r="R27">
        <f>R25/S25</f>
        <v>0.06751726002361229</v>
      </c>
      <c r="T27" t="s">
        <v>201</v>
      </c>
      <c r="U27">
        <f>U25/(T25/12)</f>
        <v>2.0307958283582805</v>
      </c>
    </row>
    <row r="28" ht="13.5" thickBot="1"/>
    <row r="29" spans="16:18" ht="13.5" thickBot="1">
      <c r="P29" t="s">
        <v>195</v>
      </c>
      <c r="R29" s="86">
        <f>'Input form'!G20/'Equiv ratio'!R27</f>
        <v>0.6503062843821494</v>
      </c>
    </row>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codeName="Sheet6"/>
  <dimension ref="A1:AC56"/>
  <sheetViews>
    <sheetView workbookViewId="0" topLeftCell="C4">
      <selection activeCell="F33" sqref="F33"/>
    </sheetView>
  </sheetViews>
  <sheetFormatPr defaultColWidth="9.140625" defaultRowHeight="12.75"/>
  <cols>
    <col min="2" max="3" width="12.421875" style="0" bestFit="1" customWidth="1"/>
  </cols>
  <sheetData>
    <row r="1" spans="1:22" ht="12.75">
      <c r="A1">
        <v>1</v>
      </c>
      <c r="B1">
        <f>1+A1</f>
        <v>2</v>
      </c>
      <c r="C1">
        <f aca="true" t="shared" si="0" ref="C1:V1">1+B1</f>
        <v>3</v>
      </c>
      <c r="D1">
        <f t="shared" si="0"/>
        <v>4</v>
      </c>
      <c r="E1">
        <f t="shared" si="0"/>
        <v>5</v>
      </c>
      <c r="F1">
        <f t="shared" si="0"/>
        <v>6</v>
      </c>
      <c r="G1">
        <f t="shared" si="0"/>
        <v>7</v>
      </c>
      <c r="H1">
        <f t="shared" si="0"/>
        <v>8</v>
      </c>
      <c r="I1">
        <f t="shared" si="0"/>
        <v>9</v>
      </c>
      <c r="J1">
        <f t="shared" si="0"/>
        <v>10</v>
      </c>
      <c r="K1">
        <f t="shared" si="0"/>
        <v>11</v>
      </c>
      <c r="L1">
        <f t="shared" si="0"/>
        <v>12</v>
      </c>
      <c r="M1">
        <f t="shared" si="0"/>
        <v>13</v>
      </c>
      <c r="N1">
        <f t="shared" si="0"/>
        <v>14</v>
      </c>
      <c r="O1">
        <f t="shared" si="0"/>
        <v>15</v>
      </c>
      <c r="P1">
        <f t="shared" si="0"/>
        <v>16</v>
      </c>
      <c r="Q1">
        <f t="shared" si="0"/>
        <v>17</v>
      </c>
      <c r="R1">
        <f t="shared" si="0"/>
        <v>18</v>
      </c>
      <c r="S1">
        <f t="shared" si="0"/>
        <v>19</v>
      </c>
      <c r="T1">
        <f t="shared" si="0"/>
        <v>20</v>
      </c>
      <c r="U1">
        <f t="shared" si="0"/>
        <v>21</v>
      </c>
      <c r="V1">
        <f t="shared" si="0"/>
        <v>22</v>
      </c>
    </row>
    <row r="3" ht="12.75">
      <c r="Z3">
        <v>8.1494</v>
      </c>
    </row>
    <row r="4" spans="8:26" ht="12.75">
      <c r="H4" t="s">
        <v>81</v>
      </c>
      <c r="Z4">
        <v>-0.5538</v>
      </c>
    </row>
    <row r="5" spans="4:24" ht="12.75">
      <c r="D5" t="s">
        <v>293</v>
      </c>
      <c r="E5">
        <v>1.0079</v>
      </c>
      <c r="H5" t="s">
        <v>82</v>
      </c>
      <c r="N5">
        <v>100</v>
      </c>
      <c r="O5" t="s">
        <v>76</v>
      </c>
      <c r="Q5" t="s">
        <v>166</v>
      </c>
      <c r="W5" t="s">
        <v>168</v>
      </c>
      <c r="X5" t="s">
        <v>168</v>
      </c>
    </row>
    <row r="6" spans="4:26" ht="12.75">
      <c r="D6" t="s">
        <v>292</v>
      </c>
      <c r="E6">
        <v>12.001</v>
      </c>
      <c r="N6">
        <f>((N5+40)*5/9-40)+273.15</f>
        <v>310.92777777777775</v>
      </c>
      <c r="O6" t="s">
        <v>77</v>
      </c>
      <c r="Q6" t="s">
        <v>167</v>
      </c>
      <c r="T6" t="s">
        <v>170</v>
      </c>
      <c r="U6" t="s">
        <v>77</v>
      </c>
      <c r="V6" t="s">
        <v>169</v>
      </c>
      <c r="X6" t="s">
        <v>77</v>
      </c>
      <c r="Z6">
        <f>(SUM(Y8:Y26)^0.5)</f>
        <v>0.8933789387241909</v>
      </c>
    </row>
    <row r="7" spans="8:26" ht="12.75">
      <c r="H7" t="s">
        <v>71</v>
      </c>
      <c r="I7" t="s">
        <v>72</v>
      </c>
      <c r="J7" t="s">
        <v>73</v>
      </c>
      <c r="K7" t="s">
        <v>74</v>
      </c>
      <c r="L7" t="s">
        <v>75</v>
      </c>
      <c r="N7" t="s">
        <v>78</v>
      </c>
      <c r="O7" t="s">
        <v>79</v>
      </c>
      <c r="P7" t="s">
        <v>80</v>
      </c>
      <c r="Q7" t="s">
        <v>16</v>
      </c>
      <c r="R7" t="s">
        <v>77</v>
      </c>
      <c r="Z7" t="s">
        <v>223</v>
      </c>
    </row>
    <row r="8" spans="4:26" ht="12.75">
      <c r="D8">
        <v>16</v>
      </c>
      <c r="E8">
        <f>H8*$E$6+I8*$E$5</f>
        <v>16.0326</v>
      </c>
      <c r="H8">
        <v>1</v>
      </c>
      <c r="I8">
        <f>H8*2+2</f>
        <v>4</v>
      </c>
      <c r="J8" s="13">
        <v>4.22061</v>
      </c>
      <c r="K8" s="14">
        <v>516.689</v>
      </c>
      <c r="L8" s="14">
        <v>11.223</v>
      </c>
      <c r="N8">
        <f>J8-(K8/($N$6+L8))</f>
        <v>2.616736796389682</v>
      </c>
      <c r="O8">
        <f>10^N8</f>
        <v>413.74884686571244</v>
      </c>
      <c r="P8">
        <f>O8*14.7</f>
        <v>6082.108048925973</v>
      </c>
      <c r="Q8">
        <v>-259.5144420718185</v>
      </c>
      <c r="R8">
        <f>((Q8+40)*5/9-40)+273.15</f>
        <v>111.19753218232304</v>
      </c>
      <c r="T8">
        <v>1</v>
      </c>
      <c r="U8">
        <f>((Q8+40)*5/9-40)+273.15</f>
        <v>111.19753218232304</v>
      </c>
      <c r="V8">
        <f>1/U8*1000</f>
        <v>8.993005333610892</v>
      </c>
      <c r="W8">
        <f>8.1494*(T8^-0.5538)</f>
        <v>8.1494</v>
      </c>
      <c r="X8">
        <f>1000/W8</f>
        <v>122.70842025179768</v>
      </c>
      <c r="Y8">
        <f>(W8-V8)^2</f>
        <v>0.7116699588967443</v>
      </c>
      <c r="Z8">
        <f>((X8-273.15)+40)*9/5-40</f>
        <v>-238.7948435467641</v>
      </c>
    </row>
    <row r="9" spans="4:29" ht="12.75">
      <c r="D9">
        <v>29.925</v>
      </c>
      <c r="E9">
        <f aca="true" t="shared" si="1" ref="E9:E26">H9*$E$6+I9*$E$5</f>
        <v>30.0494</v>
      </c>
      <c r="H9">
        <f>H8+1</f>
        <v>2</v>
      </c>
      <c r="I9">
        <f aca="true" t="shared" si="2" ref="I9:I26">H9*2+2</f>
        <v>6</v>
      </c>
      <c r="J9" s="13">
        <v>3.93835</v>
      </c>
      <c r="K9" s="14">
        <v>659.739</v>
      </c>
      <c r="L9" s="14">
        <v>-16.719</v>
      </c>
      <c r="N9">
        <f aca="true" t="shared" si="3" ref="N9:N26">J9-(K9/($N$6+L9))</f>
        <v>1.6959322006972366</v>
      </c>
      <c r="O9">
        <f aca="true" t="shared" si="4" ref="O9:O26">10^N9</f>
        <v>49.651480265461984</v>
      </c>
      <c r="P9">
        <f aca="true" t="shared" si="5" ref="P9:P26">O9*14.7</f>
        <v>729.8767599022912</v>
      </c>
      <c r="Q9">
        <v>-128.04519051389772</v>
      </c>
      <c r="R9">
        <f aca="true" t="shared" si="6" ref="R9:R26">((Q9+40)*5/9-40)+273.15</f>
        <v>184.2360052700568</v>
      </c>
      <c r="T9">
        <f>T8+1</f>
        <v>2</v>
      </c>
      <c r="U9">
        <f aca="true" t="shared" si="7" ref="U9:U26">((Q9+40)*5/9-40)+273.15</f>
        <v>184.2360052700568</v>
      </c>
      <c r="V9">
        <f aca="true" t="shared" si="8" ref="V9:V26">1/U9*1000</f>
        <v>5.427820683227364</v>
      </c>
      <c r="W9">
        <f aca="true" t="shared" si="9" ref="W9:W26">8.1494*(T9^-0.5538)</f>
        <v>5.5515623703677095</v>
      </c>
      <c r="X9">
        <f aca="true" t="shared" si="10" ref="X9:X26">1000/W9</f>
        <v>180.1294722612951</v>
      </c>
      <c r="Y9">
        <f aca="true" t="shared" si="11" ref="Y9:Y26">(W9-V9)^2</f>
        <v>0.01531200513633912</v>
      </c>
      <c r="Z9">
        <f aca="true" t="shared" si="12" ref="Z9:Z26">((X9-273.15)+40)*9/5-40</f>
        <v>-135.4369499296688</v>
      </c>
      <c r="AA9" t="s">
        <v>220</v>
      </c>
      <c r="AB9" t="s">
        <v>219</v>
      </c>
      <c r="AC9" t="s">
        <v>221</v>
      </c>
    </row>
    <row r="10" spans="4:29" ht="12.75">
      <c r="D10">
        <v>43.8</v>
      </c>
      <c r="E10">
        <f t="shared" si="1"/>
        <v>44.0662</v>
      </c>
      <c r="H10">
        <f aca="true" t="shared" si="13" ref="H10:H26">H9+1</f>
        <v>3</v>
      </c>
      <c r="I10">
        <f t="shared" si="2"/>
        <v>8</v>
      </c>
      <c r="J10" s="13">
        <v>3.98292</v>
      </c>
      <c r="K10" s="14">
        <v>819.296</v>
      </c>
      <c r="L10" s="14">
        <v>-24.417</v>
      </c>
      <c r="N10">
        <f t="shared" si="3"/>
        <v>1.1233556710257555</v>
      </c>
      <c r="O10">
        <f t="shared" si="4"/>
        <v>13.284819896774094</v>
      </c>
      <c r="P10">
        <f t="shared" si="5"/>
        <v>195.28685248257918</v>
      </c>
      <c r="Q10">
        <v>-45.455212087848054</v>
      </c>
      <c r="R10">
        <f t="shared" si="6"/>
        <v>230.11932661786216</v>
      </c>
      <c r="T10">
        <f aca="true" t="shared" si="14" ref="T10:T26">T9+1</f>
        <v>3</v>
      </c>
      <c r="U10">
        <f t="shared" si="7"/>
        <v>230.11932661786216</v>
      </c>
      <c r="V10">
        <f t="shared" si="8"/>
        <v>4.345571554972466</v>
      </c>
      <c r="W10">
        <f t="shared" si="9"/>
        <v>4.435023078402442</v>
      </c>
      <c r="X10">
        <f t="shared" si="10"/>
        <v>225.477969859903</v>
      </c>
      <c r="Y10">
        <f t="shared" si="11"/>
        <v>0.00800157504394358</v>
      </c>
      <c r="Z10">
        <f t="shared" si="12"/>
        <v>-53.80965425217456</v>
      </c>
      <c r="AA10">
        <v>353.5</v>
      </c>
      <c r="AB10">
        <f>((AA10+40)*5/9-40)+273.15</f>
        <v>451.76111111111106</v>
      </c>
      <c r="AC10">
        <f>1/AB10*1000</f>
        <v>2.213559280347283</v>
      </c>
    </row>
    <row r="11" spans="4:26" ht="12.75">
      <c r="D11">
        <v>57.625</v>
      </c>
      <c r="E11">
        <f t="shared" si="1"/>
        <v>58.083</v>
      </c>
      <c r="H11">
        <f t="shared" si="13"/>
        <v>4</v>
      </c>
      <c r="I11">
        <f t="shared" si="2"/>
        <v>10</v>
      </c>
      <c r="J11" s="13">
        <v>3.85002</v>
      </c>
      <c r="K11" s="14">
        <v>909.65</v>
      </c>
      <c r="L11" s="14">
        <v>-36.146</v>
      </c>
      <c r="N11">
        <f t="shared" si="3"/>
        <v>0.5395748629296135</v>
      </c>
      <c r="O11">
        <f t="shared" si="4"/>
        <v>3.463975908780742</v>
      </c>
      <c r="P11">
        <f t="shared" si="5"/>
        <v>50.9204458590769</v>
      </c>
      <c r="Q11">
        <v>30.681509153752074</v>
      </c>
      <c r="R11">
        <f t="shared" si="6"/>
        <v>272.4175050854178</v>
      </c>
      <c r="T11">
        <f t="shared" si="14"/>
        <v>4</v>
      </c>
      <c r="U11">
        <f t="shared" si="7"/>
        <v>272.4175050854178</v>
      </c>
      <c r="V11">
        <f t="shared" si="8"/>
        <v>3.6708360561721065</v>
      </c>
      <c r="W11">
        <f t="shared" si="9"/>
        <v>3.7818544619337304</v>
      </c>
      <c r="X11">
        <f t="shared" si="10"/>
        <v>264.42054025756505</v>
      </c>
      <c r="Y11">
        <f t="shared" si="11"/>
        <v>0.012325086417852571</v>
      </c>
      <c r="Z11">
        <f t="shared" si="12"/>
        <v>16.286972463617133</v>
      </c>
    </row>
    <row r="12" spans="4:28" ht="12.75">
      <c r="D12">
        <v>71.4</v>
      </c>
      <c r="E12">
        <f t="shared" si="1"/>
        <v>72.09979999999999</v>
      </c>
      <c r="H12">
        <f t="shared" si="13"/>
        <v>5</v>
      </c>
      <c r="I12">
        <f t="shared" si="2"/>
        <v>12</v>
      </c>
      <c r="J12" s="13">
        <v>3.9892</v>
      </c>
      <c r="K12" s="14">
        <v>1070.617</v>
      </c>
      <c r="L12" s="14">
        <v>-40.454</v>
      </c>
      <c r="N12">
        <f t="shared" si="3"/>
        <v>0.03089761373458222</v>
      </c>
      <c r="O12">
        <f t="shared" si="4"/>
        <v>1.0737362458638544</v>
      </c>
      <c r="P12">
        <f t="shared" si="5"/>
        <v>15.78392281419866</v>
      </c>
      <c r="Q12">
        <v>96.22984088469585</v>
      </c>
      <c r="R12">
        <f t="shared" si="6"/>
        <v>308.8332449359421</v>
      </c>
      <c r="T12">
        <f t="shared" si="14"/>
        <v>5</v>
      </c>
      <c r="U12">
        <f t="shared" si="7"/>
        <v>308.8332449359421</v>
      </c>
      <c r="V12">
        <f t="shared" si="8"/>
        <v>3.2379933714954134</v>
      </c>
      <c r="W12">
        <f t="shared" si="9"/>
        <v>3.3422277945782413</v>
      </c>
      <c r="X12">
        <f t="shared" si="10"/>
        <v>299.20162881243436</v>
      </c>
      <c r="Y12">
        <f t="shared" si="11"/>
        <v>0.01086481495540995</v>
      </c>
      <c r="Z12">
        <f t="shared" si="12"/>
        <v>78.8929318623819</v>
      </c>
      <c r="AA12" t="s">
        <v>222</v>
      </c>
      <c r="AB12">
        <f>(AC10/$Z$3)^(1/Z4)</f>
        <v>10.521844288363257</v>
      </c>
    </row>
    <row r="13" spans="4:26" ht="12.75">
      <c r="D13">
        <v>85.125</v>
      </c>
      <c r="E13">
        <f t="shared" si="1"/>
        <v>86.1166</v>
      </c>
      <c r="H13">
        <f t="shared" si="13"/>
        <v>6</v>
      </c>
      <c r="I13">
        <f t="shared" si="2"/>
        <v>14</v>
      </c>
      <c r="J13" s="13">
        <v>4.00266</v>
      </c>
      <c r="K13" s="14">
        <v>1171.53</v>
      </c>
      <c r="L13" s="14">
        <v>-48.784</v>
      </c>
      <c r="N13">
        <f t="shared" si="3"/>
        <v>-0.4663760760464788</v>
      </c>
      <c r="O13">
        <f t="shared" si="4"/>
        <v>0.3416834345898317</v>
      </c>
      <c r="P13">
        <f t="shared" si="5"/>
        <v>5.022746488470526</v>
      </c>
      <c r="Q13">
        <v>154.98115930724026</v>
      </c>
      <c r="R13">
        <f t="shared" si="6"/>
        <v>341.4728662818001</v>
      </c>
      <c r="T13">
        <f t="shared" si="14"/>
        <v>6</v>
      </c>
      <c r="U13">
        <f t="shared" si="7"/>
        <v>341.4728662818001</v>
      </c>
      <c r="V13">
        <f t="shared" si="8"/>
        <v>2.928490368469719</v>
      </c>
      <c r="W13">
        <f t="shared" si="9"/>
        <v>3.021241715190242</v>
      </c>
      <c r="X13">
        <f t="shared" si="10"/>
        <v>330.98973676028163</v>
      </c>
      <c r="Y13">
        <f t="shared" si="11"/>
        <v>0.00860281231847063</v>
      </c>
      <c r="Z13">
        <f t="shared" si="12"/>
        <v>136.11152616850697</v>
      </c>
    </row>
    <row r="14" spans="4:26" ht="12.75">
      <c r="D14">
        <v>98.8</v>
      </c>
      <c r="E14">
        <f t="shared" si="1"/>
        <v>100.1334</v>
      </c>
      <c r="H14">
        <f t="shared" si="13"/>
        <v>7</v>
      </c>
      <c r="I14">
        <f t="shared" si="2"/>
        <v>16</v>
      </c>
      <c r="J14" s="13">
        <v>4.02832</v>
      </c>
      <c r="K14" s="14">
        <v>1268.636</v>
      </c>
      <c r="L14" s="14">
        <v>-56.199</v>
      </c>
      <c r="N14">
        <f t="shared" si="3"/>
        <v>-0.9520203096714202</v>
      </c>
      <c r="O14">
        <f t="shared" si="4"/>
        <v>0.11168110191749676</v>
      </c>
      <c r="P14">
        <f t="shared" si="5"/>
        <v>1.6417121981872023</v>
      </c>
      <c r="Q14">
        <v>208.36048006066858</v>
      </c>
      <c r="R14">
        <f t="shared" si="6"/>
        <v>371.12804447814915</v>
      </c>
      <c r="T14">
        <f t="shared" si="14"/>
        <v>7</v>
      </c>
      <c r="U14">
        <f t="shared" si="7"/>
        <v>371.12804447814915</v>
      </c>
      <c r="V14">
        <f t="shared" si="8"/>
        <v>2.694487832106897</v>
      </c>
      <c r="W14">
        <f t="shared" si="9"/>
        <v>2.774024806526411</v>
      </c>
      <c r="X14">
        <f t="shared" si="10"/>
        <v>360.48704310333255</v>
      </c>
      <c r="Y14">
        <f t="shared" si="11"/>
        <v>0.0063261302998104275</v>
      </c>
      <c r="Z14">
        <f t="shared" si="12"/>
        <v>189.20667758599865</v>
      </c>
    </row>
    <row r="15" spans="4:26" ht="12.75">
      <c r="D15">
        <v>112.425</v>
      </c>
      <c r="E15">
        <f t="shared" si="1"/>
        <v>114.1502</v>
      </c>
      <c r="H15">
        <f t="shared" si="13"/>
        <v>8</v>
      </c>
      <c r="I15">
        <f t="shared" si="2"/>
        <v>18</v>
      </c>
      <c r="J15" s="13">
        <v>4.04867</v>
      </c>
      <c r="K15" s="14">
        <v>1355.126</v>
      </c>
      <c r="L15" s="14">
        <v>-63.633</v>
      </c>
      <c r="N15">
        <f t="shared" si="3"/>
        <v>-1.4311303102909578</v>
      </c>
      <c r="O15">
        <f t="shared" si="4"/>
        <v>0.03705695155188591</v>
      </c>
      <c r="P15">
        <f t="shared" si="5"/>
        <v>0.5447371878127228</v>
      </c>
      <c r="Q15">
        <v>257.3463667474219</v>
      </c>
      <c r="R15">
        <f t="shared" si="6"/>
        <v>398.3424259707899</v>
      </c>
      <c r="T15">
        <f t="shared" si="14"/>
        <v>8</v>
      </c>
      <c r="U15">
        <f t="shared" si="7"/>
        <v>398.3424259707899</v>
      </c>
      <c r="V15">
        <f t="shared" si="8"/>
        <v>2.510402946818748</v>
      </c>
      <c r="W15">
        <f t="shared" si="9"/>
        <v>2.5762879378946324</v>
      </c>
      <c r="X15">
        <f t="shared" si="10"/>
        <v>388.15537086945716</v>
      </c>
      <c r="Y15">
        <f t="shared" si="11"/>
        <v>0.004340832049069383</v>
      </c>
      <c r="Z15">
        <f t="shared" si="12"/>
        <v>239.00966756502294</v>
      </c>
    </row>
    <row r="16" spans="4:26" ht="12.75">
      <c r="D16">
        <v>126</v>
      </c>
      <c r="E16">
        <f t="shared" si="1"/>
        <v>128.167</v>
      </c>
      <c r="H16">
        <f t="shared" si="13"/>
        <v>9</v>
      </c>
      <c r="I16">
        <f t="shared" si="2"/>
        <v>20</v>
      </c>
      <c r="J16" s="13">
        <v>4.06245</v>
      </c>
      <c r="K16" s="14">
        <v>1430.377</v>
      </c>
      <c r="L16" s="14">
        <v>-71.355</v>
      </c>
      <c r="N16">
        <f t="shared" si="3"/>
        <v>-1.9080822669288624</v>
      </c>
      <c r="O16">
        <f t="shared" si="4"/>
        <v>0.012357133342924185</v>
      </c>
      <c r="P16">
        <f t="shared" si="5"/>
        <v>0.1816498601409855</v>
      </c>
      <c r="Q16">
        <v>302.5438853015259</v>
      </c>
      <c r="R16">
        <f t="shared" si="6"/>
        <v>423.4521585008477</v>
      </c>
      <c r="T16">
        <f t="shared" si="14"/>
        <v>9</v>
      </c>
      <c r="U16">
        <f t="shared" si="7"/>
        <v>423.4521585008477</v>
      </c>
      <c r="V16">
        <f t="shared" si="8"/>
        <v>2.361541864706301</v>
      </c>
      <c r="W16">
        <f t="shared" si="9"/>
        <v>2.413604646472412</v>
      </c>
      <c r="X16">
        <f t="shared" si="10"/>
        <v>414.3180621820328</v>
      </c>
      <c r="Y16">
        <f t="shared" si="11"/>
        <v>0.002710533245225678</v>
      </c>
      <c r="Z16">
        <f t="shared" si="12"/>
        <v>286.10251192765907</v>
      </c>
    </row>
    <row r="17" spans="4:26" ht="12.75">
      <c r="D17">
        <v>139.525</v>
      </c>
      <c r="E17">
        <f t="shared" si="1"/>
        <v>142.1838</v>
      </c>
      <c r="H17">
        <f t="shared" si="13"/>
        <v>10</v>
      </c>
      <c r="I17">
        <f t="shared" si="2"/>
        <v>22</v>
      </c>
      <c r="J17" s="13">
        <v>4.07857</v>
      </c>
      <c r="K17" s="14">
        <v>1501.268</v>
      </c>
      <c r="L17" s="14">
        <v>-78.67</v>
      </c>
      <c r="N17">
        <f t="shared" si="3"/>
        <v>-2.3852307577787144</v>
      </c>
      <c r="O17">
        <f t="shared" si="4"/>
        <v>0.004118786136016985</v>
      </c>
      <c r="P17">
        <f t="shared" si="5"/>
        <v>0.060546156199449676</v>
      </c>
      <c r="Q17">
        <v>344.49103888765904</v>
      </c>
      <c r="R17">
        <f t="shared" si="6"/>
        <v>446.7561327153661</v>
      </c>
      <c r="T17">
        <f t="shared" si="14"/>
        <v>10</v>
      </c>
      <c r="U17">
        <f t="shared" si="7"/>
        <v>446.7561327153661</v>
      </c>
      <c r="V17">
        <f t="shared" si="8"/>
        <v>2.238357633552873</v>
      </c>
      <c r="W17">
        <f t="shared" si="9"/>
        <v>2.27680394355138</v>
      </c>
      <c r="X17">
        <f t="shared" si="10"/>
        <v>439.2121696873868</v>
      </c>
      <c r="Y17">
        <f t="shared" si="11"/>
        <v>0.0014781187525012875</v>
      </c>
      <c r="Z17">
        <f t="shared" si="12"/>
        <v>330.91190543729624</v>
      </c>
    </row>
    <row r="18" spans="4:26" ht="12.75">
      <c r="D18">
        <v>153</v>
      </c>
      <c r="E18">
        <f t="shared" si="1"/>
        <v>156.2006</v>
      </c>
      <c r="H18">
        <f t="shared" si="13"/>
        <v>11</v>
      </c>
      <c r="I18">
        <f t="shared" si="2"/>
        <v>24</v>
      </c>
      <c r="J18" s="13">
        <v>4.10164</v>
      </c>
      <c r="K18" s="14">
        <v>1572.477</v>
      </c>
      <c r="L18" s="14">
        <v>-85.128</v>
      </c>
      <c r="N18">
        <f t="shared" si="3"/>
        <v>-2.862392540136346</v>
      </c>
      <c r="O18">
        <f t="shared" si="4"/>
        <v>0.0013728005985618858</v>
      </c>
      <c r="P18">
        <f t="shared" si="5"/>
        <v>0.02018016879885972</v>
      </c>
      <c r="Q18">
        <v>383.6382976561022</v>
      </c>
      <c r="R18">
        <f t="shared" si="6"/>
        <v>468.5046098089457</v>
      </c>
      <c r="T18">
        <f t="shared" si="14"/>
        <v>11</v>
      </c>
      <c r="U18">
        <f t="shared" si="7"/>
        <v>468.5046098089457</v>
      </c>
      <c r="V18">
        <f t="shared" si="8"/>
        <v>2.1344507163073505</v>
      </c>
      <c r="W18">
        <f t="shared" si="9"/>
        <v>2.1597444463789452</v>
      </c>
      <c r="X18">
        <f t="shared" si="10"/>
        <v>463.0177434541446</v>
      </c>
      <c r="Y18">
        <f t="shared" si="11"/>
        <v>0.0006397727809346963</v>
      </c>
      <c r="Z18">
        <f t="shared" si="12"/>
        <v>373.7619382174603</v>
      </c>
    </row>
    <row r="19" spans="4:26" ht="12.75">
      <c r="D19">
        <v>166.425</v>
      </c>
      <c r="E19">
        <f t="shared" si="1"/>
        <v>170.2174</v>
      </c>
      <c r="H19">
        <f t="shared" si="13"/>
        <v>12</v>
      </c>
      <c r="I19">
        <f t="shared" si="2"/>
        <v>26</v>
      </c>
      <c r="J19" s="13">
        <v>4.10549</v>
      </c>
      <c r="K19" s="14">
        <v>1625.928</v>
      </c>
      <c r="L19" s="14">
        <v>-92.839</v>
      </c>
      <c r="N19">
        <f t="shared" si="3"/>
        <v>-3.3498592232266287</v>
      </c>
      <c r="O19">
        <f t="shared" si="4"/>
        <v>0.0004468284083304635</v>
      </c>
      <c r="P19">
        <f t="shared" si="5"/>
        <v>0.006568377602457813</v>
      </c>
      <c r="Q19">
        <v>420.30785829919273</v>
      </c>
      <c r="R19">
        <f t="shared" si="6"/>
        <v>488.87658794399596</v>
      </c>
      <c r="T19">
        <f t="shared" si="14"/>
        <v>12</v>
      </c>
      <c r="U19">
        <f t="shared" si="7"/>
        <v>488.87658794399596</v>
      </c>
      <c r="V19">
        <f t="shared" si="8"/>
        <v>2.0455060124796907</v>
      </c>
      <c r="W19">
        <f t="shared" si="9"/>
        <v>2.0581406996632072</v>
      </c>
      <c r="X19">
        <f t="shared" si="10"/>
        <v>485.8754312392925</v>
      </c>
      <c r="Y19">
        <f t="shared" si="11"/>
        <v>0.00015963532022531785</v>
      </c>
      <c r="Z19">
        <f t="shared" si="12"/>
        <v>414.9057762307265</v>
      </c>
    </row>
    <row r="20" spans="4:26" ht="12.75">
      <c r="D20">
        <v>179.8</v>
      </c>
      <c r="E20">
        <f t="shared" si="1"/>
        <v>184.23420000000002</v>
      </c>
      <c r="H20">
        <f t="shared" si="13"/>
        <v>13</v>
      </c>
      <c r="I20">
        <f t="shared" si="2"/>
        <v>28</v>
      </c>
      <c r="J20" s="13">
        <v>4.12829</v>
      </c>
      <c r="K20" s="14">
        <v>1689.093</v>
      </c>
      <c r="L20" s="14">
        <v>-98.866</v>
      </c>
      <c r="N20">
        <f t="shared" si="3"/>
        <v>-3.836808744810214</v>
      </c>
      <c r="O20">
        <f t="shared" si="4"/>
        <v>0.00014561001787687078</v>
      </c>
      <c r="P20">
        <f t="shared" si="5"/>
        <v>0.0021404672627900003</v>
      </c>
      <c r="Q20">
        <v>454.7603536809029</v>
      </c>
      <c r="R20">
        <f t="shared" si="6"/>
        <v>508.0168631560571</v>
      </c>
      <c r="T20">
        <f t="shared" si="14"/>
        <v>13</v>
      </c>
      <c r="U20">
        <f t="shared" si="7"/>
        <v>508.0168631560571</v>
      </c>
      <c r="V20">
        <f t="shared" si="8"/>
        <v>1.968438594316526</v>
      </c>
      <c r="W20">
        <f t="shared" si="9"/>
        <v>1.9689006686050088</v>
      </c>
      <c r="X20">
        <f t="shared" si="10"/>
        <v>507.89763848702063</v>
      </c>
      <c r="Y20">
        <f t="shared" si="11"/>
        <v>2.135126480769628E-07</v>
      </c>
      <c r="Z20">
        <f t="shared" si="12"/>
        <v>454.54574927663714</v>
      </c>
    </row>
    <row r="21" spans="4:26" ht="12.75">
      <c r="D21">
        <v>193.125</v>
      </c>
      <c r="E21">
        <f t="shared" si="1"/>
        <v>198.25099999999998</v>
      </c>
      <c r="H21">
        <f t="shared" si="13"/>
        <v>14</v>
      </c>
      <c r="I21">
        <f t="shared" si="2"/>
        <v>30</v>
      </c>
      <c r="J21" s="13">
        <v>4.13735</v>
      </c>
      <c r="K21" s="14">
        <v>1739.623</v>
      </c>
      <c r="L21" s="14">
        <v>-105.616</v>
      </c>
      <c r="N21">
        <f t="shared" si="3"/>
        <v>-4.335729425004574</v>
      </c>
      <c r="O21">
        <f t="shared" si="4"/>
        <v>4.6160507508598384E-05</v>
      </c>
      <c r="P21">
        <f t="shared" si="5"/>
        <v>0.0006785594603763962</v>
      </c>
      <c r="Q21">
        <v>487.2811602918871</v>
      </c>
      <c r="R21">
        <f t="shared" si="6"/>
        <v>526.0839779399373</v>
      </c>
      <c r="T21">
        <f t="shared" si="14"/>
        <v>14</v>
      </c>
      <c r="U21">
        <f t="shared" si="7"/>
        <v>526.0839779399373</v>
      </c>
      <c r="V21">
        <f t="shared" si="8"/>
        <v>1.900837208378487</v>
      </c>
      <c r="W21">
        <f t="shared" si="9"/>
        <v>1.8897307446411495</v>
      </c>
      <c r="X21">
        <f t="shared" si="10"/>
        <v>529.1759171700913</v>
      </c>
      <c r="Y21">
        <f t="shared" si="11"/>
        <v>0.00012335353674879242</v>
      </c>
      <c r="Z21">
        <f t="shared" si="12"/>
        <v>492.8466509061644</v>
      </c>
    </row>
    <row r="22" spans="4:26" ht="12.75">
      <c r="D22">
        <v>206.4</v>
      </c>
      <c r="E22">
        <f t="shared" si="1"/>
        <v>212.2678</v>
      </c>
      <c r="H22">
        <f t="shared" si="13"/>
        <v>15</v>
      </c>
      <c r="I22">
        <f t="shared" si="2"/>
        <v>32</v>
      </c>
      <c r="J22" s="13">
        <v>4.14935</v>
      </c>
      <c r="K22" s="14">
        <v>1789.658</v>
      </c>
      <c r="L22" s="14">
        <v>-111.859</v>
      </c>
      <c r="N22">
        <f t="shared" si="3"/>
        <v>-4.8407991332699645</v>
      </c>
      <c r="O22">
        <f t="shared" si="4"/>
        <v>1.442782502516008E-05</v>
      </c>
      <c r="P22">
        <f t="shared" si="5"/>
        <v>0.00021208902786985315</v>
      </c>
      <c r="Q22">
        <v>518.0350414787989</v>
      </c>
      <c r="R22">
        <f t="shared" si="6"/>
        <v>543.1694674882216</v>
      </c>
      <c r="T22">
        <f t="shared" si="14"/>
        <v>15</v>
      </c>
      <c r="U22">
        <f t="shared" si="7"/>
        <v>543.1694674882216</v>
      </c>
      <c r="V22">
        <f t="shared" si="8"/>
        <v>1.8410460452136599</v>
      </c>
      <c r="W22">
        <f t="shared" si="9"/>
        <v>1.8188894154456274</v>
      </c>
      <c r="X22">
        <f t="shared" si="10"/>
        <v>549.7860350982362</v>
      </c>
      <c r="Y22">
        <f t="shared" si="11"/>
        <v>0.0004909162426776619</v>
      </c>
      <c r="Z22">
        <f t="shared" si="12"/>
        <v>529.9448631768253</v>
      </c>
    </row>
    <row r="23" spans="4:26" ht="12.75">
      <c r="D23">
        <v>219.625</v>
      </c>
      <c r="E23">
        <f t="shared" si="1"/>
        <v>226.28459999999998</v>
      </c>
      <c r="H23">
        <f t="shared" si="13"/>
        <v>16</v>
      </c>
      <c r="I23">
        <f t="shared" si="2"/>
        <v>34</v>
      </c>
      <c r="J23" s="13">
        <v>4.17312</v>
      </c>
      <c r="K23" s="14">
        <v>1845.672</v>
      </c>
      <c r="L23" s="14">
        <v>-117.054</v>
      </c>
      <c r="N23">
        <f t="shared" si="3"/>
        <v>-5.346847172226606</v>
      </c>
      <c r="O23">
        <f t="shared" si="4"/>
        <v>4.499381598052531E-06</v>
      </c>
      <c r="P23">
        <f t="shared" si="5"/>
        <v>6.61409094913722E-05</v>
      </c>
      <c r="Q23">
        <v>547.1245268307453</v>
      </c>
      <c r="R23">
        <f t="shared" si="6"/>
        <v>559.3302926837473</v>
      </c>
      <c r="T23">
        <f t="shared" si="14"/>
        <v>16</v>
      </c>
      <c r="U23">
        <f t="shared" si="7"/>
        <v>559.3302926837473</v>
      </c>
      <c r="V23">
        <f t="shared" si="8"/>
        <v>1.7878523889737064</v>
      </c>
      <c r="W23">
        <f t="shared" si="9"/>
        <v>1.7550277531165561</v>
      </c>
      <c r="X23">
        <f t="shared" si="10"/>
        <v>569.7915592640701</v>
      </c>
      <c r="Y23">
        <f t="shared" si="11"/>
        <v>0.0010774567191545127</v>
      </c>
      <c r="Z23">
        <f t="shared" si="12"/>
        <v>565.9548066753262</v>
      </c>
    </row>
    <row r="24" spans="4:26" ht="12.75">
      <c r="D24">
        <v>232.8</v>
      </c>
      <c r="E24">
        <f t="shared" si="1"/>
        <v>240.3014</v>
      </c>
      <c r="H24">
        <f t="shared" si="13"/>
        <v>17</v>
      </c>
      <c r="I24">
        <f t="shared" si="2"/>
        <v>36</v>
      </c>
      <c r="J24" s="13">
        <v>3.9273</v>
      </c>
      <c r="K24" s="14">
        <v>1718.004</v>
      </c>
      <c r="L24" s="14">
        <v>-138.126</v>
      </c>
      <c r="N24">
        <f t="shared" si="3"/>
        <v>-6.014750493307683</v>
      </c>
      <c r="O24">
        <f t="shared" si="4"/>
        <v>9.666060447163496E-07</v>
      </c>
      <c r="P24">
        <f t="shared" si="5"/>
        <v>1.4209108857330338E-05</v>
      </c>
      <c r="Q24">
        <v>576.3698430629701</v>
      </c>
      <c r="R24">
        <f t="shared" si="6"/>
        <v>575.5776905905389</v>
      </c>
      <c r="T24">
        <f t="shared" si="14"/>
        <v>17</v>
      </c>
      <c r="U24">
        <f t="shared" si="7"/>
        <v>575.5776905905389</v>
      </c>
      <c r="V24">
        <f t="shared" si="8"/>
        <v>1.7373849201382472</v>
      </c>
      <c r="W24">
        <f t="shared" si="9"/>
        <v>1.6970827625365963</v>
      </c>
      <c r="X24">
        <f t="shared" si="10"/>
        <v>589.2464540181409</v>
      </c>
      <c r="Y24">
        <f t="shared" si="11"/>
        <v>0.0016242639073483075</v>
      </c>
      <c r="Z24">
        <f t="shared" si="12"/>
        <v>600.9736172326536</v>
      </c>
    </row>
    <row r="25" spans="4:26" ht="12.75">
      <c r="D25">
        <v>245.925</v>
      </c>
      <c r="E25">
        <f t="shared" si="1"/>
        <v>254.3182</v>
      </c>
      <c r="H25">
        <f t="shared" si="13"/>
        <v>18</v>
      </c>
      <c r="I25">
        <f t="shared" si="2"/>
        <v>38</v>
      </c>
      <c r="J25" s="13">
        <v>4.33209</v>
      </c>
      <c r="K25" s="14">
        <v>2068.963</v>
      </c>
      <c r="L25" s="14">
        <v>-111.927</v>
      </c>
      <c r="N25">
        <f t="shared" si="3"/>
        <v>-6.064668359961746</v>
      </c>
      <c r="O25">
        <f t="shared" si="4"/>
        <v>8.616514834336517E-07</v>
      </c>
      <c r="P25">
        <f t="shared" si="5"/>
        <v>1.2666276806474679E-05</v>
      </c>
      <c r="Q25">
        <v>601.4579348998712</v>
      </c>
      <c r="R25">
        <f t="shared" si="6"/>
        <v>589.5155193888173</v>
      </c>
      <c r="T25">
        <f t="shared" si="14"/>
        <v>18</v>
      </c>
      <c r="U25">
        <f t="shared" si="7"/>
        <v>589.5155193888173</v>
      </c>
      <c r="V25">
        <f t="shared" si="8"/>
        <v>1.6963081837722511</v>
      </c>
      <c r="W25">
        <f t="shared" si="9"/>
        <v>1.6442040803373137</v>
      </c>
      <c r="X25">
        <f t="shared" si="10"/>
        <v>608.1970066604182</v>
      </c>
      <c r="Y25">
        <f t="shared" si="11"/>
        <v>0.002714837594758659</v>
      </c>
      <c r="Z25">
        <f t="shared" si="12"/>
        <v>635.0846119887528</v>
      </c>
    </row>
    <row r="26" spans="4:26" ht="12.75">
      <c r="D26">
        <v>259</v>
      </c>
      <c r="E26">
        <f t="shared" si="1"/>
        <v>268.335</v>
      </c>
      <c r="H26">
        <f t="shared" si="13"/>
        <v>19</v>
      </c>
      <c r="I26">
        <f t="shared" si="2"/>
        <v>40</v>
      </c>
      <c r="J26" s="13">
        <v>30.42816</v>
      </c>
      <c r="K26" s="14">
        <v>28197.488</v>
      </c>
      <c r="L26" s="14">
        <v>452.785</v>
      </c>
      <c r="N26">
        <f t="shared" si="3"/>
        <v>-6.493427304127572</v>
      </c>
      <c r="O26">
        <f t="shared" si="4"/>
        <v>3.210500159824126E-07</v>
      </c>
      <c r="P26">
        <f t="shared" si="5"/>
        <v>4.719435234941465E-06</v>
      </c>
      <c r="Q26">
        <v>602.9</v>
      </c>
      <c r="R26">
        <f t="shared" si="6"/>
        <v>590.3166666666666</v>
      </c>
      <c r="T26">
        <f t="shared" si="14"/>
        <v>19</v>
      </c>
      <c r="U26">
        <f t="shared" si="7"/>
        <v>590.3166666666666</v>
      </c>
      <c r="V26">
        <f t="shared" si="8"/>
        <v>1.6940060419548832</v>
      </c>
      <c r="W26">
        <f t="shared" si="9"/>
        <v>1.5957023725111705</v>
      </c>
      <c r="X26">
        <f t="shared" si="10"/>
        <v>626.6832820623632</v>
      </c>
      <c r="Y26">
        <f t="shared" si="11"/>
        <v>0.009663611426098737</v>
      </c>
      <c r="Z26">
        <f t="shared" si="12"/>
        <v>668.3599077122539</v>
      </c>
    </row>
    <row r="34" spans="7:10" ht="12.75">
      <c r="G34" s="72"/>
      <c r="H34" s="72"/>
      <c r="J34" s="72"/>
    </row>
    <row r="36" spans="2:11" ht="12.75">
      <c r="B36" s="56"/>
      <c r="C36" s="56"/>
      <c r="D36" s="56"/>
      <c r="F36" s="56"/>
      <c r="H36" s="56"/>
      <c r="I36" s="56"/>
      <c r="K36" s="56"/>
    </row>
    <row r="38" spans="2:9" ht="12.75">
      <c r="B38" s="19"/>
      <c r="C38" s="19"/>
      <c r="H38" s="19"/>
      <c r="I38" s="19"/>
    </row>
    <row r="39" spans="2:9" ht="12.75">
      <c r="B39" s="19"/>
      <c r="C39" s="19"/>
      <c r="H39" s="19"/>
      <c r="I39" s="19"/>
    </row>
    <row r="40" spans="2:9" ht="12.75">
      <c r="B40" s="19"/>
      <c r="C40" s="19"/>
      <c r="H40" s="19"/>
      <c r="I40" s="19"/>
    </row>
    <row r="41" spans="2:9" ht="12.75">
      <c r="B41" s="19"/>
      <c r="C41" s="19"/>
      <c r="H41" s="19"/>
      <c r="I41" s="19"/>
    </row>
    <row r="42" spans="2:9" ht="12.75">
      <c r="B42" s="19"/>
      <c r="C42" s="19"/>
      <c r="H42" s="19"/>
      <c r="I42" s="19"/>
    </row>
    <row r="43" spans="2:9" ht="12.75">
      <c r="B43" s="19"/>
      <c r="C43" s="19"/>
      <c r="H43" s="19"/>
      <c r="I43" s="19"/>
    </row>
    <row r="44" spans="2:9" ht="12.75">
      <c r="B44" s="19"/>
      <c r="C44" s="19"/>
      <c r="H44" s="19"/>
      <c r="I44" s="19"/>
    </row>
    <row r="45" spans="2:9" ht="12.75">
      <c r="B45" s="19"/>
      <c r="C45" s="19"/>
      <c r="H45" s="19"/>
      <c r="I45" s="19"/>
    </row>
    <row r="46" spans="2:9" ht="12.75">
      <c r="B46" s="19"/>
      <c r="C46" s="19"/>
      <c r="H46" s="19"/>
      <c r="I46" s="19"/>
    </row>
    <row r="47" spans="2:9" ht="12.75">
      <c r="B47" s="19"/>
      <c r="C47" s="19"/>
      <c r="H47" s="19"/>
      <c r="I47" s="19"/>
    </row>
    <row r="48" spans="2:9" ht="12.75">
      <c r="B48" s="19"/>
      <c r="C48" s="19"/>
      <c r="H48" s="19"/>
      <c r="I48" s="19"/>
    </row>
    <row r="49" spans="2:9" ht="12.75">
      <c r="B49" s="19"/>
      <c r="C49" s="19"/>
      <c r="H49" s="19"/>
      <c r="I49" s="19"/>
    </row>
    <row r="50" spans="2:9" ht="12.75">
      <c r="B50" s="19"/>
      <c r="C50" s="19"/>
      <c r="H50" s="19"/>
      <c r="I50" s="19"/>
    </row>
    <row r="51" spans="2:9" ht="12.75">
      <c r="B51" s="19"/>
      <c r="C51" s="19"/>
      <c r="H51" s="19"/>
      <c r="I51" s="19"/>
    </row>
    <row r="52" spans="2:9" ht="12.75">
      <c r="B52" s="19"/>
      <c r="C52" s="19"/>
      <c r="H52" s="19"/>
      <c r="I52" s="19"/>
    </row>
    <row r="53" spans="2:9" ht="12.75">
      <c r="B53" s="19"/>
      <c r="C53" s="19"/>
      <c r="H53" s="19"/>
      <c r="I53" s="19"/>
    </row>
    <row r="54" spans="2:9" ht="12.75">
      <c r="B54" s="19"/>
      <c r="C54" s="19"/>
      <c r="H54" s="19"/>
      <c r="I54" s="19"/>
    </row>
    <row r="55" spans="2:9" ht="12.75">
      <c r="B55" s="19"/>
      <c r="C55" s="19"/>
      <c r="H55" s="19"/>
      <c r="I55" s="19"/>
    </row>
    <row r="56" spans="2:9" ht="12.75">
      <c r="B56" s="19"/>
      <c r="C56" s="19"/>
      <c r="H56" s="19"/>
      <c r="I56" s="19"/>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FAA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Aviation Accidents of the 1990s</dc:title>
  <dc:subject/>
  <dc:creator>Ivor Thomas</dc:creator>
  <cp:keywords/>
  <dc:description/>
  <cp:lastModifiedBy>NM117NIT</cp:lastModifiedBy>
  <cp:lastPrinted>2000-07-17T17:33:52Z</cp:lastPrinted>
  <dcterms:created xsi:type="dcterms:W3CDTF">1999-03-11T18:21:34Z</dcterms:created>
  <dcterms:modified xsi:type="dcterms:W3CDTF">2001-10-30T20:31:24Z</dcterms:modified>
  <cp:category/>
  <cp:version/>
  <cp:contentType/>
  <cp:contentStatus/>
</cp:coreProperties>
</file>