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975" windowHeight="12825" activeTab="0"/>
  </bookViews>
  <sheets>
    <sheet name="FBCRAC Cal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p">'[2](106) NR Data'!$L$4</definedName>
    <definedName name="dsa">'[4]FY02 Costs'!#REF!</definedName>
    <definedName name="iter">'[1]summary'!#REF!</definedName>
    <definedName name="iteration">'[1]summary'!#REF!</definedName>
    <definedName name="NvsASD">"V2001-12-31"</definedName>
    <definedName name="NvsAutoDrillOk">"VN"</definedName>
    <definedName name="NvsElapsedTime">0.000209027777600568</definedName>
    <definedName name="NvsEndTime">37270.3834538194</definedName>
    <definedName name="NvsInstSpec">"%"</definedName>
    <definedName name="NvsLayoutType">"M3"</definedName>
    <definedName name="NvsPanelEffdt">"V2000-02-28"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"V2001-12-31"</definedName>
    <definedName name="NvsValTbl.ACCOUNT">"GL_ACCOUNT_TBL"</definedName>
    <definedName name="NvsValTbl.BUSINESS_UNIT">"BUS_UNIT_TBL_GL"</definedName>
    <definedName name="NvsValTbl.PROJECT_ID">"PROJECT_VW"</definedName>
    <definedName name="NvsValTbl.SCENARIO">"BD_SCENARIO_TBL"</definedName>
    <definedName name="_xlnm.Print_Area" localSheetId="0">'FBCRAC Calc'!$A$1:$K$51</definedName>
    <definedName name="surplus">'[1]summary'!#REF!</definedName>
  </definedNames>
  <calcPr fullCalcOnLoad="1"/>
</workbook>
</file>

<file path=xl/comments1.xml><?xml version="1.0" encoding="utf-8"?>
<comments xmlns="http://schemas.openxmlformats.org/spreadsheetml/2006/main">
  <authors>
    <author>Bill Doubleday</author>
  </authors>
  <commentList>
    <comment ref="E31" authorId="0">
      <text>
        <r>
          <rPr>
            <b/>
            <sz val="8"/>
            <rFont val="Tahoma"/>
            <family val="0"/>
          </rPr>
          <t>Bill Doubleday:</t>
        </r>
        <r>
          <rPr>
            <sz val="8"/>
            <rFont val="Tahoma"/>
            <family val="0"/>
          </rPr>
          <t xml:space="preserve">
Includes firm portion of Slice only</t>
        </r>
      </text>
    </comment>
    <comment ref="G31" authorId="0">
      <text>
        <r>
          <rPr>
            <b/>
            <sz val="8"/>
            <rFont val="Tahoma"/>
            <family val="0"/>
          </rPr>
          <t>Bill Doubleday:</t>
        </r>
        <r>
          <rPr>
            <sz val="8"/>
            <rFont val="Tahoma"/>
            <family val="0"/>
          </rPr>
          <t xml:space="preserve">
Includes firm portion of Slice only</t>
        </r>
      </text>
    </comment>
    <comment ref="I31" authorId="0">
      <text>
        <r>
          <rPr>
            <b/>
            <sz val="8"/>
            <rFont val="Tahoma"/>
            <family val="0"/>
          </rPr>
          <t>Bill Doubleday:</t>
        </r>
        <r>
          <rPr>
            <sz val="8"/>
            <rFont val="Tahoma"/>
            <family val="0"/>
          </rPr>
          <t xml:space="preserve">
Includes firm portion of Slice only</t>
        </r>
      </text>
    </comment>
    <comment ref="K31" authorId="0">
      <text>
        <r>
          <rPr>
            <b/>
            <sz val="8"/>
            <rFont val="Tahoma"/>
            <family val="0"/>
          </rPr>
          <t>Bill Doubleday:</t>
        </r>
        <r>
          <rPr>
            <sz val="8"/>
            <rFont val="Tahoma"/>
            <family val="0"/>
          </rPr>
          <t xml:space="preserve">
Includes firm portion of Slice only</t>
        </r>
      </text>
    </comment>
  </commentList>
</comments>
</file>

<file path=xl/sharedStrings.xml><?xml version="1.0" encoding="utf-8"?>
<sst xmlns="http://schemas.openxmlformats.org/spreadsheetml/2006/main" count="62" uniqueCount="45">
  <si>
    <t>Summary of Sales and Revenues</t>
  </si>
  <si>
    <t>($000)</t>
  </si>
  <si>
    <t>aMW</t>
  </si>
  <si>
    <t>WEST HUB</t>
  </si>
  <si>
    <t>PF Full Service</t>
  </si>
  <si>
    <t>PF Partial Service</t>
  </si>
  <si>
    <t>PF Block Sales</t>
  </si>
  <si>
    <t>PF SLICE</t>
  </si>
  <si>
    <t>TOTAL WEST PF</t>
  </si>
  <si>
    <t>LDD Reduction (West)</t>
  </si>
  <si>
    <t>TOTAL WEST</t>
  </si>
  <si>
    <t>EAST HUB</t>
  </si>
  <si>
    <t>TOTAL EAST PF</t>
  </si>
  <si>
    <t>LDD Reduction (East)</t>
  </si>
  <si>
    <t>TOTAL EAST</t>
  </si>
  <si>
    <t>BULK HUB</t>
  </si>
  <si>
    <t xml:space="preserve"> </t>
  </si>
  <si>
    <t>DSI IP Sales</t>
  </si>
  <si>
    <t>DSI Load After Curtailments</t>
  </si>
  <si>
    <t>Subscription Sales to IOUs (RL)</t>
  </si>
  <si>
    <t>RL Load After Buybacks</t>
  </si>
  <si>
    <t>TOTAL REVENUE</t>
  </si>
  <si>
    <t>RL Buyback Subject to FBCRAC</t>
  </si>
  <si>
    <t>FBCRAC Revenue Basis</t>
  </si>
  <si>
    <t>Revenue Recovery Amount</t>
  </si>
  <si>
    <t>FBCRAC Percentage</t>
  </si>
  <si>
    <t>check against monthly totals</t>
  </si>
  <si>
    <t>PF Buyback for  SLICE  &amp; Block</t>
  </si>
  <si>
    <t>PF Reduction Ld Following</t>
  </si>
  <si>
    <t>RL Reduction</t>
  </si>
  <si>
    <t>RL Buyback</t>
  </si>
  <si>
    <t>IP Load Reduction</t>
  </si>
  <si>
    <t>IP Load Curtailment</t>
  </si>
  <si>
    <t>Slice Revenue</t>
  </si>
  <si>
    <t>Non-Slice PF Revenue</t>
  </si>
  <si>
    <t>RL Revenue</t>
  </si>
  <si>
    <t>IP Revenue</t>
  </si>
  <si>
    <t>Slice revenue as percent of FBCRAC Revenue Basis</t>
  </si>
  <si>
    <t>FB CRAC Maximum</t>
  </si>
  <si>
    <t>FB CRAC Max collectible</t>
  </si>
  <si>
    <t>Numbers from Rev Forecast</t>
  </si>
  <si>
    <t xml:space="preserve">  yielding crac/slice percentages</t>
  </si>
  <si>
    <t>Non-Slice FB CRAC</t>
  </si>
  <si>
    <t>rev percentage</t>
  </si>
  <si>
    <t>ToolKit "FB CRAC Slice Frc."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</si>
</sst>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FY&quot;yyyy"/>
    <numFmt numFmtId="167" formatCode="#,##0.0_);[Red]\(#,##0.0\)"/>
    <numFmt numFmtId="168" formatCode="0.000"/>
    <numFmt numFmtId="169" formatCode="&quot;$&quot;#,##0.0_);[Red]\(&quot;$&quot;#,##0.0\)"/>
    <numFmt numFmtId="170" formatCode="_(* #,##0_);_(* \(#,##0\);_(* &quot;-&quot;??_);_(@_)"/>
    <numFmt numFmtId="171" formatCode="0.000%"/>
    <numFmt numFmtId="172" formatCode="0.0000%"/>
    <numFmt numFmtId="173" formatCode="mmm\-yyyy"/>
    <numFmt numFmtId="174" formatCode="0.000000"/>
  </numFmts>
  <fonts count="23"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12"/>
      <name val="Times New Roman"/>
      <family val="1"/>
    </font>
    <font>
      <sz val="9"/>
      <color indexed="12"/>
      <name val="Arial"/>
      <family val="2"/>
    </font>
    <font>
      <b/>
      <sz val="12"/>
      <name val="Times New Roman"/>
      <family val="1"/>
    </font>
    <font>
      <b/>
      <sz val="10"/>
      <color indexed="37"/>
      <name val="Times New Roman"/>
      <family val="1"/>
    </font>
    <font>
      <b/>
      <sz val="9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2" xfId="0" applyNumberFormat="1" applyFont="1" applyBorder="1" applyAlignment="1" quotePrefix="1">
      <alignment horizontal="center"/>
    </xf>
    <xf numFmtId="0" fontId="5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6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6" fontId="9" fillId="0" borderId="2" xfId="0" applyNumberFormat="1" applyFont="1" applyBorder="1" applyAlignment="1">
      <alignment/>
    </xf>
    <xf numFmtId="6" fontId="7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  <xf numFmtId="6" fontId="12" fillId="3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6" fontId="12" fillId="3" borderId="2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5" fillId="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14" fillId="2" borderId="0" xfId="0" applyFont="1" applyFill="1" applyAlignment="1">
      <alignment/>
    </xf>
    <xf numFmtId="6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6" fontId="12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4" fillId="0" borderId="0" xfId="0" applyFont="1" applyFill="1" applyAlignment="1">
      <alignment/>
    </xf>
    <xf numFmtId="6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6" fontId="12" fillId="0" borderId="3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6" fontId="12" fillId="0" borderId="5" xfId="0" applyNumberFormat="1" applyFont="1" applyBorder="1" applyAlignment="1">
      <alignment/>
    </xf>
    <xf numFmtId="172" fontId="12" fillId="4" borderId="6" xfId="21" applyNumberFormat="1" applyFont="1" applyFill="1" applyBorder="1" applyAlignment="1">
      <alignment horizontal="center"/>
    </xf>
    <xf numFmtId="0" fontId="14" fillId="5" borderId="0" xfId="0" applyFont="1" applyFill="1" applyAlignment="1">
      <alignment/>
    </xf>
    <xf numFmtId="6" fontId="12" fillId="5" borderId="0" xfId="0" applyNumberFormat="1" applyFont="1" applyFill="1" applyAlignment="1">
      <alignment/>
    </xf>
    <xf numFmtId="3" fontId="12" fillId="5" borderId="0" xfId="0" applyNumberFormat="1" applyFont="1" applyFill="1" applyAlignment="1">
      <alignment/>
    </xf>
    <xf numFmtId="6" fontId="12" fillId="5" borderId="2" xfId="0" applyNumberFormat="1" applyFont="1" applyFill="1" applyBorder="1" applyAlignment="1">
      <alignment/>
    </xf>
    <xf numFmtId="3" fontId="12" fillId="5" borderId="1" xfId="0" applyNumberFormat="1" applyFont="1" applyFill="1" applyBorder="1" applyAlignment="1">
      <alignment/>
    </xf>
    <xf numFmtId="3" fontId="16" fillId="5" borderId="0" xfId="0" applyNumberFormat="1" applyFont="1" applyFill="1" applyAlignment="1">
      <alignment/>
    </xf>
    <xf numFmtId="0" fontId="17" fillId="0" borderId="0" xfId="0" applyFont="1" applyAlignment="1">
      <alignment/>
    </xf>
    <xf numFmtId="1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6" fontId="19" fillId="0" borderId="0" xfId="0" applyNumberFormat="1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72" fontId="12" fillId="0" borderId="0" xfId="21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6" fontId="12" fillId="0" borderId="8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10" fontId="12" fillId="0" borderId="8" xfId="21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/>
    </xf>
    <xf numFmtId="10" fontId="0" fillId="0" borderId="0" xfId="21" applyNumberFormat="1" applyAlignment="1">
      <alignment/>
    </xf>
    <xf numFmtId="172" fontId="0" fillId="0" borderId="0" xfId="0" applyNumberFormat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9%20rate%20case\1-Initial%20Rate%20Case%20Working\Studies\Cashflow\February%202002\Base\working%20cap_aud_2_cashflow_crac1_mod_continuous_C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M_MarketStrategy_Assmt\PM\Manary\FY02%20Analysis\Dec%2015%202001\FBCRAC%20Calculation_capp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l7620\LOCALS~1\Temp\FBSNCRACcalc_020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M_MarketStrategy_Assmt\PM\Manary\FY02%20Analysis\April%2002\R.C.%20Crosswalk%2002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rn1112\Local%20Settings\Temporary%20Internet%20Files\OLK150\FY03FBCRAC_0918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l7620\LOCALS~1\Temp\Data\$Jan10FY03%20FBCRACcal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5f01\Bus%20Decision\FY2003_Studies%20Working%20Directory\February%20Trigger%20Studies\$Jan10FY03%20price%20adj%20wo%20LB_FB%20CR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et Revenue"/>
      <sheetName val="Cumulative Net Revenue"/>
      <sheetName val="Net Cash Flow"/>
      <sheetName val="Excess Fish Credit"/>
      <sheetName val="Treasury Payment"/>
      <sheetName val="Reserve Fund Bala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rget Summary"/>
      <sheetName val="FY 2002"/>
      <sheetName val="(61) NR Data"/>
      <sheetName val="Cum NR Dist"/>
      <sheetName val="Ten Period Macro"/>
      <sheetName val="Summary (2)"/>
      <sheetName val="(106) NR Data"/>
      <sheetName val="FBCRAC Summary"/>
      <sheetName val="FB Calc"/>
      <sheetName val="Case 2 FBCRAC"/>
    </sheetNames>
    <sheetDataSet>
      <sheetData sheetId="7">
        <row r="4">
          <cell r="L4">
            <v>135000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UMMARY"/>
      <sheetName val="FB Rates"/>
      <sheetName val="Base LBCRAC"/>
      <sheetName val="FBCRAC 1"/>
      <sheetName val="FBCRAC Calc"/>
      <sheetName val="FBCRAC Handout"/>
      <sheetName val="Multiple 7is SNCRAC"/>
      <sheetName val="Single 7i SNCRAC"/>
      <sheetName val="Effect on IOUs"/>
      <sheetName val="FB Trigger"/>
      <sheetName val="Net Revenue"/>
      <sheetName val="SNCRAC Load"/>
      <sheetName val="Revenue Forecast"/>
    </sheetNames>
    <sheetDataSet>
      <sheetData sheetId="10">
        <row r="7">
          <cell r="D7">
            <v>135</v>
          </cell>
        </row>
        <row r="9">
          <cell r="D9">
            <v>150</v>
          </cell>
        </row>
        <row r="12">
          <cell r="D12">
            <v>150</v>
          </cell>
        </row>
        <row r="15">
          <cell r="D15">
            <v>175</v>
          </cell>
        </row>
      </sheetData>
      <sheetData sheetId="13">
        <row r="11">
          <cell r="D11">
            <v>53700</v>
          </cell>
          <cell r="E11">
            <v>85000</v>
          </cell>
          <cell r="F11">
            <v>65300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02 Analyst"/>
      <sheetName val="FY2002"/>
      <sheetName val="FY03 Analyst"/>
      <sheetName val="Steele FY03"/>
      <sheetName val="FY03 Mgr"/>
      <sheetName val="FY04 Analyst"/>
      <sheetName val="FY04 Steele"/>
      <sheetName val="FY04 Mgr"/>
      <sheetName val="FY05 Analyst"/>
      <sheetName val="Steele FY05"/>
      <sheetName val="FY05 Mgr"/>
      <sheetName val="FY06 Analyst"/>
      <sheetName val="Steele FY06"/>
      <sheetName val="FY06 Mgr"/>
      <sheetName val="FY02 Rev"/>
      <sheetName val="FY02 Cos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BCRAC Handout"/>
      <sheetName val="FB Rates"/>
    </sheetNames>
    <sheetDataSet>
      <sheetData sheetId="0">
        <row r="36">
          <cell r="A36" t="str">
            <v>Forecast of Slice True Up Revenue</v>
          </cell>
          <cell r="D36">
            <v>29000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BCRAC Calc"/>
      <sheetName val="SNCRAC Load"/>
    </sheetNames>
    <sheetDataSet>
      <sheetData sheetId="0">
        <row r="5">
          <cell r="B5">
            <v>215753.28399999999</v>
          </cell>
          <cell r="C5">
            <v>933.0985418949774</v>
          </cell>
          <cell r="F5">
            <v>161254.10839326362</v>
          </cell>
          <cell r="G5">
            <v>871.4082819758371</v>
          </cell>
          <cell r="H5">
            <v>166364.17690413288</v>
          </cell>
          <cell r="I5">
            <v>884.0288850415018</v>
          </cell>
          <cell r="J5">
            <v>169620.35189908167</v>
          </cell>
          <cell r="K5">
            <v>901.5432214747846</v>
          </cell>
        </row>
        <row r="6">
          <cell r="B6">
            <v>159007.41</v>
          </cell>
          <cell r="C6">
            <v>595.7838642694064</v>
          </cell>
          <cell r="F6">
            <v>125987.40724314575</v>
          </cell>
          <cell r="G6">
            <v>685.1105546561532</v>
          </cell>
          <cell r="H6">
            <v>127758.78759373809</v>
          </cell>
          <cell r="I6">
            <v>694.90617561081</v>
          </cell>
          <cell r="J6">
            <v>128971.48431301907</v>
          </cell>
          <cell r="K6">
            <v>701.498526212823</v>
          </cell>
        </row>
        <row r="7">
          <cell r="B7">
            <v>404886.54299999995</v>
          </cell>
          <cell r="C7">
            <v>1616.7522636986303</v>
          </cell>
          <cell r="F7">
            <v>285013.15692300553</v>
          </cell>
          <cell r="G7">
            <v>1622.4116258686672</v>
          </cell>
          <cell r="H7">
            <v>294251.5293454056</v>
          </cell>
          <cell r="I7">
            <v>1626.5424477864756</v>
          </cell>
          <cell r="J7">
            <v>296068.8304670056</v>
          </cell>
          <cell r="K7">
            <v>1635.4963290650144</v>
          </cell>
        </row>
        <row r="8">
          <cell r="B8">
            <v>427359.95599999995</v>
          </cell>
          <cell r="C8">
            <v>1541.4862218041712</v>
          </cell>
          <cell r="F8">
            <v>303707.25728022173</v>
          </cell>
          <cell r="G8">
            <v>1710.2901428212842</v>
          </cell>
          <cell r="H8">
            <v>303707.25728022173</v>
          </cell>
          <cell r="I8">
            <v>1665.1555000117041</v>
          </cell>
          <cell r="J8">
            <v>303707.25728022173</v>
          </cell>
          <cell r="K8">
            <v>1696.3109873913643</v>
          </cell>
        </row>
        <row r="14">
          <cell r="B14">
            <v>132854.485</v>
          </cell>
          <cell r="C14">
            <v>517.8300037671233</v>
          </cell>
          <cell r="F14">
            <v>109068.31749213058</v>
          </cell>
          <cell r="G14">
            <v>624.5875622819594</v>
          </cell>
          <cell r="H14">
            <v>111792.08999991667</v>
          </cell>
          <cell r="I14">
            <v>634.8251294439104</v>
          </cell>
          <cell r="J14">
            <v>114328.59419627773</v>
          </cell>
          <cell r="K14">
            <v>649.3531399835706</v>
          </cell>
        </row>
        <row r="15">
          <cell r="B15">
            <v>59942.208999999995</v>
          </cell>
          <cell r="C15">
            <v>203.5762908675799</v>
          </cell>
          <cell r="F15">
            <v>54337.40513188941</v>
          </cell>
          <cell r="G15">
            <v>230.510051944392</v>
          </cell>
          <cell r="H15">
            <v>52414.00095619455</v>
          </cell>
          <cell r="I15">
            <v>215.08720197479045</v>
          </cell>
          <cell r="J15">
            <v>54112.25357165069</v>
          </cell>
          <cell r="K15">
            <v>218.85278288130542</v>
          </cell>
        </row>
        <row r="16">
          <cell r="B16">
            <v>42588.025</v>
          </cell>
          <cell r="C16">
            <v>172.75962260273974</v>
          </cell>
          <cell r="F16">
            <v>31254.002570719458</v>
          </cell>
          <cell r="G16">
            <v>184.80422374429224</v>
          </cell>
          <cell r="H16">
            <v>31619.510326719454</v>
          </cell>
          <cell r="I16">
            <v>182.2124429223744</v>
          </cell>
          <cell r="J16">
            <v>30106.114326719453</v>
          </cell>
          <cell r="K16">
            <v>173.3140410958904</v>
          </cell>
        </row>
        <row r="17">
          <cell r="B17">
            <v>132048.87499999997</v>
          </cell>
          <cell r="C17">
            <v>470.0268880283834</v>
          </cell>
          <cell r="F17">
            <v>94188.03048240002</v>
          </cell>
          <cell r="G17">
            <v>521.4982411682116</v>
          </cell>
          <cell r="H17">
            <v>94188.03048240002</v>
          </cell>
          <cell r="I17">
            <v>507.7358763789695</v>
          </cell>
          <cell r="J17">
            <v>94188.03048240002</v>
          </cell>
          <cell r="K17">
            <v>517.2357451231285</v>
          </cell>
        </row>
        <row r="22">
          <cell r="B22">
            <v>20005.876</v>
          </cell>
          <cell r="C22">
            <v>64.65198139269407</v>
          </cell>
          <cell r="F22">
            <v>72081.5725</v>
          </cell>
          <cell r="G22">
            <v>350.95890410958907</v>
          </cell>
          <cell r="H22">
            <v>71939.61249999999</v>
          </cell>
          <cell r="I22">
            <v>350</v>
          </cell>
          <cell r="J22">
            <v>71939.61249999999</v>
          </cell>
          <cell r="K22">
            <v>350</v>
          </cell>
        </row>
        <row r="26">
          <cell r="B26">
            <v>83999.908</v>
          </cell>
          <cell r="C26">
            <v>350</v>
          </cell>
          <cell r="F26">
            <v>66142.3066</v>
          </cell>
          <cell r="G26">
            <v>383.04657534246576</v>
          </cell>
          <cell r="H26">
            <v>65945.78308000001</v>
          </cell>
          <cell r="I26">
            <v>382</v>
          </cell>
          <cell r="J26">
            <v>65945.78308000001</v>
          </cell>
          <cell r="K26">
            <v>382</v>
          </cell>
        </row>
        <row r="39">
          <cell r="B39">
            <v>119573.04094</v>
          </cell>
          <cell r="C39">
            <v>309.69634703196346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20156.933999999997</v>
          </cell>
          <cell r="C40">
            <v>70.73781210045661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199295.19595999998</v>
          </cell>
          <cell r="C41">
            <v>655.6925697488584</v>
          </cell>
          <cell r="F41">
            <v>273723.76320006244</v>
          </cell>
          <cell r="G41">
            <v>617.9999999999999</v>
          </cell>
          <cell r="H41">
            <v>272427.35266464</v>
          </cell>
          <cell r="I41">
            <v>617.7558684931506</v>
          </cell>
          <cell r="J41">
            <v>272427.35266464</v>
          </cell>
          <cell r="K41">
            <v>617.7558684931506</v>
          </cell>
        </row>
        <row r="42">
          <cell r="B42">
            <v>38393.463228</v>
          </cell>
          <cell r="C42">
            <v>120.25025125570778</v>
          </cell>
          <cell r="F42">
            <v>41390.20799999999</v>
          </cell>
          <cell r="G42">
            <v>124.33972602739726</v>
          </cell>
          <cell r="H42">
            <v>41277.12</v>
          </cell>
          <cell r="I42">
            <v>124</v>
          </cell>
          <cell r="J42">
            <v>41277.12</v>
          </cell>
          <cell r="K42">
            <v>124</v>
          </cell>
        </row>
        <row r="43">
          <cell r="B43">
            <v>151742.126</v>
          </cell>
          <cell r="C43">
            <v>956.0132420091325</v>
          </cell>
          <cell r="F43">
            <v>2090.94336</v>
          </cell>
          <cell r="G43">
            <v>51.13972602739726</v>
          </cell>
          <cell r="H43">
            <v>2085.2304</v>
          </cell>
          <cell r="I43">
            <v>51</v>
          </cell>
          <cell r="J43">
            <v>2085.2304</v>
          </cell>
          <cell r="K43">
            <v>44</v>
          </cell>
        </row>
        <row r="44">
          <cell r="B44">
            <v>0</v>
          </cell>
          <cell r="C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est"/>
      <sheetName val="East"/>
      <sheetName val="Bulk"/>
      <sheetName val="Ancillary and Other"/>
      <sheetName val="Monthly"/>
      <sheetName val="FY02-06"/>
      <sheetName val="FY02 - FY06"/>
    </sheetNames>
    <sheetDataSet>
      <sheetData sheetId="0">
        <row r="42">
          <cell r="AD42">
            <v>-4274.887782298156</v>
          </cell>
          <cell r="AS42">
            <v>-3331.6021013084737</v>
          </cell>
          <cell r="BH42">
            <v>-3429.409480674782</v>
          </cell>
          <cell r="BW42">
            <v>-3491.6148468120364</v>
          </cell>
        </row>
        <row r="52">
          <cell r="AD52">
            <v>-3.168</v>
          </cell>
          <cell r="AS52">
            <v>0</v>
          </cell>
          <cell r="BH52">
            <v>0</v>
          </cell>
          <cell r="BW52">
            <v>0</v>
          </cell>
        </row>
        <row r="61">
          <cell r="AD61">
            <v>-2736.939757738929</v>
          </cell>
          <cell r="AS61">
            <v>-2077.4219791791406</v>
          </cell>
          <cell r="BH61">
            <v>-2073.5626367791406</v>
          </cell>
          <cell r="BW61">
            <v>-2073.950915179141</v>
          </cell>
        </row>
        <row r="70">
          <cell r="BW70">
            <v>1485.8716200000001</v>
          </cell>
        </row>
        <row r="71">
          <cell r="AD71">
            <v>1690.4004314049998</v>
          </cell>
          <cell r="AS71">
            <v>2115.674272285</v>
          </cell>
          <cell r="BH71">
            <v>2115.674272285</v>
          </cell>
        </row>
        <row r="72">
          <cell r="AD72">
            <v>2398.718264005</v>
          </cell>
          <cell r="AS72">
            <v>2989.8210807149994</v>
          </cell>
          <cell r="BH72">
            <v>2989.8210807149994</v>
          </cell>
          <cell r="BW72">
            <v>2989.8210807149994</v>
          </cell>
        </row>
      </sheetData>
      <sheetData sheetId="1">
        <row r="44">
          <cell r="AD44">
            <v>-6474.02483215129</v>
          </cell>
          <cell r="AS44">
            <v>-6883.700393777712</v>
          </cell>
          <cell r="BH44">
            <v>-7047.2366073395215</v>
          </cell>
          <cell r="BW44">
            <v>-7228.72649828078</v>
          </cell>
        </row>
        <row r="54">
          <cell r="AD54">
            <v>-1547.7991512461401</v>
          </cell>
          <cell r="AS54">
            <v>-1260.744197193381</v>
          </cell>
          <cell r="BH54">
            <v>-1090.757423962427</v>
          </cell>
          <cell r="BW54">
            <v>-1099.5685034123337</v>
          </cell>
        </row>
        <row r="63">
          <cell r="AD63">
            <v>0</v>
          </cell>
          <cell r="AS63">
            <v>0</v>
          </cell>
          <cell r="BH63">
            <v>0</v>
          </cell>
          <cell r="BW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3"/>
  <sheetViews>
    <sheetView tabSelected="1" zoomScale="75" zoomScaleNormal="75" workbookViewId="0" topLeftCell="A1">
      <selection activeCell="A42" sqref="A42"/>
    </sheetView>
  </sheetViews>
  <sheetFormatPr defaultColWidth="9.00390625" defaultRowHeight="15.75"/>
  <cols>
    <col min="1" max="1" width="28.625" style="0" customWidth="1"/>
    <col min="2" max="2" width="10.875" style="0" customWidth="1"/>
    <col min="4" max="4" width="11.125" style="0" customWidth="1"/>
    <col min="6" max="6" width="12.50390625" style="0" customWidth="1"/>
    <col min="8" max="8" width="12.50390625" style="0" customWidth="1"/>
    <col min="10" max="10" width="11.625" style="0" customWidth="1"/>
    <col min="14" max="14" width="9.25390625" style="0" bestFit="1" customWidth="1"/>
  </cols>
  <sheetData>
    <row r="1" spans="1:11" ht="21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5.75">
      <c r="A2" s="1"/>
      <c r="B2" s="2">
        <v>37500</v>
      </c>
      <c r="C2" s="2"/>
      <c r="D2" s="70">
        <v>37865</v>
      </c>
      <c r="E2" s="71"/>
      <c r="F2" s="72">
        <v>38232</v>
      </c>
      <c r="G2" s="72"/>
      <c r="H2" s="72">
        <v>38598</v>
      </c>
      <c r="I2" s="72"/>
      <c r="J2" s="72">
        <v>38964</v>
      </c>
      <c r="K2" s="72"/>
    </row>
    <row r="3" spans="1:11" ht="15.75">
      <c r="A3" s="1"/>
      <c r="B3" s="5" t="s">
        <v>1</v>
      </c>
      <c r="C3" s="4" t="s">
        <v>2</v>
      </c>
      <c r="D3" s="6" t="s">
        <v>1</v>
      </c>
      <c r="E3" s="3" t="s">
        <v>2</v>
      </c>
      <c r="F3" s="5" t="s">
        <v>1</v>
      </c>
      <c r="G3" s="4" t="s">
        <v>2</v>
      </c>
      <c r="H3" s="5" t="s">
        <v>1</v>
      </c>
      <c r="I3" s="4" t="s">
        <v>2</v>
      </c>
      <c r="J3" s="5" t="s">
        <v>1</v>
      </c>
      <c r="K3" s="4" t="s">
        <v>2</v>
      </c>
    </row>
    <row r="4" spans="1:5" ht="15.75">
      <c r="A4" s="7" t="s">
        <v>3</v>
      </c>
      <c r="D4" s="8"/>
      <c r="E4" s="9"/>
    </row>
    <row r="5" spans="1:11" ht="15.75">
      <c r="A5" s="10" t="s">
        <v>4</v>
      </c>
      <c r="B5" s="11">
        <f>'[6]FBCRAC Calc'!B5</f>
        <v>215753.28399999999</v>
      </c>
      <c r="C5" s="12">
        <f>'[6]FBCRAC Calc'!C5</f>
        <v>933.0985418949774</v>
      </c>
      <c r="D5" s="11">
        <v>154012.46198616194</v>
      </c>
      <c r="E5" s="12">
        <v>813.3623479212299</v>
      </c>
      <c r="F5" s="11">
        <f>'[6]FBCRAC Calc'!F5</f>
        <v>161254.10839326362</v>
      </c>
      <c r="G5" s="12">
        <f>'[6]FBCRAC Calc'!G5</f>
        <v>871.4082819758371</v>
      </c>
      <c r="H5" s="11">
        <f>'[6]FBCRAC Calc'!H5</f>
        <v>166364.17690413288</v>
      </c>
      <c r="I5" s="12">
        <f>'[6]FBCRAC Calc'!I5</f>
        <v>884.0288850415018</v>
      </c>
      <c r="J5" s="11">
        <f>'[6]FBCRAC Calc'!J5</f>
        <v>169620.35189908167</v>
      </c>
      <c r="K5" s="12">
        <f>'[6]FBCRAC Calc'!K5</f>
        <v>901.5432214747846</v>
      </c>
    </row>
    <row r="6" spans="1:11" ht="15.75">
      <c r="A6" s="10" t="s">
        <v>5</v>
      </c>
      <c r="B6" s="11">
        <f>'[6]FBCRAC Calc'!B6</f>
        <v>159007.41</v>
      </c>
      <c r="C6" s="12">
        <f>'[6]FBCRAC Calc'!C6</f>
        <v>595.7838642694064</v>
      </c>
      <c r="D6" s="11">
        <v>117764.56987392364</v>
      </c>
      <c r="E6" s="12">
        <v>639.2489138984902</v>
      </c>
      <c r="F6" s="11">
        <f>'[6]FBCRAC Calc'!F6</f>
        <v>125987.40724314575</v>
      </c>
      <c r="G6" s="12">
        <f>'[6]FBCRAC Calc'!G6</f>
        <v>685.1105546561532</v>
      </c>
      <c r="H6" s="11">
        <f>'[6]FBCRAC Calc'!H6</f>
        <v>127758.78759373809</v>
      </c>
      <c r="I6" s="12">
        <f>'[6]FBCRAC Calc'!I6</f>
        <v>694.90617561081</v>
      </c>
      <c r="J6" s="11">
        <f>'[6]FBCRAC Calc'!J6</f>
        <v>128971.48431301907</v>
      </c>
      <c r="K6" s="12">
        <f>'[6]FBCRAC Calc'!K6</f>
        <v>701.498526212823</v>
      </c>
    </row>
    <row r="7" spans="1:11" ht="15.75">
      <c r="A7" s="10" t="s">
        <v>6</v>
      </c>
      <c r="B7" s="11">
        <f>'[6]FBCRAC Calc'!B7</f>
        <v>404886.54299999995</v>
      </c>
      <c r="C7" s="12">
        <f>'[6]FBCRAC Calc'!C7</f>
        <v>1616.7522636986303</v>
      </c>
      <c r="D7" s="11">
        <v>282394.9956123377</v>
      </c>
      <c r="E7" s="12">
        <v>1606.789076085539</v>
      </c>
      <c r="F7" s="11">
        <f>'[6]FBCRAC Calc'!F7</f>
        <v>285013.15692300553</v>
      </c>
      <c r="G7" s="12">
        <f>'[6]FBCRAC Calc'!G7</f>
        <v>1622.4116258686672</v>
      </c>
      <c r="H7" s="11">
        <f>'[6]FBCRAC Calc'!H7</f>
        <v>294251.5293454056</v>
      </c>
      <c r="I7" s="12">
        <f>'[6]FBCRAC Calc'!I7</f>
        <v>1626.5424477864756</v>
      </c>
      <c r="J7" s="11">
        <f>'[6]FBCRAC Calc'!J7</f>
        <v>296068.8304670056</v>
      </c>
      <c r="K7" s="12">
        <f>'[6]FBCRAC Calc'!K7</f>
        <v>1635.4963290650144</v>
      </c>
    </row>
    <row r="8" spans="1:11" ht="15.75">
      <c r="A8" s="13" t="s">
        <v>7</v>
      </c>
      <c r="B8" s="11">
        <f>'[6]FBCRAC Calc'!B8</f>
        <v>427359.95599999995</v>
      </c>
      <c r="C8" s="12">
        <f>'[6]FBCRAC Calc'!C8</f>
        <v>1541.4862218041712</v>
      </c>
      <c r="D8" s="11">
        <v>308896.2673103999</v>
      </c>
      <c r="E8" s="12">
        <v>1674.3536645444206</v>
      </c>
      <c r="F8" s="11">
        <f>'[6]FBCRAC Calc'!F8</f>
        <v>303707.25728022173</v>
      </c>
      <c r="G8" s="12">
        <f>'[6]FBCRAC Calc'!G8</f>
        <v>1710.2901428212842</v>
      </c>
      <c r="H8" s="11">
        <f>'[6]FBCRAC Calc'!H8</f>
        <v>303707.25728022173</v>
      </c>
      <c r="I8" s="12">
        <f>'[6]FBCRAC Calc'!I8</f>
        <v>1665.1555000117041</v>
      </c>
      <c r="J8" s="11">
        <f>'[6]FBCRAC Calc'!J8</f>
        <v>303707.25728022173</v>
      </c>
      <c r="K8" s="12">
        <f>'[6]FBCRAC Calc'!K8</f>
        <v>1696.3109873913643</v>
      </c>
    </row>
    <row r="9" spans="1:11" ht="15.75">
      <c r="A9" s="14" t="str">
        <f>A45</f>
        <v>PF Buyback for  SLICE  &amp; Block</v>
      </c>
      <c r="B9" s="15">
        <f aca="true" t="shared" si="0" ref="B9:K9">B45*-1</f>
        <v>-119573.04094</v>
      </c>
      <c r="C9" s="16">
        <f t="shared" si="0"/>
        <v>-309.69634703196346</v>
      </c>
      <c r="D9" s="17">
        <f t="shared" si="0"/>
        <v>-19003.270732688172</v>
      </c>
      <c r="E9" s="16">
        <f t="shared" si="0"/>
        <v>-31.99497716894977</v>
      </c>
      <c r="F9" s="15">
        <f t="shared" si="0"/>
        <v>0</v>
      </c>
      <c r="G9" s="16">
        <f t="shared" si="0"/>
        <v>0</v>
      </c>
      <c r="H9" s="15">
        <f t="shared" si="0"/>
        <v>0</v>
      </c>
      <c r="I9" s="16">
        <f t="shared" si="0"/>
        <v>0</v>
      </c>
      <c r="J9" s="15">
        <f t="shared" si="0"/>
        <v>0</v>
      </c>
      <c r="K9" s="16">
        <f t="shared" si="0"/>
        <v>0</v>
      </c>
    </row>
    <row r="10" spans="1:13" ht="15.75">
      <c r="A10" s="13" t="s">
        <v>8</v>
      </c>
      <c r="B10" s="11">
        <f aca="true" t="shared" si="1" ref="B10:K10">SUM(B5:B9)</f>
        <v>1087434.15206</v>
      </c>
      <c r="C10" s="16">
        <f t="shared" si="1"/>
        <v>4377.424544635222</v>
      </c>
      <c r="D10" s="18">
        <f t="shared" si="1"/>
        <v>844065.024050135</v>
      </c>
      <c r="E10" s="12">
        <f t="shared" si="1"/>
        <v>4701.7590252807295</v>
      </c>
      <c r="F10" s="11">
        <f t="shared" si="1"/>
        <v>875961.9298396367</v>
      </c>
      <c r="G10" s="16">
        <f t="shared" si="1"/>
        <v>4889.220605321942</v>
      </c>
      <c r="H10" s="11">
        <f t="shared" si="1"/>
        <v>892081.7511234982</v>
      </c>
      <c r="I10" s="16">
        <f t="shared" si="1"/>
        <v>4870.633008450492</v>
      </c>
      <c r="J10" s="11">
        <f t="shared" si="1"/>
        <v>898367.9239593281</v>
      </c>
      <c r="K10" s="16">
        <f t="shared" si="1"/>
        <v>4934.849064143987</v>
      </c>
      <c r="M10" s="19" t="s">
        <v>9</v>
      </c>
    </row>
    <row r="11" spans="1:16" ht="15.75">
      <c r="A11" s="13"/>
      <c r="B11" s="11"/>
      <c r="C11" s="16"/>
      <c r="D11" s="18"/>
      <c r="E11" s="12"/>
      <c r="F11" s="11"/>
      <c r="G11" s="16"/>
      <c r="H11" s="11"/>
      <c r="I11" s="16"/>
      <c r="J11" s="11"/>
      <c r="K11" s="16"/>
      <c r="M11" s="19">
        <v>2003</v>
      </c>
      <c r="N11" s="19">
        <v>2004</v>
      </c>
      <c r="O11" s="19">
        <v>2005</v>
      </c>
      <c r="P11" s="19">
        <v>2006</v>
      </c>
    </row>
    <row r="12" spans="1:17" ht="15.75">
      <c r="A12" s="20" t="s">
        <v>10</v>
      </c>
      <c r="B12" s="21">
        <f>B10</f>
        <v>1087434.15206</v>
      </c>
      <c r="C12" s="22">
        <f>C10</f>
        <v>4377.424544635222</v>
      </c>
      <c r="D12" s="23">
        <f>D10</f>
        <v>844065.024050135</v>
      </c>
      <c r="E12" s="24">
        <f>E10</f>
        <v>4701.7590252807295</v>
      </c>
      <c r="F12" s="21">
        <f>F10+N12</f>
        <v>865447.4104061491</v>
      </c>
      <c r="G12" s="22">
        <f>G10</f>
        <v>4889.220605321942</v>
      </c>
      <c r="H12" s="21">
        <f>H10+O12</f>
        <v>881473.2836530443</v>
      </c>
      <c r="I12" s="22">
        <f>I10</f>
        <v>4870.633008450492</v>
      </c>
      <c r="J12" s="21">
        <f>J10+P12</f>
        <v>888326.6654966219</v>
      </c>
      <c r="K12" s="22">
        <f>K10</f>
        <v>4934.849064143987</v>
      </c>
      <c r="M12">
        <f>'[7]West'!$AD$42+'[7]West'!$AD$52+'[7]West'!$AD$61-'[7]West'!$AD$72-'[7]West'!$AD$71</f>
        <v>-11104.114235447085</v>
      </c>
      <c r="N12">
        <f>'[7]West'!$AS$42+'[7]West'!$AS$52+'[7]West'!$AS$61-'[7]West'!$AS$71-'[7]West'!$AS$72</f>
        <v>-10514.519433487612</v>
      </c>
      <c r="O12">
        <f>'[7]West'!$BH$42+'[7]West'!$BH$61+'[7]West'!$BH$52-'[7]West'!$BH$71-'[7]West'!$BH$72</f>
        <v>-10608.467470453921</v>
      </c>
      <c r="P12">
        <f>'[7]West'!$BW$42+'[7]West'!$BW$52+'[7]West'!$BW$61-'[7]West'!$BW$70-'[7]West'!$BW$72</f>
        <v>-10041.258462706177</v>
      </c>
      <c r="Q12">
        <f>SUM(N12:P12)</f>
        <v>-31164.245366647712</v>
      </c>
    </row>
    <row r="13" spans="1:11" ht="15.75">
      <c r="A13" s="7" t="s">
        <v>11</v>
      </c>
      <c r="B13" s="11"/>
      <c r="C13" s="16"/>
      <c r="D13" s="18"/>
      <c r="E13" s="12"/>
      <c r="F13" s="11"/>
      <c r="G13" s="16"/>
      <c r="H13" s="11"/>
      <c r="I13" s="16"/>
      <c r="J13" s="11"/>
      <c r="K13" s="16"/>
    </row>
    <row r="14" spans="1:11" ht="15.75">
      <c r="A14" s="10" t="s">
        <v>4</v>
      </c>
      <c r="B14" s="11">
        <f>'[6]FBCRAC Calc'!B14</f>
        <v>132854.485</v>
      </c>
      <c r="C14" s="12">
        <f>'[6]FBCRAC Calc'!C14</f>
        <v>517.8300037671233</v>
      </c>
      <c r="D14" s="11">
        <v>99604.93623337049</v>
      </c>
      <c r="E14" s="12">
        <v>566.5076627610084</v>
      </c>
      <c r="F14" s="11">
        <f>'[6]FBCRAC Calc'!F14</f>
        <v>109068.31749213058</v>
      </c>
      <c r="G14" s="12">
        <f>'[6]FBCRAC Calc'!G14</f>
        <v>624.5875622819594</v>
      </c>
      <c r="H14" s="11">
        <f>'[6]FBCRAC Calc'!H14</f>
        <v>111792.08999991667</v>
      </c>
      <c r="I14" s="12">
        <f>'[6]FBCRAC Calc'!I14</f>
        <v>634.8251294439104</v>
      </c>
      <c r="J14" s="11">
        <f>'[6]FBCRAC Calc'!J14</f>
        <v>114328.59419627773</v>
      </c>
      <c r="K14" s="12">
        <f>'[6]FBCRAC Calc'!K14</f>
        <v>649.3531399835706</v>
      </c>
    </row>
    <row r="15" spans="1:11" ht="15.75">
      <c r="A15" s="10" t="s">
        <v>5</v>
      </c>
      <c r="B15" s="11">
        <f>'[6]FBCRAC Calc'!B15</f>
        <v>59942.208999999995</v>
      </c>
      <c r="C15" s="12">
        <f>'[6]FBCRAC Calc'!C15</f>
        <v>203.5762908675799</v>
      </c>
      <c r="D15" s="11">
        <v>34243.81936444869</v>
      </c>
      <c r="E15" s="12">
        <v>181.56918989863863</v>
      </c>
      <c r="F15" s="11">
        <f>'[6]FBCRAC Calc'!F15</f>
        <v>54337.40513188941</v>
      </c>
      <c r="G15" s="12">
        <f>'[6]FBCRAC Calc'!G15</f>
        <v>230.510051944392</v>
      </c>
      <c r="H15" s="11">
        <f>'[6]FBCRAC Calc'!H15</f>
        <v>52414.00095619455</v>
      </c>
      <c r="I15" s="12">
        <f>'[6]FBCRAC Calc'!I15</f>
        <v>215.08720197479045</v>
      </c>
      <c r="J15" s="11">
        <f>'[6]FBCRAC Calc'!J15</f>
        <v>54112.25357165069</v>
      </c>
      <c r="K15" s="12">
        <f>'[6]FBCRAC Calc'!K15</f>
        <v>218.85278288130542</v>
      </c>
    </row>
    <row r="16" spans="1:11" ht="15.75">
      <c r="A16" s="10" t="s">
        <v>6</v>
      </c>
      <c r="B16" s="11">
        <f>'[6]FBCRAC Calc'!B16</f>
        <v>42588.025</v>
      </c>
      <c r="C16" s="12">
        <f>'[6]FBCRAC Calc'!C16</f>
        <v>172.75962260273974</v>
      </c>
      <c r="D16" s="11">
        <v>30303.603752551993</v>
      </c>
      <c r="E16" s="12">
        <v>184.21792237442924</v>
      </c>
      <c r="F16" s="11">
        <f>'[6]FBCRAC Calc'!F16</f>
        <v>31254.002570719458</v>
      </c>
      <c r="G16" s="12">
        <f>'[6]FBCRAC Calc'!G16</f>
        <v>184.80422374429224</v>
      </c>
      <c r="H16" s="11">
        <f>'[6]FBCRAC Calc'!H16</f>
        <v>31619.510326719454</v>
      </c>
      <c r="I16" s="12">
        <f>'[6]FBCRAC Calc'!I16</f>
        <v>182.2124429223744</v>
      </c>
      <c r="J16" s="11">
        <f>'[6]FBCRAC Calc'!J16</f>
        <v>30106.114326719453</v>
      </c>
      <c r="K16" s="12">
        <f>'[6]FBCRAC Calc'!K16</f>
        <v>173.3140410958904</v>
      </c>
    </row>
    <row r="17" spans="1:11" ht="15.75">
      <c r="A17" s="13" t="s">
        <v>7</v>
      </c>
      <c r="B17" s="11">
        <f>'[6]FBCRAC Calc'!B17</f>
        <v>132048.87499999997</v>
      </c>
      <c r="C17" s="12">
        <f>'[6]FBCRAC Calc'!C17</f>
        <v>470.0268880283834</v>
      </c>
      <c r="D17" s="11">
        <v>94188.03048240002</v>
      </c>
      <c r="E17" s="12">
        <v>510.54056226570185</v>
      </c>
      <c r="F17" s="11">
        <f>'[6]FBCRAC Calc'!F17</f>
        <v>94188.03048240002</v>
      </c>
      <c r="G17" s="12">
        <f>'[6]FBCRAC Calc'!G17</f>
        <v>521.4982411682116</v>
      </c>
      <c r="H17" s="11">
        <f>'[6]FBCRAC Calc'!H17</f>
        <v>94188.03048240002</v>
      </c>
      <c r="I17" s="12">
        <f>'[6]FBCRAC Calc'!I17</f>
        <v>507.7358763789695</v>
      </c>
      <c r="J17" s="11">
        <f>'[6]FBCRAC Calc'!J17</f>
        <v>94188.03048240002</v>
      </c>
      <c r="K17" s="12">
        <f>'[6]FBCRAC Calc'!K17</f>
        <v>517.2357451231285</v>
      </c>
    </row>
    <row r="18" spans="1:13" ht="15.75">
      <c r="A18" s="13" t="s">
        <v>12</v>
      </c>
      <c r="B18" s="11">
        <f aca="true" t="shared" si="2" ref="B18:K18">SUM(B14:B17)</f>
        <v>367433.5939999999</v>
      </c>
      <c r="C18" s="16">
        <f t="shared" si="2"/>
        <v>1364.1928052658263</v>
      </c>
      <c r="D18" s="18">
        <f t="shared" si="2"/>
        <v>258340.3898327712</v>
      </c>
      <c r="E18" s="12">
        <f t="shared" si="2"/>
        <v>1442.835337299778</v>
      </c>
      <c r="F18" s="11">
        <f t="shared" si="2"/>
        <v>288847.75567713944</v>
      </c>
      <c r="G18" s="16">
        <f t="shared" si="2"/>
        <v>1561.4000791388553</v>
      </c>
      <c r="H18" s="11">
        <f t="shared" si="2"/>
        <v>290013.6317652307</v>
      </c>
      <c r="I18" s="16">
        <f t="shared" si="2"/>
        <v>1539.860650720045</v>
      </c>
      <c r="J18" s="11">
        <f t="shared" si="2"/>
        <v>292734.9925770479</v>
      </c>
      <c r="K18" s="16">
        <f t="shared" si="2"/>
        <v>1558.7557090838948</v>
      </c>
      <c r="M18" s="19" t="s">
        <v>13</v>
      </c>
    </row>
    <row r="19" spans="1:16" ht="15.75">
      <c r="A19" s="13"/>
      <c r="B19" s="11"/>
      <c r="C19" s="16"/>
      <c r="D19" s="18"/>
      <c r="E19" s="12"/>
      <c r="F19" s="11"/>
      <c r="G19" s="16"/>
      <c r="H19" s="11"/>
      <c r="I19" s="16"/>
      <c r="J19" s="11"/>
      <c r="K19" s="16"/>
      <c r="M19">
        <v>2003</v>
      </c>
      <c r="N19">
        <v>2004</v>
      </c>
      <c r="O19">
        <v>2005</v>
      </c>
      <c r="P19">
        <v>2006</v>
      </c>
    </row>
    <row r="20" spans="1:17" ht="15.75">
      <c r="A20" s="20" t="s">
        <v>14</v>
      </c>
      <c r="B20" s="21">
        <f>B18</f>
        <v>367433.5939999999</v>
      </c>
      <c r="C20" s="22">
        <f>C18</f>
        <v>1364.1928052658263</v>
      </c>
      <c r="D20" s="23">
        <f>D18</f>
        <v>258340.3898327712</v>
      </c>
      <c r="E20" s="24">
        <f>E18</f>
        <v>1442.835337299778</v>
      </c>
      <c r="F20" s="21">
        <f>F18+N20</f>
        <v>280703.31108616834</v>
      </c>
      <c r="G20" s="22">
        <f>G18</f>
        <v>1561.4000791388553</v>
      </c>
      <c r="H20" s="21">
        <f>H18+O20</f>
        <v>281875.63773392874</v>
      </c>
      <c r="I20" s="22">
        <f>I18</f>
        <v>1539.860650720045</v>
      </c>
      <c r="J20" s="21">
        <f>J18+P20</f>
        <v>284406.6975753548</v>
      </c>
      <c r="K20" s="22">
        <f>K18</f>
        <v>1558.7557090838948</v>
      </c>
      <c r="M20">
        <f>'[7]East'!$AD$44+'[7]East'!$AD$54+'[7]East'!$AD$63</f>
        <v>-8021.82398339743</v>
      </c>
      <c r="N20">
        <f>'[7]East'!$AS$44+'[7]East'!$AS$54+'[7]East'!$AS$63</f>
        <v>-8144.444590971093</v>
      </c>
      <c r="O20">
        <f>'[7]East'!$BH$44+'[7]East'!$BH$54+'[7]East'!$BH$63</f>
        <v>-8137.994031301949</v>
      </c>
      <c r="P20">
        <f>'[7]East'!$BW$44+'[7]East'!$BW$54+'[7]East'!$BW$63</f>
        <v>-8328.295001693114</v>
      </c>
      <c r="Q20">
        <f>SUM(N20:P20)</f>
        <v>-24610.733623966156</v>
      </c>
    </row>
    <row r="21" spans="1:11" ht="15.75">
      <c r="A21" s="7" t="s">
        <v>15</v>
      </c>
      <c r="B21" s="11" t="s">
        <v>16</v>
      </c>
      <c r="C21" s="16"/>
      <c r="D21" s="18" t="s">
        <v>16</v>
      </c>
      <c r="E21" s="12"/>
      <c r="F21" s="11" t="s">
        <v>16</v>
      </c>
      <c r="G21" s="16"/>
      <c r="H21" s="11" t="s">
        <v>16</v>
      </c>
      <c r="I21" s="16"/>
      <c r="J21" s="11" t="s">
        <v>16</v>
      </c>
      <c r="K21" s="16"/>
    </row>
    <row r="22" spans="1:11" ht="15.75">
      <c r="A22" s="10" t="s">
        <v>17</v>
      </c>
      <c r="B22" s="11">
        <f>'[6]FBCRAC Calc'!B22</f>
        <v>20005.876</v>
      </c>
      <c r="C22" s="12">
        <f>'[6]FBCRAC Calc'!C22</f>
        <v>64.65198139269407</v>
      </c>
      <c r="D22" s="11">
        <v>175331.91597999996</v>
      </c>
      <c r="E22" s="12">
        <v>838</v>
      </c>
      <c r="F22" s="11">
        <f>'[6]FBCRAC Calc'!F22</f>
        <v>72081.5725</v>
      </c>
      <c r="G22" s="12">
        <f>'[6]FBCRAC Calc'!G22</f>
        <v>350.95890410958907</v>
      </c>
      <c r="H22" s="11">
        <f>'[6]FBCRAC Calc'!H22</f>
        <v>71939.61249999999</v>
      </c>
      <c r="I22" s="12">
        <f>'[6]FBCRAC Calc'!I22</f>
        <v>350</v>
      </c>
      <c r="J22" s="11">
        <f>'[6]FBCRAC Calc'!J22</f>
        <v>71939.61249999999</v>
      </c>
      <c r="K22" s="12">
        <f>'[6]FBCRAC Calc'!K22</f>
        <v>350</v>
      </c>
    </row>
    <row r="23" spans="1:11" ht="15.75">
      <c r="A23" s="25" t="str">
        <f>A50</f>
        <v>IP Load Curtailment</v>
      </c>
      <c r="B23" s="11">
        <f>B50*-1</f>
        <v>0</v>
      </c>
      <c r="C23" s="16">
        <f>C50*-1</f>
        <v>0</v>
      </c>
      <c r="D23" s="18">
        <f>D50</f>
        <v>-146422.96254</v>
      </c>
      <c r="E23" s="12">
        <f>E50</f>
        <v>-698.9372146118723</v>
      </c>
      <c r="F23" s="11">
        <f aca="true" t="shared" si="3" ref="F23:K23">F50*-1</f>
        <v>0</v>
      </c>
      <c r="G23" s="16">
        <f t="shared" si="3"/>
        <v>0</v>
      </c>
      <c r="H23" s="11">
        <f t="shared" si="3"/>
        <v>0</v>
      </c>
      <c r="I23" s="16">
        <f t="shared" si="3"/>
        <v>0</v>
      </c>
      <c r="J23" s="11">
        <f t="shared" si="3"/>
        <v>0</v>
      </c>
      <c r="K23" s="16">
        <f t="shared" si="3"/>
        <v>0</v>
      </c>
    </row>
    <row r="24" spans="1:11" ht="15.75">
      <c r="A24" s="26" t="s">
        <v>18</v>
      </c>
      <c r="B24" s="21">
        <f aca="true" t="shared" si="4" ref="B24:K24">B22+B23</f>
        <v>20005.876</v>
      </c>
      <c r="C24" s="22">
        <f t="shared" si="4"/>
        <v>64.65198139269407</v>
      </c>
      <c r="D24" s="23">
        <f t="shared" si="4"/>
        <v>28908.953439999954</v>
      </c>
      <c r="E24" s="24">
        <f t="shared" si="4"/>
        <v>139.06278538812774</v>
      </c>
      <c r="F24" s="21">
        <f t="shared" si="4"/>
        <v>72081.5725</v>
      </c>
      <c r="G24" s="22">
        <f t="shared" si="4"/>
        <v>350.95890410958907</v>
      </c>
      <c r="H24" s="21">
        <f t="shared" si="4"/>
        <v>71939.61249999999</v>
      </c>
      <c r="I24" s="22">
        <f t="shared" si="4"/>
        <v>350</v>
      </c>
      <c r="J24" s="21">
        <f t="shared" si="4"/>
        <v>71939.61249999999</v>
      </c>
      <c r="K24" s="22">
        <f t="shared" si="4"/>
        <v>350</v>
      </c>
    </row>
    <row r="25" spans="1:11" ht="15.75">
      <c r="A25" s="10"/>
      <c r="B25" s="11"/>
      <c r="C25" s="16"/>
      <c r="D25" s="18"/>
      <c r="E25" s="12"/>
      <c r="F25" s="11"/>
      <c r="G25" s="16"/>
      <c r="H25" s="11"/>
      <c r="I25" s="16"/>
      <c r="J25" s="11"/>
      <c r="K25" s="16"/>
    </row>
    <row r="26" spans="1:11" ht="15.75">
      <c r="A26" s="10" t="s">
        <v>19</v>
      </c>
      <c r="B26" s="11">
        <f>'[6]FBCRAC Calc'!B26</f>
        <v>83999.908</v>
      </c>
      <c r="C26" s="12">
        <f>'[6]FBCRAC Calc'!C26</f>
        <v>350</v>
      </c>
      <c r="D26" s="11">
        <v>69989.64948</v>
      </c>
      <c r="E26" s="12">
        <v>382</v>
      </c>
      <c r="F26" s="11">
        <f>'[6]FBCRAC Calc'!F26</f>
        <v>66142.3066</v>
      </c>
      <c r="G26" s="12">
        <f>'[6]FBCRAC Calc'!G26</f>
        <v>383.04657534246576</v>
      </c>
      <c r="H26" s="11">
        <f>'[6]FBCRAC Calc'!H26</f>
        <v>65945.78308000001</v>
      </c>
      <c r="I26" s="12">
        <f>'[6]FBCRAC Calc'!I26</f>
        <v>382</v>
      </c>
      <c r="J26" s="11">
        <f>'[6]FBCRAC Calc'!J26</f>
        <v>65945.78308000001</v>
      </c>
      <c r="K26" s="12">
        <f>'[6]FBCRAC Calc'!K26</f>
        <v>382</v>
      </c>
    </row>
    <row r="27" spans="1:11" ht="15.75">
      <c r="A27" s="25" t="str">
        <f>A48</f>
        <v>RL Buyback</v>
      </c>
      <c r="B27" s="11">
        <f aca="true" t="shared" si="5" ref="B27:K27">B48*-1</f>
        <v>-38393.463228</v>
      </c>
      <c r="C27" s="16">
        <f t="shared" si="5"/>
        <v>-120.25025125570778</v>
      </c>
      <c r="D27" s="18">
        <f t="shared" si="5"/>
        <v>-41939.82</v>
      </c>
      <c r="E27" s="12">
        <f t="shared" si="5"/>
        <v>-126.5216894977169</v>
      </c>
      <c r="F27" s="11">
        <f t="shared" si="5"/>
        <v>-41390.20799999999</v>
      </c>
      <c r="G27" s="16">
        <f t="shared" si="5"/>
        <v>-124.33972602739726</v>
      </c>
      <c r="H27" s="11">
        <f t="shared" si="5"/>
        <v>-41277.12</v>
      </c>
      <c r="I27" s="16">
        <f t="shared" si="5"/>
        <v>-124</v>
      </c>
      <c r="J27" s="11">
        <f t="shared" si="5"/>
        <v>-41277.12</v>
      </c>
      <c r="K27" s="16">
        <f t="shared" si="5"/>
        <v>-124</v>
      </c>
    </row>
    <row r="28" spans="1:11" ht="15.75">
      <c r="A28" s="26" t="s">
        <v>20</v>
      </c>
      <c r="B28" s="21">
        <f aca="true" t="shared" si="6" ref="B28:K28">B26+B27</f>
        <v>45606.444771999995</v>
      </c>
      <c r="C28" s="22">
        <f t="shared" si="6"/>
        <v>229.74974874429222</v>
      </c>
      <c r="D28" s="23">
        <f t="shared" si="6"/>
        <v>28049.829479999993</v>
      </c>
      <c r="E28" s="24">
        <f t="shared" si="6"/>
        <v>255.47831050228308</v>
      </c>
      <c r="F28" s="21">
        <f t="shared" si="6"/>
        <v>24752.098600000005</v>
      </c>
      <c r="G28" s="22">
        <f t="shared" si="6"/>
        <v>258.7068493150685</v>
      </c>
      <c r="H28" s="21">
        <f t="shared" si="6"/>
        <v>24668.663080000006</v>
      </c>
      <c r="I28" s="22">
        <f t="shared" si="6"/>
        <v>258</v>
      </c>
      <c r="J28" s="21">
        <f t="shared" si="6"/>
        <v>24668.663080000006</v>
      </c>
      <c r="K28" s="22">
        <f t="shared" si="6"/>
        <v>258</v>
      </c>
    </row>
    <row r="29" spans="1:11" ht="15.75">
      <c r="A29" s="10"/>
      <c r="B29" s="11"/>
      <c r="C29" s="16"/>
      <c r="D29" s="18"/>
      <c r="E29" s="12"/>
      <c r="F29" s="11"/>
      <c r="G29" s="16"/>
      <c r="H29" s="11"/>
      <c r="I29" s="16"/>
      <c r="J29" s="11"/>
      <c r="K29" s="16"/>
    </row>
    <row r="30" spans="1:11" ht="15.75">
      <c r="A30" s="27"/>
      <c r="B30" s="11"/>
      <c r="C30" s="28"/>
      <c r="D30" s="18"/>
      <c r="E30" s="29"/>
      <c r="F30" s="11"/>
      <c r="G30" s="28"/>
      <c r="H30" s="11"/>
      <c r="I30" s="28"/>
      <c r="J30" s="11"/>
      <c r="K30" s="28"/>
    </row>
    <row r="31" spans="1:11" ht="15.75">
      <c r="A31" s="30" t="s">
        <v>21</v>
      </c>
      <c r="B31" s="31">
        <f>B12+B20+B24+B28</f>
        <v>1520480.0668319997</v>
      </c>
      <c r="C31" s="32">
        <f>C12+C20+C24+C28</f>
        <v>6036.019080038036</v>
      </c>
      <c r="D31" s="33">
        <f>D12+D20+D24+D28</f>
        <v>1159364.1968029065</v>
      </c>
      <c r="E31" s="34">
        <f>E12+E20+E24+E28-E8-E17+1600</f>
        <v>5954.241231660797</v>
      </c>
      <c r="F31" s="31">
        <f>F12+F20+F24+F28</f>
        <v>1242984.3925923174</v>
      </c>
      <c r="G31" s="34">
        <f>G12+G20+G24+G28-G8-G17+1600</f>
        <v>6428.498053895958</v>
      </c>
      <c r="H31" s="31">
        <f>H12+H20+H24+H28</f>
        <v>1259957.1969669731</v>
      </c>
      <c r="I31" s="34">
        <f>I12+I20+I24+I28-I8-I17+1600</f>
        <v>6445.602282779862</v>
      </c>
      <c r="J31" s="31">
        <f>J12+J20+J24+J28</f>
        <v>1269341.6386519768</v>
      </c>
      <c r="K31" s="34">
        <f>K12+K20+K24+K28-K8-K17+1600</f>
        <v>6488.058040713388</v>
      </c>
    </row>
    <row r="32" spans="1:11" ht="15.75">
      <c r="A32" s="35" t="str">
        <f>'[5]FBCRAC Handout'!$A$36</f>
        <v>Forecast of Slice True Up Revenue</v>
      </c>
      <c r="B32" s="31"/>
      <c r="C32" s="32"/>
      <c r="D32" s="33">
        <f>'[5]FBCRAC Handout'!$D$36</f>
        <v>29000</v>
      </c>
      <c r="E32" s="34"/>
      <c r="F32" s="36">
        <f>'[3]Revenue Forecast'!D11</f>
        <v>53700</v>
      </c>
      <c r="G32" s="37"/>
      <c r="H32" s="36">
        <f>'[3]Revenue Forecast'!E11</f>
        <v>85000</v>
      </c>
      <c r="I32" s="37"/>
      <c r="J32" s="36">
        <f>'[3]Revenue Forecast'!F11</f>
        <v>65300</v>
      </c>
      <c r="K32" s="37">
        <f>SUM(F32:J32)</f>
        <v>204000</v>
      </c>
    </row>
    <row r="33" spans="1:11" ht="16.5" thickBot="1">
      <c r="A33" s="35" t="s">
        <v>22</v>
      </c>
      <c r="B33" s="31"/>
      <c r="C33" s="32"/>
      <c r="D33" s="38">
        <f>D48</f>
        <v>41939.82</v>
      </c>
      <c r="E33" s="39">
        <f>E48</f>
        <v>126.5216894977169</v>
      </c>
      <c r="F33" s="40">
        <f>F48</f>
        <v>41390.20799999999</v>
      </c>
      <c r="G33" s="32"/>
      <c r="H33" s="40">
        <f>H48</f>
        <v>41277.12</v>
      </c>
      <c r="I33" s="32"/>
      <c r="J33" s="40">
        <f>J48</f>
        <v>41277.12</v>
      </c>
      <c r="K33" s="32"/>
    </row>
    <row r="34" spans="1:14" ht="15.75">
      <c r="A34" s="35" t="s">
        <v>23</v>
      </c>
      <c r="B34" s="31"/>
      <c r="C34" s="32"/>
      <c r="D34" s="33">
        <f>SUM(D31:D33)</f>
        <v>1230304.0168029065</v>
      </c>
      <c r="E34" s="34">
        <f>SUM(E31:E33)</f>
        <v>6080.762921158514</v>
      </c>
      <c r="F34" s="31">
        <f>SUM(F31:F33)</f>
        <v>1338074.6005923175</v>
      </c>
      <c r="G34" s="32"/>
      <c r="H34" s="31">
        <f>SUM(H31:H33)</f>
        <v>1386234.3169669732</v>
      </c>
      <c r="I34" s="32"/>
      <c r="J34" s="31">
        <f>SUM(J31:J33)</f>
        <v>1375918.758651977</v>
      </c>
      <c r="K34" s="32"/>
      <c r="N34" t="s">
        <v>42</v>
      </c>
    </row>
    <row r="35" spans="1:14" ht="15.75">
      <c r="A35" s="35" t="s">
        <v>24</v>
      </c>
      <c r="B35" s="31"/>
      <c r="C35" s="32"/>
      <c r="D35" s="33">
        <f>'[3]FB Trigger'!D7*1000</f>
        <v>135000</v>
      </c>
      <c r="E35" s="34"/>
      <c r="F35" s="31">
        <f>'[3]FB Trigger'!D9*1000</f>
        <v>150000</v>
      </c>
      <c r="G35" s="32"/>
      <c r="H35" s="31">
        <f>'[3]FB Trigger'!D12*1000</f>
        <v>150000</v>
      </c>
      <c r="I35" s="32"/>
      <c r="J35" s="31">
        <f>'[3]FB Trigger'!D15*1000</f>
        <v>175000</v>
      </c>
      <c r="K35" s="32"/>
      <c r="N35" t="s">
        <v>43</v>
      </c>
    </row>
    <row r="36" spans="1:14" ht="16.5" thickBot="1">
      <c r="A36" s="35"/>
      <c r="B36" s="31"/>
      <c r="C36" s="32"/>
      <c r="D36" s="33"/>
      <c r="E36" s="34"/>
      <c r="F36" s="31"/>
      <c r="G36" s="32"/>
      <c r="H36" s="31"/>
      <c r="I36" s="32"/>
      <c r="J36" s="31"/>
      <c r="K36" s="32"/>
      <c r="M36">
        <v>2003</v>
      </c>
      <c r="N36" s="66">
        <f>D41</f>
        <v>0.6488</v>
      </c>
    </row>
    <row r="37" spans="1:14" ht="16.5" thickBot="1">
      <c r="A37" s="35" t="s">
        <v>25</v>
      </c>
      <c r="B37" s="31"/>
      <c r="C37" s="32"/>
      <c r="D37" s="41">
        <f>D35/D34</f>
        <v>0.1097289760548891</v>
      </c>
      <c r="E37" s="34"/>
      <c r="F37" s="41">
        <f>F35/F34</f>
        <v>0.1121013730726227</v>
      </c>
      <c r="G37" s="32"/>
      <c r="H37" s="41">
        <f>H35/H34</f>
        <v>0.10820681479606865</v>
      </c>
      <c r="I37" s="32"/>
      <c r="J37" s="41">
        <f>J35/J34</f>
        <v>0.1271877419357608</v>
      </c>
      <c r="K37" s="32"/>
      <c r="M37">
        <v>2004</v>
      </c>
      <c r="N37" s="66">
        <f>F41</f>
        <v>0.6625</v>
      </c>
    </row>
    <row r="38" spans="1:14" ht="15.75">
      <c r="A38" s="35"/>
      <c r="B38" s="56"/>
      <c r="C38" s="57"/>
      <c r="D38" s="58"/>
      <c r="E38" s="59"/>
      <c r="F38" s="58"/>
      <c r="G38" s="57"/>
      <c r="H38" s="58"/>
      <c r="I38" s="57"/>
      <c r="J38" s="58"/>
      <c r="K38" s="57"/>
      <c r="M38">
        <v>2005</v>
      </c>
      <c r="N38" s="66">
        <f>H41</f>
        <v>0.6516</v>
      </c>
    </row>
    <row r="39" spans="1:14" ht="16.5" thickBot="1">
      <c r="A39" s="35"/>
      <c r="B39" s="56"/>
      <c r="C39" s="57"/>
      <c r="D39" s="58"/>
      <c r="E39" s="59"/>
      <c r="F39" s="58"/>
      <c r="G39" s="57"/>
      <c r="H39" s="58"/>
      <c r="I39" s="57"/>
      <c r="J39" s="58"/>
      <c r="K39" s="57"/>
      <c r="M39">
        <v>2006</v>
      </c>
      <c r="N39" s="66">
        <f>J41</f>
        <v>0.6634</v>
      </c>
    </row>
    <row r="40" spans="1:11" ht="16.5" thickBot="1">
      <c r="A40" s="60" t="s">
        <v>37</v>
      </c>
      <c r="B40" s="61"/>
      <c r="C40" s="62"/>
      <c r="D40" s="63">
        <f>ROUND((D8+D17+D32)/D34,4)</f>
        <v>0.3512</v>
      </c>
      <c r="E40" s="64"/>
      <c r="F40" s="63">
        <f>ROUND((F8+F17+F32)/F34,4)</f>
        <v>0.3375</v>
      </c>
      <c r="G40" s="62"/>
      <c r="H40" s="63">
        <f>ROUND((H8+H17+H32)/H34,4)</f>
        <v>0.3484</v>
      </c>
      <c r="I40" s="62"/>
      <c r="J40" s="63">
        <f>ROUND((J8+J17+J32)/J34,4)</f>
        <v>0.3366</v>
      </c>
      <c r="K40" s="57"/>
    </row>
    <row r="41" spans="1:11" ht="15.75">
      <c r="A41" s="35" t="s">
        <v>44</v>
      </c>
      <c r="B41" s="56"/>
      <c r="C41" s="57"/>
      <c r="D41" s="58">
        <f>1-D40</f>
        <v>0.6488</v>
      </c>
      <c r="E41" s="59"/>
      <c r="F41" s="58">
        <f>1-F40</f>
        <v>0.6625</v>
      </c>
      <c r="G41" s="57"/>
      <c r="H41" s="58">
        <f>1-H40</f>
        <v>0.6516</v>
      </c>
      <c r="I41" s="57"/>
      <c r="J41" s="58">
        <f>1-J40</f>
        <v>0.6634</v>
      </c>
      <c r="K41" s="57"/>
    </row>
    <row r="42" spans="1:11" ht="15.75">
      <c r="A42" s="35"/>
      <c r="B42" s="56"/>
      <c r="C42" s="57"/>
      <c r="D42" s="58"/>
      <c r="E42" s="59"/>
      <c r="F42" s="58"/>
      <c r="G42" s="57"/>
      <c r="H42" s="58"/>
      <c r="I42" s="57"/>
      <c r="J42" s="58"/>
      <c r="K42" s="57"/>
    </row>
    <row r="43" spans="1:11" ht="15.75">
      <c r="A43" s="35"/>
      <c r="B43" s="56"/>
      <c r="C43" s="57"/>
      <c r="D43" s="58"/>
      <c r="E43" s="59"/>
      <c r="F43" s="58"/>
      <c r="G43" s="57"/>
      <c r="H43" s="58"/>
      <c r="I43" s="57"/>
      <c r="J43" s="58"/>
      <c r="K43" s="57"/>
    </row>
    <row r="44" spans="1:11" ht="15.75">
      <c r="A44" s="42" t="s">
        <v>26</v>
      </c>
      <c r="B44" s="43"/>
      <c r="C44" s="44"/>
      <c r="D44" s="45"/>
      <c r="E44" s="46"/>
      <c r="F44" s="43"/>
      <c r="G44" s="44"/>
      <c r="H44" s="43"/>
      <c r="I44" s="44"/>
      <c r="J44" s="43"/>
      <c r="K44" s="47"/>
    </row>
    <row r="45" spans="1:11" ht="15.75">
      <c r="A45" s="48" t="s">
        <v>27</v>
      </c>
      <c r="B45" s="11">
        <f>'[6]FBCRAC Calc'!B39</f>
        <v>119573.04094</v>
      </c>
      <c r="C45" s="49">
        <f>'[6]FBCRAC Calc'!C39</f>
        <v>309.69634703196346</v>
      </c>
      <c r="D45" s="11">
        <v>19003.270732688172</v>
      </c>
      <c r="E45" s="49">
        <v>31.99497716894977</v>
      </c>
      <c r="F45" s="11">
        <f>'[6]FBCRAC Calc'!F39</f>
        <v>0</v>
      </c>
      <c r="G45" s="49">
        <f>'[6]FBCRAC Calc'!G39</f>
        <v>0</v>
      </c>
      <c r="H45" s="11">
        <f>'[6]FBCRAC Calc'!H39</f>
        <v>0</v>
      </c>
      <c r="I45" s="49">
        <f>'[6]FBCRAC Calc'!I39</f>
        <v>0</v>
      </c>
      <c r="J45" s="11">
        <f>'[6]FBCRAC Calc'!J39</f>
        <v>0</v>
      </c>
      <c r="K45" s="49">
        <f>'[6]FBCRAC Calc'!K39</f>
        <v>0</v>
      </c>
    </row>
    <row r="46" spans="1:11" ht="15.75">
      <c r="A46" s="48" t="s">
        <v>28</v>
      </c>
      <c r="B46" s="11">
        <f>'[6]FBCRAC Calc'!B40</f>
        <v>20156.933999999997</v>
      </c>
      <c r="C46" s="49">
        <f>'[6]FBCRAC Calc'!C40</f>
        <v>70.73781210045661</v>
      </c>
      <c r="D46" s="11">
        <v>8793.010100000001</v>
      </c>
      <c r="E46" s="49">
        <v>24.37277653347251</v>
      </c>
      <c r="F46" s="11">
        <f>'[6]FBCRAC Calc'!F40</f>
        <v>0</v>
      </c>
      <c r="G46" s="49">
        <f>'[6]FBCRAC Calc'!G40</f>
        <v>0</v>
      </c>
      <c r="H46" s="11">
        <f>'[6]FBCRAC Calc'!H40</f>
        <v>0</v>
      </c>
      <c r="I46" s="49">
        <f>'[6]FBCRAC Calc'!I40</f>
        <v>0</v>
      </c>
      <c r="J46" s="11">
        <f>'[6]FBCRAC Calc'!J40</f>
        <v>0</v>
      </c>
      <c r="K46" s="49">
        <f>'[6]FBCRAC Calc'!K40</f>
        <v>0</v>
      </c>
    </row>
    <row r="47" spans="1:11" ht="15.75">
      <c r="A47" s="48" t="s">
        <v>29</v>
      </c>
      <c r="B47" s="11">
        <f>'[6]FBCRAC Calc'!B41</f>
        <v>199295.19595999998</v>
      </c>
      <c r="C47" s="49">
        <f>'[6]FBCRAC Calc'!C41</f>
        <v>655.6925697488584</v>
      </c>
      <c r="D47" s="11">
        <v>205638.57364999998</v>
      </c>
      <c r="E47" s="49">
        <v>617.9341656392694</v>
      </c>
      <c r="F47" s="11">
        <f>'[6]FBCRAC Calc'!F41</f>
        <v>273723.76320006244</v>
      </c>
      <c r="G47" s="49">
        <f>'[6]FBCRAC Calc'!G41</f>
        <v>617.9999999999999</v>
      </c>
      <c r="H47" s="11">
        <f>'[6]FBCRAC Calc'!H41</f>
        <v>272427.35266464</v>
      </c>
      <c r="I47" s="49">
        <f>'[6]FBCRAC Calc'!I41</f>
        <v>617.7558684931506</v>
      </c>
      <c r="J47" s="11">
        <f>'[6]FBCRAC Calc'!J41</f>
        <v>272427.35266464</v>
      </c>
      <c r="K47" s="49">
        <f>'[6]FBCRAC Calc'!K41</f>
        <v>617.7558684931506</v>
      </c>
    </row>
    <row r="48" spans="1:11" ht="15.75">
      <c r="A48" s="48" t="s">
        <v>30</v>
      </c>
      <c r="B48" s="11">
        <f>'[6]FBCRAC Calc'!B42</f>
        <v>38393.463228</v>
      </c>
      <c r="C48" s="49">
        <f>'[6]FBCRAC Calc'!C42</f>
        <v>120.25025125570778</v>
      </c>
      <c r="D48" s="11">
        <v>41939.82</v>
      </c>
      <c r="E48" s="49">
        <v>126.5216894977169</v>
      </c>
      <c r="F48" s="11">
        <f>'[6]FBCRAC Calc'!F42</f>
        <v>41390.20799999999</v>
      </c>
      <c r="G48" s="49">
        <f>'[6]FBCRAC Calc'!G42</f>
        <v>124.33972602739726</v>
      </c>
      <c r="H48" s="11">
        <f>'[6]FBCRAC Calc'!H42</f>
        <v>41277.12</v>
      </c>
      <c r="I48" s="49">
        <f>'[6]FBCRAC Calc'!I42</f>
        <v>124</v>
      </c>
      <c r="J48" s="11">
        <f>'[6]FBCRAC Calc'!J42</f>
        <v>41277.12</v>
      </c>
      <c r="K48" s="49">
        <f>'[6]FBCRAC Calc'!K42</f>
        <v>124</v>
      </c>
    </row>
    <row r="49" spans="1:11" ht="15.75">
      <c r="A49" s="48" t="s">
        <v>31</v>
      </c>
      <c r="B49" s="11">
        <f>'[6]FBCRAC Calc'!B43</f>
        <v>151742.126</v>
      </c>
      <c r="C49" s="49">
        <f>'[6]FBCRAC Calc'!C43</f>
        <v>956.0132420091325</v>
      </c>
      <c r="D49" s="11">
        <v>100188.47204000001</v>
      </c>
      <c r="E49" s="49">
        <v>647.9196347031964</v>
      </c>
      <c r="F49" s="11">
        <f>'[6]FBCRAC Calc'!F43</f>
        <v>2090.94336</v>
      </c>
      <c r="G49" s="49">
        <f>'[6]FBCRAC Calc'!G43</f>
        <v>51.13972602739726</v>
      </c>
      <c r="H49" s="11">
        <f>'[6]FBCRAC Calc'!H43</f>
        <v>2085.2304</v>
      </c>
      <c r="I49" s="49">
        <f>'[6]FBCRAC Calc'!I43</f>
        <v>51</v>
      </c>
      <c r="J49" s="11">
        <f>'[6]FBCRAC Calc'!J43</f>
        <v>2085.2304</v>
      </c>
      <c r="K49" s="49">
        <f>'[6]FBCRAC Calc'!K43</f>
        <v>44</v>
      </c>
    </row>
    <row r="50" spans="1:11" ht="15.75">
      <c r="A50" s="50" t="s">
        <v>32</v>
      </c>
      <c r="B50" s="11">
        <f>'[6]FBCRAC Calc'!B44</f>
        <v>0</v>
      </c>
      <c r="C50" s="51">
        <f>'[6]FBCRAC Calc'!C44</f>
        <v>0</v>
      </c>
      <c r="D50" s="11">
        <v>-146422.96254</v>
      </c>
      <c r="E50" s="51">
        <v>-698.9372146118723</v>
      </c>
      <c r="F50" s="11">
        <f>'[6]FBCRAC Calc'!F44</f>
        <v>0</v>
      </c>
      <c r="G50" s="51">
        <f>'[6]FBCRAC Calc'!G44</f>
        <v>0</v>
      </c>
      <c r="H50" s="11">
        <f>'[6]FBCRAC Calc'!H44</f>
        <v>0</v>
      </c>
      <c r="I50" s="51">
        <f>'[6]FBCRAC Calc'!I44</f>
        <v>0</v>
      </c>
      <c r="J50" s="11">
        <f>'[6]FBCRAC Calc'!J44</f>
        <v>0</v>
      </c>
      <c r="K50" s="51">
        <f>'[6]FBCRAC Calc'!K44</f>
        <v>0</v>
      </c>
    </row>
    <row r="51" spans="1:11" ht="15.75">
      <c r="A51" s="50"/>
      <c r="B51" s="52"/>
      <c r="C51" s="51"/>
      <c r="D51" s="52"/>
      <c r="E51" s="51"/>
      <c r="F51" s="52"/>
      <c r="G51" s="51"/>
      <c r="H51" s="52"/>
      <c r="I51" s="51"/>
      <c r="J51" s="52"/>
      <c r="K51" s="51"/>
    </row>
    <row r="52" spans="1:10" ht="15.75">
      <c r="A52" t="s">
        <v>33</v>
      </c>
      <c r="D52" s="53">
        <f>D8+D17</f>
        <v>403084.29779279995</v>
      </c>
      <c r="F52" s="53">
        <f>F8+F17</f>
        <v>397895.28776262177</v>
      </c>
      <c r="H52" s="53">
        <f>H8+H17</f>
        <v>397895.28776262177</v>
      </c>
      <c r="J52" s="53">
        <f>J8+J17</f>
        <v>397895.28776262177</v>
      </c>
    </row>
    <row r="53" spans="1:10" ht="15.75">
      <c r="A53" t="s">
        <v>34</v>
      </c>
      <c r="D53" s="53">
        <f>D12+D20-D52</f>
        <v>699321.1160901063</v>
      </c>
      <c r="F53" s="53">
        <f>F12+F20-F52</f>
        <v>748255.4337296957</v>
      </c>
      <c r="H53" s="53">
        <f>H12+H20-H52</f>
        <v>765453.6336243512</v>
      </c>
      <c r="J53" s="53">
        <f>J12+J20-J52</f>
        <v>774838.0753093549</v>
      </c>
    </row>
    <row r="54" spans="1:10" ht="15.75">
      <c r="A54" t="s">
        <v>35</v>
      </c>
      <c r="D54" s="53">
        <f>D28</f>
        <v>28049.829479999993</v>
      </c>
      <c r="F54" s="53">
        <f>F28</f>
        <v>24752.098600000005</v>
      </c>
      <c r="H54" s="53">
        <f>H28</f>
        <v>24668.663080000006</v>
      </c>
      <c r="J54" s="53">
        <f>J28</f>
        <v>24668.663080000006</v>
      </c>
    </row>
    <row r="55" spans="1:10" ht="15.75">
      <c r="A55" t="s">
        <v>22</v>
      </c>
      <c r="D55" s="53">
        <f>D33</f>
        <v>41939.82</v>
      </c>
      <c r="E55" s="54"/>
      <c r="F55" s="53">
        <f>F33</f>
        <v>41390.20799999999</v>
      </c>
      <c r="H55" s="53">
        <f>H33</f>
        <v>41277.12</v>
      </c>
      <c r="J55" s="53">
        <f>J33</f>
        <v>41277.12</v>
      </c>
    </row>
    <row r="56" spans="1:10" ht="15.75">
      <c r="A56" t="s">
        <v>36</v>
      </c>
      <c r="D56" s="53">
        <f>D24</f>
        <v>28908.953439999954</v>
      </c>
      <c r="F56" s="53">
        <f>F24</f>
        <v>72081.5725</v>
      </c>
      <c r="H56" s="53">
        <f>H24</f>
        <v>71939.61249999999</v>
      </c>
      <c r="J56" s="53">
        <f>J24</f>
        <v>71939.61249999999</v>
      </c>
    </row>
    <row r="57" spans="4:10" ht="15.75">
      <c r="D57" s="55"/>
      <c r="F57" s="55"/>
      <c r="H57" s="55"/>
      <c r="J57" s="55"/>
    </row>
    <row r="58" spans="1:10" ht="15.75">
      <c r="A58" t="s">
        <v>38</v>
      </c>
      <c r="D58">
        <v>135000</v>
      </c>
      <c r="F58">
        <v>150000</v>
      </c>
      <c r="H58">
        <v>150000</v>
      </c>
      <c r="J58">
        <v>175000</v>
      </c>
    </row>
    <row r="59" spans="1:10" ht="15.75">
      <c r="A59" t="s">
        <v>39</v>
      </c>
      <c r="D59" s="55">
        <f>D58*D41</f>
        <v>87588</v>
      </c>
      <c r="F59" s="55">
        <f>F58*F41</f>
        <v>99375</v>
      </c>
      <c r="H59" s="55">
        <f>H58*H41</f>
        <v>97740</v>
      </c>
      <c r="J59" s="55">
        <f>J58*J41</f>
        <v>116095</v>
      </c>
    </row>
    <row r="62" spans="1:10" ht="15.75">
      <c r="A62" t="s">
        <v>40</v>
      </c>
      <c r="F62">
        <v>100572</v>
      </c>
      <c r="H62">
        <v>101425</v>
      </c>
      <c r="J62">
        <v>118868</v>
      </c>
    </row>
    <row r="63" spans="1:10" ht="15.75">
      <c r="A63" t="s">
        <v>41</v>
      </c>
      <c r="F63" s="65">
        <f>F62/F58</f>
        <v>0.67048</v>
      </c>
      <c r="H63" s="65">
        <f>H62/H58</f>
        <v>0.6761666666666667</v>
      </c>
      <c r="J63" s="65">
        <f>J62/J58</f>
        <v>0.6792457142857142</v>
      </c>
    </row>
  </sheetData>
  <mergeCells count="5">
    <mergeCell ref="A1:K1"/>
    <mergeCell ref="D2:E2"/>
    <mergeCell ref="F2:G2"/>
    <mergeCell ref="H2:I2"/>
    <mergeCell ref="J2:K2"/>
  </mergeCells>
  <printOptions horizontalCentered="1"/>
  <pageMargins left="0.25" right="0.25" top="0.25" bottom="0.25" header="0.5" footer="0.5"/>
  <pageSetup fitToHeight="1" fitToWidth="1" horizontalDpi="600" verticalDpi="600" orientation="landscape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Doubleday</dc:creator>
  <cp:keywords/>
  <dc:description/>
  <cp:lastModifiedBy>Byrne Lovell</cp:lastModifiedBy>
  <dcterms:created xsi:type="dcterms:W3CDTF">2003-02-21T21:09:36Z</dcterms:created>
  <dcterms:modified xsi:type="dcterms:W3CDTF">2003-04-10T23:03:54Z</dcterms:modified>
  <cp:category/>
  <cp:version/>
  <cp:contentType/>
  <cp:contentStatus/>
</cp:coreProperties>
</file>